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/>
  <mc:AlternateContent xmlns:mc="http://schemas.openxmlformats.org/markup-compatibility/2006">
    <mc:Choice Requires="x15">
      <x15ac:absPath xmlns:x15ac="http://schemas.microsoft.com/office/spreadsheetml/2010/11/ac" url="C:\Users\thana\OneDrive\Desktop\"/>
    </mc:Choice>
  </mc:AlternateContent>
  <xr:revisionPtr revIDLastSave="0" documentId="8_{96BD907C-5CE8-4314-9732-973938F6A94C}" xr6:coauthVersionLast="47" xr6:coauthVersionMax="47" xr10:uidLastSave="{00000000-0000-0000-0000-000000000000}"/>
  <bookViews>
    <workbookView minimized="1" xWindow="10215" yWindow="0" windowWidth="10275" windowHeight="10920" firstSheet="1" activeTab="1" xr2:uid="{00000000-000D-0000-FFFF-FFFF00000000}"/>
    <workbookView xWindow="-120" yWindow="-120" windowWidth="20730" windowHeight="11160" firstSheet="1" activeTab="1" xr2:uid="{C1CECF95-5F93-404C-BB69-83C9FB3CE9D8}"/>
  </bookViews>
  <sheets>
    <sheet name="SSKRU-66-07KSFC_สมาชิกชมรม" sheetId="1" r:id="rId1"/>
    <sheet name="Initialize" sheetId="9" r:id="rId2"/>
    <sheet name="Sheet1" sheetId="8" r:id="rId3"/>
    <sheet name="BAAC-66-07KSFC" sheetId="2" r:id="rId4"/>
    <sheet name="EDUC-66-07KSFC" sheetId="3" r:id="rId5"/>
    <sheet name="HUSO-66-07KSFC" sheetId="4" r:id="rId6"/>
    <sheet name="LAGO-66-07KSFC" sheetId="5" r:id="rId7"/>
    <sheet name="LASC-66-07KSFC" sheetId="6" r:id="rId8"/>
    <sheet name="SSKRU-66-07KSFC_คณะกรรมการ ชมรม" sheetId="7" r:id="rId9"/>
  </sheets>
  <definedNames>
    <definedName name="DATA">'SSKRU-66-07KSFC_สมาชิกชมรม'!$T$3:$T$381</definedName>
    <definedName name="DATA1">'SSKRU-66-07KSFC_สมาชิกชมรม'!$B$3:$B$669</definedName>
    <definedName name="DATA10">'SSKRU-66-07KSFC_สมาชิกชมรม'!$X$3:$X$140</definedName>
    <definedName name="DATA11">'SSKRU-66-07KSFC_สมาชิกชมรม'!$Y$3:$Y$617</definedName>
    <definedName name="DATA12">'SSKRU-66-07KSFC_สมาชิกชมรม'!$Z$3:$Z$361</definedName>
    <definedName name="DATA2">Sheet1!$E$2:$E$380</definedName>
    <definedName name="DATA5">'SSKRU-66-07KSFC_สมาชิกชมรม'!$B$3:$B$380</definedName>
    <definedName name="DATA6">'SSKRU-66-07KSFC_สมาชิกชมรม'!$B$3:$B$382</definedName>
    <definedName name="DATA7">'SSKRU-66-07KSFC_สมาชิกชมรม'!$U$3:$U$117</definedName>
    <definedName name="DATA8">'SSKRU-66-07KSFC_สมาชิกชมรม'!$V$3:$V$300</definedName>
    <definedName name="DATA9">'SSKRU-66-07KSFC_สมาชิกชมรม'!$W$3:$W$407</definedName>
    <definedName name="DATAX">'SSKRU-66-07KSFC_สมาชิกชมรม'!$J$3:$P$669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26rz85I1Z1NstjAVpJ+y7gyT4dXbDGwOVJNCRSMyILs="/>
    </ext>
  </extLst>
</workbook>
</file>

<file path=xl/calcChain.xml><?xml version="1.0" encoding="utf-8"?>
<calcChain xmlns="http://schemas.openxmlformats.org/spreadsheetml/2006/main">
  <c r="N668" i="9" l="1"/>
  <c r="M668" i="9"/>
  <c r="L668" i="9"/>
  <c r="K668" i="9"/>
  <c r="J668" i="9"/>
  <c r="Q668" i="9" s="1"/>
  <c r="R668" i="9" s="1"/>
  <c r="P667" i="9"/>
  <c r="O667" i="9"/>
  <c r="N667" i="9"/>
  <c r="M667" i="9"/>
  <c r="L667" i="9"/>
  <c r="K667" i="9"/>
  <c r="J667" i="9"/>
  <c r="Q667" i="9" s="1"/>
  <c r="R667" i="9" s="1"/>
  <c r="P666" i="9"/>
  <c r="O666" i="9"/>
  <c r="N666" i="9"/>
  <c r="M666" i="9"/>
  <c r="L666" i="9"/>
  <c r="K666" i="9"/>
  <c r="J666" i="9"/>
  <c r="Q666" i="9" s="1"/>
  <c r="R666" i="9" s="1"/>
  <c r="N665" i="9"/>
  <c r="M665" i="9"/>
  <c r="L665" i="9"/>
  <c r="K665" i="9"/>
  <c r="J665" i="9"/>
  <c r="Q665" i="9" s="1"/>
  <c r="R665" i="9" s="1"/>
  <c r="N664" i="9"/>
  <c r="M664" i="9"/>
  <c r="L664" i="9"/>
  <c r="K664" i="9"/>
  <c r="J664" i="9"/>
  <c r="Q664" i="9" s="1"/>
  <c r="R664" i="9" s="1"/>
  <c r="N663" i="9"/>
  <c r="M663" i="9"/>
  <c r="L663" i="9"/>
  <c r="K663" i="9"/>
  <c r="J663" i="9"/>
  <c r="Q663" i="9" s="1"/>
  <c r="R663" i="9" s="1"/>
  <c r="N662" i="9"/>
  <c r="M662" i="9"/>
  <c r="L662" i="9"/>
  <c r="K662" i="9"/>
  <c r="J662" i="9"/>
  <c r="Q662" i="9" s="1"/>
  <c r="R662" i="9" s="1"/>
  <c r="N661" i="9"/>
  <c r="M661" i="9"/>
  <c r="L661" i="9"/>
  <c r="K661" i="9"/>
  <c r="J661" i="9"/>
  <c r="Q661" i="9" s="1"/>
  <c r="R661" i="9" s="1"/>
  <c r="N660" i="9"/>
  <c r="M660" i="9"/>
  <c r="L660" i="9"/>
  <c r="K660" i="9"/>
  <c r="J660" i="9"/>
  <c r="Q660" i="9" s="1"/>
  <c r="R660" i="9" s="1"/>
  <c r="N659" i="9"/>
  <c r="M659" i="9"/>
  <c r="L659" i="9"/>
  <c r="K659" i="9"/>
  <c r="J659" i="9"/>
  <c r="Q659" i="9" s="1"/>
  <c r="R659" i="9" s="1"/>
  <c r="N658" i="9"/>
  <c r="M658" i="9"/>
  <c r="L658" i="9"/>
  <c r="K658" i="9"/>
  <c r="J658" i="9"/>
  <c r="Q658" i="9" s="1"/>
  <c r="R658" i="9" s="1"/>
  <c r="N657" i="9"/>
  <c r="M657" i="9"/>
  <c r="L657" i="9"/>
  <c r="K657" i="9"/>
  <c r="J657" i="9"/>
  <c r="Q657" i="9" s="1"/>
  <c r="R657" i="9" s="1"/>
  <c r="N656" i="9"/>
  <c r="M656" i="9"/>
  <c r="L656" i="9"/>
  <c r="K656" i="9"/>
  <c r="J656" i="9"/>
  <c r="Q656" i="9" s="1"/>
  <c r="R656" i="9" s="1"/>
  <c r="N655" i="9"/>
  <c r="M655" i="9"/>
  <c r="L655" i="9"/>
  <c r="K655" i="9"/>
  <c r="J655" i="9"/>
  <c r="Q655" i="9" s="1"/>
  <c r="R655" i="9" s="1"/>
  <c r="N654" i="9"/>
  <c r="M654" i="9"/>
  <c r="L654" i="9"/>
  <c r="K654" i="9"/>
  <c r="J654" i="9"/>
  <c r="Q654" i="9" s="1"/>
  <c r="R654" i="9" s="1"/>
  <c r="N653" i="9"/>
  <c r="M653" i="9"/>
  <c r="L653" i="9"/>
  <c r="K653" i="9"/>
  <c r="J653" i="9"/>
  <c r="Q653" i="9" s="1"/>
  <c r="R653" i="9" s="1"/>
  <c r="N652" i="9"/>
  <c r="M652" i="9"/>
  <c r="L652" i="9"/>
  <c r="K652" i="9"/>
  <c r="J652" i="9"/>
  <c r="Q652" i="9" s="1"/>
  <c r="R652" i="9" s="1"/>
  <c r="N651" i="9"/>
  <c r="M651" i="9"/>
  <c r="L651" i="9"/>
  <c r="K651" i="9"/>
  <c r="J651" i="9"/>
  <c r="Q651" i="9" s="1"/>
  <c r="R651" i="9" s="1"/>
  <c r="N650" i="9"/>
  <c r="M650" i="9"/>
  <c r="L650" i="9"/>
  <c r="K650" i="9"/>
  <c r="J650" i="9"/>
  <c r="Q650" i="9" s="1"/>
  <c r="R650" i="9" s="1"/>
  <c r="P649" i="9"/>
  <c r="O649" i="9"/>
  <c r="N649" i="9"/>
  <c r="M649" i="9"/>
  <c r="L649" i="9"/>
  <c r="J649" i="9"/>
  <c r="Q649" i="9" s="1"/>
  <c r="R649" i="9" s="1"/>
  <c r="P648" i="9"/>
  <c r="O648" i="9"/>
  <c r="N648" i="9"/>
  <c r="M648" i="9"/>
  <c r="L648" i="9"/>
  <c r="J648" i="9"/>
  <c r="Q648" i="9" s="1"/>
  <c r="R648" i="9" s="1"/>
  <c r="P647" i="9"/>
  <c r="O647" i="9"/>
  <c r="N647" i="9"/>
  <c r="M647" i="9"/>
  <c r="L647" i="9"/>
  <c r="J647" i="9"/>
  <c r="Q647" i="9" s="1"/>
  <c r="R647" i="9" s="1"/>
  <c r="P646" i="9"/>
  <c r="O646" i="9"/>
  <c r="N646" i="9"/>
  <c r="M646" i="9"/>
  <c r="L646" i="9"/>
  <c r="J646" i="9"/>
  <c r="Q646" i="9" s="1"/>
  <c r="R646" i="9" s="1"/>
  <c r="P645" i="9"/>
  <c r="O645" i="9"/>
  <c r="N645" i="9"/>
  <c r="M645" i="9"/>
  <c r="L645" i="9"/>
  <c r="J645" i="9"/>
  <c r="Q645" i="9" s="1"/>
  <c r="R645" i="9" s="1"/>
  <c r="P644" i="9"/>
  <c r="O644" i="9"/>
  <c r="N644" i="9"/>
  <c r="M644" i="9"/>
  <c r="L644" i="9"/>
  <c r="J644" i="9"/>
  <c r="Q644" i="9" s="1"/>
  <c r="R644" i="9" s="1"/>
  <c r="P643" i="9"/>
  <c r="O643" i="9"/>
  <c r="N643" i="9"/>
  <c r="M643" i="9"/>
  <c r="L643" i="9"/>
  <c r="J643" i="9"/>
  <c r="Q643" i="9" s="1"/>
  <c r="R643" i="9" s="1"/>
  <c r="P642" i="9"/>
  <c r="O642" i="9"/>
  <c r="N642" i="9"/>
  <c r="M642" i="9"/>
  <c r="L642" i="9"/>
  <c r="J642" i="9"/>
  <c r="Q642" i="9" s="1"/>
  <c r="R642" i="9" s="1"/>
  <c r="P641" i="9"/>
  <c r="O641" i="9"/>
  <c r="N641" i="9"/>
  <c r="M641" i="9"/>
  <c r="L641" i="9"/>
  <c r="K641" i="9"/>
  <c r="J641" i="9"/>
  <c r="Q641" i="9" s="1"/>
  <c r="R641" i="9" s="1"/>
  <c r="P640" i="9"/>
  <c r="O640" i="9"/>
  <c r="N640" i="9"/>
  <c r="M640" i="9"/>
  <c r="L640" i="9"/>
  <c r="K640" i="9"/>
  <c r="J640" i="9"/>
  <c r="Q640" i="9" s="1"/>
  <c r="R640" i="9" s="1"/>
  <c r="P639" i="9"/>
  <c r="O639" i="9"/>
  <c r="N639" i="9"/>
  <c r="M639" i="9"/>
  <c r="L639" i="9"/>
  <c r="K639" i="9"/>
  <c r="J639" i="9"/>
  <c r="Q639" i="9" s="1"/>
  <c r="R639" i="9" s="1"/>
  <c r="P638" i="9"/>
  <c r="O638" i="9"/>
  <c r="N638" i="9"/>
  <c r="M638" i="9"/>
  <c r="L638" i="9"/>
  <c r="K638" i="9"/>
  <c r="J638" i="9"/>
  <c r="Q638" i="9" s="1"/>
  <c r="R638" i="9" s="1"/>
  <c r="P637" i="9"/>
  <c r="O637" i="9"/>
  <c r="N637" i="9"/>
  <c r="M637" i="9"/>
  <c r="L637" i="9"/>
  <c r="K637" i="9"/>
  <c r="J637" i="9"/>
  <c r="Q637" i="9" s="1"/>
  <c r="R637" i="9" s="1"/>
  <c r="P636" i="9"/>
  <c r="O636" i="9"/>
  <c r="N636" i="9"/>
  <c r="M636" i="9"/>
  <c r="L636" i="9"/>
  <c r="K636" i="9"/>
  <c r="J636" i="9"/>
  <c r="Q636" i="9" s="1"/>
  <c r="R636" i="9" s="1"/>
  <c r="P635" i="9"/>
  <c r="O635" i="9"/>
  <c r="N635" i="9"/>
  <c r="M635" i="9"/>
  <c r="L635" i="9"/>
  <c r="K635" i="9"/>
  <c r="J635" i="9"/>
  <c r="Q635" i="9" s="1"/>
  <c r="R635" i="9" s="1"/>
  <c r="P634" i="9"/>
  <c r="O634" i="9"/>
  <c r="N634" i="9"/>
  <c r="M634" i="9"/>
  <c r="L634" i="9"/>
  <c r="K634" i="9"/>
  <c r="J634" i="9"/>
  <c r="Q634" i="9" s="1"/>
  <c r="R634" i="9" s="1"/>
  <c r="P633" i="9"/>
  <c r="O633" i="9"/>
  <c r="N633" i="9"/>
  <c r="M633" i="9"/>
  <c r="L633" i="9"/>
  <c r="K633" i="9"/>
  <c r="J633" i="9"/>
  <c r="Q633" i="9" s="1"/>
  <c r="R633" i="9" s="1"/>
  <c r="P632" i="9"/>
  <c r="O632" i="9"/>
  <c r="N632" i="9"/>
  <c r="M632" i="9"/>
  <c r="L632" i="9"/>
  <c r="K632" i="9"/>
  <c r="J632" i="9"/>
  <c r="Q632" i="9" s="1"/>
  <c r="R632" i="9" s="1"/>
  <c r="P631" i="9"/>
  <c r="O631" i="9"/>
  <c r="N631" i="9"/>
  <c r="M631" i="9"/>
  <c r="L631" i="9"/>
  <c r="K631" i="9"/>
  <c r="J631" i="9"/>
  <c r="Q631" i="9" s="1"/>
  <c r="R631" i="9" s="1"/>
  <c r="P630" i="9"/>
  <c r="O630" i="9"/>
  <c r="N630" i="9"/>
  <c r="M630" i="9"/>
  <c r="L630" i="9"/>
  <c r="K630" i="9"/>
  <c r="J630" i="9"/>
  <c r="Q630" i="9" s="1"/>
  <c r="R630" i="9" s="1"/>
  <c r="P629" i="9"/>
  <c r="O629" i="9"/>
  <c r="N629" i="9"/>
  <c r="M629" i="9"/>
  <c r="L629" i="9"/>
  <c r="K629" i="9"/>
  <c r="J629" i="9"/>
  <c r="Q629" i="9" s="1"/>
  <c r="R629" i="9" s="1"/>
  <c r="P628" i="9"/>
  <c r="O628" i="9"/>
  <c r="N628" i="9"/>
  <c r="M628" i="9"/>
  <c r="L628" i="9"/>
  <c r="K628" i="9"/>
  <c r="J628" i="9"/>
  <c r="Q628" i="9" s="1"/>
  <c r="R628" i="9" s="1"/>
  <c r="O627" i="9"/>
  <c r="N627" i="9"/>
  <c r="M627" i="9"/>
  <c r="L627" i="9"/>
  <c r="J627" i="9"/>
  <c r="Q627" i="9" s="1"/>
  <c r="R627" i="9" s="1"/>
  <c r="O626" i="9"/>
  <c r="N626" i="9"/>
  <c r="M626" i="9"/>
  <c r="L626" i="9"/>
  <c r="J626" i="9"/>
  <c r="Q626" i="9" s="1"/>
  <c r="R626" i="9" s="1"/>
  <c r="O625" i="9"/>
  <c r="N625" i="9"/>
  <c r="M625" i="9"/>
  <c r="L625" i="9"/>
  <c r="J625" i="9"/>
  <c r="Q625" i="9" s="1"/>
  <c r="R625" i="9" s="1"/>
  <c r="O624" i="9"/>
  <c r="N624" i="9"/>
  <c r="M624" i="9"/>
  <c r="L624" i="9"/>
  <c r="J624" i="9"/>
  <c r="Q624" i="9" s="1"/>
  <c r="R624" i="9" s="1"/>
  <c r="N623" i="9"/>
  <c r="M623" i="9"/>
  <c r="L623" i="9"/>
  <c r="J623" i="9"/>
  <c r="Q623" i="9" s="1"/>
  <c r="R623" i="9" s="1"/>
  <c r="N622" i="9"/>
  <c r="M622" i="9"/>
  <c r="L622" i="9"/>
  <c r="K622" i="9"/>
  <c r="J622" i="9"/>
  <c r="Q622" i="9" s="1"/>
  <c r="R622" i="9" s="1"/>
  <c r="P621" i="9"/>
  <c r="O621" i="9"/>
  <c r="N621" i="9"/>
  <c r="M621" i="9"/>
  <c r="L621" i="9"/>
  <c r="K621" i="9"/>
  <c r="J621" i="9"/>
  <c r="Q621" i="9" s="1"/>
  <c r="R621" i="9" s="1"/>
  <c r="P620" i="9"/>
  <c r="O620" i="9"/>
  <c r="N620" i="9"/>
  <c r="M620" i="9"/>
  <c r="L620" i="9"/>
  <c r="K620" i="9"/>
  <c r="J620" i="9"/>
  <c r="Q620" i="9" s="1"/>
  <c r="R620" i="9" s="1"/>
  <c r="P619" i="9"/>
  <c r="O619" i="9"/>
  <c r="N619" i="9"/>
  <c r="M619" i="9"/>
  <c r="L619" i="9"/>
  <c r="K619" i="9"/>
  <c r="J619" i="9"/>
  <c r="Q619" i="9" s="1"/>
  <c r="R619" i="9" s="1"/>
  <c r="P618" i="9"/>
  <c r="O618" i="9"/>
  <c r="N618" i="9"/>
  <c r="M618" i="9"/>
  <c r="L618" i="9"/>
  <c r="K618" i="9"/>
  <c r="J618" i="9"/>
  <c r="Q618" i="9" s="1"/>
  <c r="R618" i="9" s="1"/>
  <c r="P617" i="9"/>
  <c r="O617" i="9"/>
  <c r="N617" i="9"/>
  <c r="M617" i="9"/>
  <c r="L617" i="9"/>
  <c r="K617" i="9"/>
  <c r="J617" i="9"/>
  <c r="Q617" i="9" s="1"/>
  <c r="R617" i="9" s="1"/>
  <c r="P616" i="9"/>
  <c r="O616" i="9"/>
  <c r="N616" i="9"/>
  <c r="M616" i="9"/>
  <c r="L616" i="9"/>
  <c r="K616" i="9"/>
  <c r="J616" i="9"/>
  <c r="Q616" i="9" s="1"/>
  <c r="R616" i="9" s="1"/>
  <c r="P615" i="9"/>
  <c r="O615" i="9"/>
  <c r="N615" i="9"/>
  <c r="M615" i="9"/>
  <c r="L615" i="9"/>
  <c r="K615" i="9"/>
  <c r="J615" i="9"/>
  <c r="Q615" i="9" s="1"/>
  <c r="R615" i="9" s="1"/>
  <c r="P614" i="9"/>
  <c r="O614" i="9"/>
  <c r="N614" i="9"/>
  <c r="M614" i="9"/>
  <c r="L614" i="9"/>
  <c r="K614" i="9"/>
  <c r="J614" i="9"/>
  <c r="Q614" i="9" s="1"/>
  <c r="R614" i="9" s="1"/>
  <c r="P613" i="9"/>
  <c r="O613" i="9"/>
  <c r="N613" i="9"/>
  <c r="M613" i="9"/>
  <c r="L613" i="9"/>
  <c r="K613" i="9"/>
  <c r="J613" i="9"/>
  <c r="Q613" i="9" s="1"/>
  <c r="R613" i="9" s="1"/>
  <c r="P612" i="9"/>
  <c r="O612" i="9"/>
  <c r="N612" i="9"/>
  <c r="M612" i="9"/>
  <c r="L612" i="9"/>
  <c r="J612" i="9"/>
  <c r="Q612" i="9" s="1"/>
  <c r="R612" i="9" s="1"/>
  <c r="P611" i="9"/>
  <c r="O611" i="9"/>
  <c r="N611" i="9"/>
  <c r="M611" i="9"/>
  <c r="L611" i="9"/>
  <c r="K611" i="9"/>
  <c r="J611" i="9"/>
  <c r="Q611" i="9" s="1"/>
  <c r="R611" i="9" s="1"/>
  <c r="P610" i="9"/>
  <c r="O610" i="9"/>
  <c r="N610" i="9"/>
  <c r="M610" i="9"/>
  <c r="L610" i="9"/>
  <c r="K610" i="9"/>
  <c r="J610" i="9"/>
  <c r="Q610" i="9" s="1"/>
  <c r="R610" i="9" s="1"/>
  <c r="P609" i="9"/>
  <c r="O609" i="9"/>
  <c r="N609" i="9"/>
  <c r="M609" i="9"/>
  <c r="L609" i="9"/>
  <c r="K609" i="9"/>
  <c r="J609" i="9"/>
  <c r="Q609" i="9" s="1"/>
  <c r="R609" i="9" s="1"/>
  <c r="P608" i="9"/>
  <c r="O608" i="9"/>
  <c r="N608" i="9"/>
  <c r="M608" i="9"/>
  <c r="L608" i="9"/>
  <c r="K608" i="9"/>
  <c r="J608" i="9"/>
  <c r="Q608" i="9" s="1"/>
  <c r="R608" i="9" s="1"/>
  <c r="P607" i="9"/>
  <c r="O607" i="9"/>
  <c r="N607" i="9"/>
  <c r="M607" i="9"/>
  <c r="L607" i="9"/>
  <c r="K607" i="9"/>
  <c r="J607" i="9"/>
  <c r="Q607" i="9" s="1"/>
  <c r="R607" i="9" s="1"/>
  <c r="P606" i="9"/>
  <c r="O606" i="9"/>
  <c r="N606" i="9"/>
  <c r="M606" i="9"/>
  <c r="L606" i="9"/>
  <c r="K606" i="9"/>
  <c r="J606" i="9"/>
  <c r="Q606" i="9" s="1"/>
  <c r="R606" i="9" s="1"/>
  <c r="P605" i="9"/>
  <c r="O605" i="9"/>
  <c r="N605" i="9"/>
  <c r="M605" i="9"/>
  <c r="L605" i="9"/>
  <c r="J605" i="9"/>
  <c r="Q605" i="9" s="1"/>
  <c r="R605" i="9" s="1"/>
  <c r="P604" i="9"/>
  <c r="O604" i="9"/>
  <c r="N604" i="9"/>
  <c r="M604" i="9"/>
  <c r="L604" i="9"/>
  <c r="K604" i="9"/>
  <c r="J604" i="9"/>
  <c r="Q604" i="9" s="1"/>
  <c r="R604" i="9" s="1"/>
  <c r="P603" i="9"/>
  <c r="O603" i="9"/>
  <c r="N603" i="9"/>
  <c r="M603" i="9"/>
  <c r="L603" i="9"/>
  <c r="K603" i="9"/>
  <c r="J603" i="9"/>
  <c r="Q603" i="9" s="1"/>
  <c r="R603" i="9" s="1"/>
  <c r="P602" i="9"/>
  <c r="O602" i="9"/>
  <c r="N602" i="9"/>
  <c r="M602" i="9"/>
  <c r="L602" i="9"/>
  <c r="J602" i="9"/>
  <c r="Q602" i="9" s="1"/>
  <c r="R602" i="9" s="1"/>
  <c r="P601" i="9"/>
  <c r="O601" i="9"/>
  <c r="N601" i="9"/>
  <c r="M601" i="9"/>
  <c r="L601" i="9"/>
  <c r="K601" i="9"/>
  <c r="J601" i="9"/>
  <c r="Q601" i="9" s="1"/>
  <c r="R601" i="9" s="1"/>
  <c r="P600" i="9"/>
  <c r="O600" i="9"/>
  <c r="N600" i="9"/>
  <c r="M600" i="9"/>
  <c r="L600" i="9"/>
  <c r="K600" i="9"/>
  <c r="J600" i="9"/>
  <c r="Q600" i="9" s="1"/>
  <c r="R600" i="9" s="1"/>
  <c r="P599" i="9"/>
  <c r="O599" i="9"/>
  <c r="N599" i="9"/>
  <c r="M599" i="9"/>
  <c r="L599" i="9"/>
  <c r="K599" i="9"/>
  <c r="J599" i="9"/>
  <c r="Q599" i="9" s="1"/>
  <c r="R599" i="9" s="1"/>
  <c r="P598" i="9"/>
  <c r="O598" i="9"/>
  <c r="N598" i="9"/>
  <c r="M598" i="9"/>
  <c r="L598" i="9"/>
  <c r="K598" i="9"/>
  <c r="J598" i="9"/>
  <c r="Q598" i="9" s="1"/>
  <c r="R598" i="9" s="1"/>
  <c r="P597" i="9"/>
  <c r="O597" i="9"/>
  <c r="N597" i="9"/>
  <c r="M597" i="9"/>
  <c r="L597" i="9"/>
  <c r="K597" i="9"/>
  <c r="J597" i="9"/>
  <c r="Q597" i="9" s="1"/>
  <c r="R597" i="9" s="1"/>
  <c r="P596" i="9"/>
  <c r="O596" i="9"/>
  <c r="N596" i="9"/>
  <c r="M596" i="9"/>
  <c r="L596" i="9"/>
  <c r="K596" i="9"/>
  <c r="J596" i="9"/>
  <c r="Q596" i="9" s="1"/>
  <c r="R596" i="9" s="1"/>
  <c r="P595" i="9"/>
  <c r="O595" i="9"/>
  <c r="N595" i="9"/>
  <c r="M595" i="9"/>
  <c r="L595" i="9"/>
  <c r="K595" i="9"/>
  <c r="J595" i="9"/>
  <c r="Q595" i="9" s="1"/>
  <c r="R595" i="9" s="1"/>
  <c r="P594" i="9"/>
  <c r="O594" i="9"/>
  <c r="N594" i="9"/>
  <c r="M594" i="9"/>
  <c r="L594" i="9"/>
  <c r="J594" i="9"/>
  <c r="Q594" i="9" s="1"/>
  <c r="R594" i="9" s="1"/>
  <c r="P593" i="9"/>
  <c r="O593" i="9"/>
  <c r="N593" i="9"/>
  <c r="M593" i="9"/>
  <c r="L593" i="9"/>
  <c r="K593" i="9"/>
  <c r="J593" i="9"/>
  <c r="Q593" i="9" s="1"/>
  <c r="R593" i="9" s="1"/>
  <c r="P592" i="9"/>
  <c r="O592" i="9"/>
  <c r="N592" i="9"/>
  <c r="M592" i="9"/>
  <c r="L592" i="9"/>
  <c r="J592" i="9"/>
  <c r="Q592" i="9" s="1"/>
  <c r="R592" i="9" s="1"/>
  <c r="P591" i="9"/>
  <c r="O591" i="9"/>
  <c r="N591" i="9"/>
  <c r="M591" i="9"/>
  <c r="L591" i="9"/>
  <c r="K591" i="9"/>
  <c r="J591" i="9"/>
  <c r="Q591" i="9" s="1"/>
  <c r="R591" i="9" s="1"/>
  <c r="P590" i="9"/>
  <c r="O590" i="9"/>
  <c r="N590" i="9"/>
  <c r="M590" i="9"/>
  <c r="L590" i="9"/>
  <c r="K590" i="9"/>
  <c r="J590" i="9"/>
  <c r="Q590" i="9" s="1"/>
  <c r="R590" i="9" s="1"/>
  <c r="P589" i="9"/>
  <c r="O589" i="9"/>
  <c r="N589" i="9"/>
  <c r="M589" i="9"/>
  <c r="L589" i="9"/>
  <c r="K589" i="9"/>
  <c r="J589" i="9"/>
  <c r="Q589" i="9" s="1"/>
  <c r="R589" i="9" s="1"/>
  <c r="P588" i="9"/>
  <c r="O588" i="9"/>
  <c r="N588" i="9"/>
  <c r="M588" i="9"/>
  <c r="L588" i="9"/>
  <c r="J588" i="9"/>
  <c r="Q588" i="9" s="1"/>
  <c r="R588" i="9" s="1"/>
  <c r="P587" i="9"/>
  <c r="O587" i="9"/>
  <c r="N587" i="9"/>
  <c r="M587" i="9"/>
  <c r="L587" i="9"/>
  <c r="K587" i="9"/>
  <c r="J587" i="9"/>
  <c r="Q587" i="9" s="1"/>
  <c r="R587" i="9" s="1"/>
  <c r="P586" i="9"/>
  <c r="O586" i="9"/>
  <c r="N586" i="9"/>
  <c r="M586" i="9"/>
  <c r="L586" i="9"/>
  <c r="K586" i="9"/>
  <c r="Q586" i="9" s="1"/>
  <c r="P585" i="9"/>
  <c r="O585" i="9"/>
  <c r="N585" i="9"/>
  <c r="M585" i="9"/>
  <c r="L585" i="9"/>
  <c r="K585" i="9"/>
  <c r="J585" i="9"/>
  <c r="Q585" i="9" s="1"/>
  <c r="R585" i="9" s="1"/>
  <c r="P584" i="9"/>
  <c r="O584" i="9"/>
  <c r="N584" i="9"/>
  <c r="M584" i="9"/>
  <c r="L584" i="9"/>
  <c r="K584" i="9"/>
  <c r="J584" i="9"/>
  <c r="Q584" i="9" s="1"/>
  <c r="R584" i="9" s="1"/>
  <c r="P583" i="9"/>
  <c r="O583" i="9"/>
  <c r="N583" i="9"/>
  <c r="M583" i="9"/>
  <c r="L583" i="9"/>
  <c r="K583" i="9"/>
  <c r="J583" i="9"/>
  <c r="Q583" i="9" s="1"/>
  <c r="R583" i="9" s="1"/>
  <c r="P582" i="9"/>
  <c r="O582" i="9"/>
  <c r="N582" i="9"/>
  <c r="M582" i="9"/>
  <c r="L582" i="9"/>
  <c r="K582" i="9"/>
  <c r="J582" i="9"/>
  <c r="Q582" i="9" s="1"/>
  <c r="R582" i="9" s="1"/>
  <c r="P581" i="9"/>
  <c r="O581" i="9"/>
  <c r="N581" i="9"/>
  <c r="M581" i="9"/>
  <c r="L581" i="9"/>
  <c r="K581" i="9"/>
  <c r="J581" i="9"/>
  <c r="Q581" i="9" s="1"/>
  <c r="R581" i="9" s="1"/>
  <c r="N580" i="9"/>
  <c r="M580" i="9"/>
  <c r="L580" i="9"/>
  <c r="J580" i="9"/>
  <c r="Q580" i="9" s="1"/>
  <c r="R580" i="9" s="1"/>
  <c r="N579" i="9"/>
  <c r="M579" i="9"/>
  <c r="L579" i="9"/>
  <c r="K579" i="9"/>
  <c r="J579" i="9"/>
  <c r="Q579" i="9" s="1"/>
  <c r="R579" i="9" s="1"/>
  <c r="N578" i="9"/>
  <c r="M578" i="9"/>
  <c r="L578" i="9"/>
  <c r="K578" i="9"/>
  <c r="J578" i="9"/>
  <c r="Q578" i="9" s="1"/>
  <c r="R578" i="9" s="1"/>
  <c r="N577" i="9"/>
  <c r="M577" i="9"/>
  <c r="L577" i="9"/>
  <c r="K577" i="9"/>
  <c r="J577" i="9"/>
  <c r="Q577" i="9" s="1"/>
  <c r="R577" i="9" s="1"/>
  <c r="N576" i="9"/>
  <c r="M576" i="9"/>
  <c r="L576" i="9"/>
  <c r="K576" i="9"/>
  <c r="J576" i="9"/>
  <c r="Q576" i="9" s="1"/>
  <c r="R576" i="9" s="1"/>
  <c r="N575" i="9"/>
  <c r="M575" i="9"/>
  <c r="L575" i="9"/>
  <c r="K575" i="9"/>
  <c r="J575" i="9"/>
  <c r="Q575" i="9" s="1"/>
  <c r="R575" i="9" s="1"/>
  <c r="N574" i="9"/>
  <c r="M574" i="9"/>
  <c r="L574" i="9"/>
  <c r="K574" i="9"/>
  <c r="J574" i="9"/>
  <c r="Q574" i="9" s="1"/>
  <c r="R574" i="9" s="1"/>
  <c r="N573" i="9"/>
  <c r="M573" i="9"/>
  <c r="L573" i="9"/>
  <c r="K573" i="9"/>
  <c r="J573" i="9"/>
  <c r="Q573" i="9" s="1"/>
  <c r="R573" i="9" s="1"/>
  <c r="N572" i="9"/>
  <c r="M572" i="9"/>
  <c r="L572" i="9"/>
  <c r="K572" i="9"/>
  <c r="J572" i="9"/>
  <c r="Q572" i="9" s="1"/>
  <c r="R572" i="9" s="1"/>
  <c r="N571" i="9"/>
  <c r="M571" i="9"/>
  <c r="L571" i="9"/>
  <c r="J571" i="9"/>
  <c r="Q571" i="9" s="1"/>
  <c r="R571" i="9" s="1"/>
  <c r="N570" i="9"/>
  <c r="M570" i="9"/>
  <c r="L570" i="9"/>
  <c r="J570" i="9"/>
  <c r="Q570" i="9" s="1"/>
  <c r="R570" i="9" s="1"/>
  <c r="N569" i="9"/>
  <c r="M569" i="9"/>
  <c r="L569" i="9"/>
  <c r="K569" i="9"/>
  <c r="J569" i="9"/>
  <c r="Q569" i="9" s="1"/>
  <c r="R569" i="9" s="1"/>
  <c r="N568" i="9"/>
  <c r="M568" i="9"/>
  <c r="L568" i="9"/>
  <c r="K568" i="9"/>
  <c r="J568" i="9"/>
  <c r="Q568" i="9" s="1"/>
  <c r="R568" i="9" s="1"/>
  <c r="N567" i="9"/>
  <c r="M567" i="9"/>
  <c r="L567" i="9"/>
  <c r="K567" i="9"/>
  <c r="J567" i="9"/>
  <c r="Q567" i="9" s="1"/>
  <c r="R567" i="9" s="1"/>
  <c r="P566" i="9"/>
  <c r="O566" i="9"/>
  <c r="N566" i="9"/>
  <c r="M566" i="9"/>
  <c r="L566" i="9"/>
  <c r="K566" i="9"/>
  <c r="J566" i="9"/>
  <c r="Q566" i="9" s="1"/>
  <c r="R566" i="9" s="1"/>
  <c r="P565" i="9"/>
  <c r="O565" i="9"/>
  <c r="N565" i="9"/>
  <c r="M565" i="9"/>
  <c r="L565" i="9"/>
  <c r="K565" i="9"/>
  <c r="J565" i="9"/>
  <c r="Q565" i="9" s="1"/>
  <c r="R565" i="9" s="1"/>
  <c r="P564" i="9"/>
  <c r="O564" i="9"/>
  <c r="N564" i="9"/>
  <c r="M564" i="9"/>
  <c r="L564" i="9"/>
  <c r="K564" i="9"/>
  <c r="J564" i="9"/>
  <c r="Q564" i="9" s="1"/>
  <c r="R564" i="9" s="1"/>
  <c r="P563" i="9"/>
  <c r="O563" i="9"/>
  <c r="N563" i="9"/>
  <c r="M563" i="9"/>
  <c r="L563" i="9"/>
  <c r="K563" i="9"/>
  <c r="J563" i="9"/>
  <c r="Q563" i="9" s="1"/>
  <c r="R563" i="9" s="1"/>
  <c r="P562" i="9"/>
  <c r="O562" i="9"/>
  <c r="N562" i="9"/>
  <c r="M562" i="9"/>
  <c r="L562" i="9"/>
  <c r="K562" i="9"/>
  <c r="J562" i="9"/>
  <c r="Q562" i="9" s="1"/>
  <c r="R562" i="9" s="1"/>
  <c r="P561" i="9"/>
  <c r="O561" i="9"/>
  <c r="N561" i="9"/>
  <c r="M561" i="9"/>
  <c r="L561" i="9"/>
  <c r="K561" i="9"/>
  <c r="J561" i="9"/>
  <c r="Q561" i="9" s="1"/>
  <c r="R561" i="9" s="1"/>
  <c r="P560" i="9"/>
  <c r="O560" i="9"/>
  <c r="N560" i="9"/>
  <c r="M560" i="9"/>
  <c r="L560" i="9"/>
  <c r="K560" i="9"/>
  <c r="J560" i="9"/>
  <c r="Q560" i="9" s="1"/>
  <c r="R560" i="9" s="1"/>
  <c r="P559" i="9"/>
  <c r="O559" i="9"/>
  <c r="N559" i="9"/>
  <c r="M559" i="9"/>
  <c r="L559" i="9"/>
  <c r="K559" i="9"/>
  <c r="J559" i="9"/>
  <c r="Q559" i="9" s="1"/>
  <c r="R559" i="9" s="1"/>
  <c r="P558" i="9"/>
  <c r="O558" i="9"/>
  <c r="N558" i="9"/>
  <c r="M558" i="9"/>
  <c r="L558" i="9"/>
  <c r="K558" i="9"/>
  <c r="J558" i="9"/>
  <c r="Q558" i="9" s="1"/>
  <c r="R558" i="9" s="1"/>
  <c r="N557" i="9"/>
  <c r="M557" i="9"/>
  <c r="L557" i="9"/>
  <c r="K557" i="9"/>
  <c r="J557" i="9"/>
  <c r="Q557" i="9" s="1"/>
  <c r="R557" i="9" s="1"/>
  <c r="N556" i="9"/>
  <c r="M556" i="9"/>
  <c r="L556" i="9"/>
  <c r="K556" i="9"/>
  <c r="J556" i="9"/>
  <c r="Q556" i="9" s="1"/>
  <c r="R556" i="9" s="1"/>
  <c r="N555" i="9"/>
  <c r="M555" i="9"/>
  <c r="L555" i="9"/>
  <c r="K555" i="9"/>
  <c r="J555" i="9"/>
  <c r="Q555" i="9" s="1"/>
  <c r="R555" i="9" s="1"/>
  <c r="N554" i="9"/>
  <c r="M554" i="9"/>
  <c r="L554" i="9"/>
  <c r="K554" i="9"/>
  <c r="J554" i="9"/>
  <c r="Q554" i="9" s="1"/>
  <c r="R554" i="9" s="1"/>
  <c r="N553" i="9"/>
  <c r="M553" i="9"/>
  <c r="L553" i="9"/>
  <c r="K553" i="9"/>
  <c r="J553" i="9"/>
  <c r="Q553" i="9" s="1"/>
  <c r="R553" i="9" s="1"/>
  <c r="P552" i="9"/>
  <c r="O552" i="9"/>
  <c r="N552" i="9"/>
  <c r="M552" i="9"/>
  <c r="L552" i="9"/>
  <c r="K552" i="9"/>
  <c r="J552" i="9"/>
  <c r="Q552" i="9" s="1"/>
  <c r="R552" i="9" s="1"/>
  <c r="P551" i="9"/>
  <c r="O551" i="9"/>
  <c r="N551" i="9"/>
  <c r="M551" i="9"/>
  <c r="L551" i="9"/>
  <c r="J551" i="9"/>
  <c r="Q551" i="9" s="1"/>
  <c r="R551" i="9" s="1"/>
  <c r="P550" i="9"/>
  <c r="O550" i="9"/>
  <c r="N550" i="9"/>
  <c r="M550" i="9"/>
  <c r="L550" i="9"/>
  <c r="J550" i="9"/>
  <c r="Q550" i="9" s="1"/>
  <c r="R550" i="9" s="1"/>
  <c r="P549" i="9"/>
  <c r="O549" i="9"/>
  <c r="N549" i="9"/>
  <c r="M549" i="9"/>
  <c r="L549" i="9"/>
  <c r="K549" i="9"/>
  <c r="J549" i="9"/>
  <c r="Q549" i="9" s="1"/>
  <c r="R549" i="9" s="1"/>
  <c r="P548" i="9"/>
  <c r="O548" i="9"/>
  <c r="N548" i="9"/>
  <c r="M548" i="9"/>
  <c r="L548" i="9"/>
  <c r="J548" i="9"/>
  <c r="Q548" i="9" s="1"/>
  <c r="R548" i="9" s="1"/>
  <c r="P547" i="9"/>
  <c r="O547" i="9"/>
  <c r="N547" i="9"/>
  <c r="M547" i="9"/>
  <c r="L547" i="9"/>
  <c r="K547" i="9"/>
  <c r="J547" i="9"/>
  <c r="Q547" i="9" s="1"/>
  <c r="R547" i="9" s="1"/>
  <c r="P546" i="9"/>
  <c r="O546" i="9"/>
  <c r="N546" i="9"/>
  <c r="M546" i="9"/>
  <c r="L546" i="9"/>
  <c r="K546" i="9"/>
  <c r="J546" i="9"/>
  <c r="Q546" i="9" s="1"/>
  <c r="R546" i="9" s="1"/>
  <c r="P545" i="9"/>
  <c r="O545" i="9"/>
  <c r="N545" i="9"/>
  <c r="M545" i="9"/>
  <c r="L545" i="9"/>
  <c r="J545" i="9"/>
  <c r="Q545" i="9" s="1"/>
  <c r="R545" i="9" s="1"/>
  <c r="O544" i="9"/>
  <c r="N544" i="9"/>
  <c r="M544" i="9"/>
  <c r="L544" i="9"/>
  <c r="K544" i="9"/>
  <c r="J544" i="9"/>
  <c r="Q544" i="9" s="1"/>
  <c r="R544" i="9" s="1"/>
  <c r="O543" i="9"/>
  <c r="N543" i="9"/>
  <c r="M543" i="9"/>
  <c r="L543" i="9"/>
  <c r="J543" i="9"/>
  <c r="Q543" i="9" s="1"/>
  <c r="R543" i="9" s="1"/>
  <c r="O542" i="9"/>
  <c r="N542" i="9"/>
  <c r="M542" i="9"/>
  <c r="L542" i="9"/>
  <c r="K542" i="9"/>
  <c r="J542" i="9"/>
  <c r="Q542" i="9" s="1"/>
  <c r="R542" i="9" s="1"/>
  <c r="O541" i="9"/>
  <c r="N541" i="9"/>
  <c r="M541" i="9"/>
  <c r="L541" i="9"/>
  <c r="J541" i="9"/>
  <c r="Q541" i="9" s="1"/>
  <c r="R541" i="9" s="1"/>
  <c r="O540" i="9"/>
  <c r="N540" i="9"/>
  <c r="M540" i="9"/>
  <c r="L540" i="9"/>
  <c r="J540" i="9"/>
  <c r="Q540" i="9" s="1"/>
  <c r="R540" i="9" s="1"/>
  <c r="O539" i="9"/>
  <c r="N539" i="9"/>
  <c r="M539" i="9"/>
  <c r="L539" i="9"/>
  <c r="J539" i="9"/>
  <c r="Q539" i="9" s="1"/>
  <c r="R539" i="9" s="1"/>
  <c r="O538" i="9"/>
  <c r="N538" i="9"/>
  <c r="M538" i="9"/>
  <c r="L538" i="9"/>
  <c r="J538" i="9"/>
  <c r="Q538" i="9" s="1"/>
  <c r="R538" i="9" s="1"/>
  <c r="O537" i="9"/>
  <c r="N537" i="9"/>
  <c r="M537" i="9"/>
  <c r="L537" i="9"/>
  <c r="K537" i="9"/>
  <c r="J537" i="9"/>
  <c r="Q537" i="9" s="1"/>
  <c r="R537" i="9" s="1"/>
  <c r="P536" i="9"/>
  <c r="O536" i="9"/>
  <c r="N536" i="9"/>
  <c r="M536" i="9"/>
  <c r="L536" i="9"/>
  <c r="J536" i="9"/>
  <c r="Q536" i="9" s="1"/>
  <c r="R536" i="9" s="1"/>
  <c r="P535" i="9"/>
  <c r="O535" i="9"/>
  <c r="N535" i="9"/>
  <c r="M535" i="9"/>
  <c r="L535" i="9"/>
  <c r="J535" i="9"/>
  <c r="Q535" i="9" s="1"/>
  <c r="R535" i="9" s="1"/>
  <c r="P534" i="9"/>
  <c r="O534" i="9"/>
  <c r="N534" i="9"/>
  <c r="M534" i="9"/>
  <c r="L534" i="9"/>
  <c r="J534" i="9"/>
  <c r="Q534" i="9" s="1"/>
  <c r="R534" i="9" s="1"/>
  <c r="P533" i="9"/>
  <c r="O533" i="9"/>
  <c r="N533" i="9"/>
  <c r="M533" i="9"/>
  <c r="L533" i="9"/>
  <c r="J533" i="9"/>
  <c r="Q533" i="9" s="1"/>
  <c r="R533" i="9" s="1"/>
  <c r="P532" i="9"/>
  <c r="O532" i="9"/>
  <c r="N532" i="9"/>
  <c r="M532" i="9"/>
  <c r="L532" i="9"/>
  <c r="J532" i="9"/>
  <c r="Q532" i="9" s="1"/>
  <c r="R532" i="9" s="1"/>
  <c r="P531" i="9"/>
  <c r="O531" i="9"/>
  <c r="N531" i="9"/>
  <c r="M531" i="9"/>
  <c r="L531" i="9"/>
  <c r="J531" i="9"/>
  <c r="Q531" i="9" s="1"/>
  <c r="R531" i="9" s="1"/>
  <c r="P530" i="9"/>
  <c r="O530" i="9"/>
  <c r="N530" i="9"/>
  <c r="M530" i="9"/>
  <c r="L530" i="9"/>
  <c r="J530" i="9"/>
  <c r="Q530" i="9" s="1"/>
  <c r="R530" i="9" s="1"/>
  <c r="P529" i="9"/>
  <c r="O529" i="9"/>
  <c r="N529" i="9"/>
  <c r="M529" i="9"/>
  <c r="L529" i="9"/>
  <c r="J529" i="9"/>
  <c r="Q529" i="9" s="1"/>
  <c r="R529" i="9" s="1"/>
  <c r="P528" i="9"/>
  <c r="O528" i="9"/>
  <c r="N528" i="9"/>
  <c r="M528" i="9"/>
  <c r="L528" i="9"/>
  <c r="J528" i="9"/>
  <c r="Q528" i="9" s="1"/>
  <c r="R528" i="9" s="1"/>
  <c r="P527" i="9"/>
  <c r="O527" i="9"/>
  <c r="N527" i="9"/>
  <c r="M527" i="9"/>
  <c r="L527" i="9"/>
  <c r="J527" i="9"/>
  <c r="Q527" i="9" s="1"/>
  <c r="R527" i="9" s="1"/>
  <c r="P526" i="9"/>
  <c r="O526" i="9"/>
  <c r="N526" i="9"/>
  <c r="M526" i="9"/>
  <c r="L526" i="9"/>
  <c r="J526" i="9"/>
  <c r="Q526" i="9" s="1"/>
  <c r="R526" i="9" s="1"/>
  <c r="P525" i="9"/>
  <c r="O525" i="9"/>
  <c r="N525" i="9"/>
  <c r="M525" i="9"/>
  <c r="L525" i="9"/>
  <c r="J525" i="9"/>
  <c r="Q525" i="9" s="1"/>
  <c r="R525" i="9" s="1"/>
  <c r="P524" i="9"/>
  <c r="O524" i="9"/>
  <c r="N524" i="9"/>
  <c r="M524" i="9"/>
  <c r="L524" i="9"/>
  <c r="J524" i="9"/>
  <c r="Q524" i="9" s="1"/>
  <c r="R524" i="9" s="1"/>
  <c r="P523" i="9"/>
  <c r="O523" i="9"/>
  <c r="N523" i="9"/>
  <c r="M523" i="9"/>
  <c r="L523" i="9"/>
  <c r="J523" i="9"/>
  <c r="Q523" i="9" s="1"/>
  <c r="R523" i="9" s="1"/>
  <c r="P522" i="9"/>
  <c r="O522" i="9"/>
  <c r="N522" i="9"/>
  <c r="M522" i="9"/>
  <c r="L522" i="9"/>
  <c r="K522" i="9"/>
  <c r="J522" i="9"/>
  <c r="Q522" i="9" s="1"/>
  <c r="R522" i="9" s="1"/>
  <c r="P521" i="9"/>
  <c r="O521" i="9"/>
  <c r="N521" i="9"/>
  <c r="M521" i="9"/>
  <c r="L521" i="9"/>
  <c r="J521" i="9"/>
  <c r="Q521" i="9" s="1"/>
  <c r="R521" i="9" s="1"/>
  <c r="P520" i="9"/>
  <c r="O520" i="9"/>
  <c r="N520" i="9"/>
  <c r="M520" i="9"/>
  <c r="L520" i="9"/>
  <c r="J520" i="9"/>
  <c r="Q520" i="9" s="1"/>
  <c r="R520" i="9" s="1"/>
  <c r="P519" i="9"/>
  <c r="O519" i="9"/>
  <c r="N519" i="9"/>
  <c r="M519" i="9"/>
  <c r="L519" i="9"/>
  <c r="K519" i="9"/>
  <c r="J519" i="9"/>
  <c r="Q519" i="9" s="1"/>
  <c r="R519" i="9" s="1"/>
  <c r="P518" i="9"/>
  <c r="O518" i="9"/>
  <c r="N518" i="9"/>
  <c r="M518" i="9"/>
  <c r="L518" i="9"/>
  <c r="K518" i="9"/>
  <c r="J518" i="9"/>
  <c r="Q518" i="9" s="1"/>
  <c r="R518" i="9" s="1"/>
  <c r="P517" i="9"/>
  <c r="O517" i="9"/>
  <c r="N517" i="9"/>
  <c r="M517" i="9"/>
  <c r="L517" i="9"/>
  <c r="K517" i="9"/>
  <c r="J517" i="9"/>
  <c r="Q517" i="9" s="1"/>
  <c r="R517" i="9" s="1"/>
  <c r="P516" i="9"/>
  <c r="O516" i="9"/>
  <c r="N516" i="9"/>
  <c r="M516" i="9"/>
  <c r="L516" i="9"/>
  <c r="K516" i="9"/>
  <c r="J516" i="9"/>
  <c r="Q516" i="9" s="1"/>
  <c r="R516" i="9" s="1"/>
  <c r="P515" i="9"/>
  <c r="O515" i="9"/>
  <c r="N515" i="9"/>
  <c r="M515" i="9"/>
  <c r="L515" i="9"/>
  <c r="K515" i="9"/>
  <c r="J515" i="9"/>
  <c r="Q515" i="9" s="1"/>
  <c r="R515" i="9" s="1"/>
  <c r="P514" i="9"/>
  <c r="O514" i="9"/>
  <c r="N514" i="9"/>
  <c r="M514" i="9"/>
  <c r="L514" i="9"/>
  <c r="K514" i="9"/>
  <c r="J514" i="9"/>
  <c r="Q514" i="9" s="1"/>
  <c r="R514" i="9" s="1"/>
  <c r="P513" i="9"/>
  <c r="O513" i="9"/>
  <c r="N513" i="9"/>
  <c r="M513" i="9"/>
  <c r="L513" i="9"/>
  <c r="K513" i="9"/>
  <c r="J513" i="9"/>
  <c r="Q513" i="9" s="1"/>
  <c r="R513" i="9" s="1"/>
  <c r="P512" i="9"/>
  <c r="O512" i="9"/>
  <c r="N512" i="9"/>
  <c r="M512" i="9"/>
  <c r="L512" i="9"/>
  <c r="K512" i="9"/>
  <c r="J512" i="9"/>
  <c r="Q512" i="9" s="1"/>
  <c r="R512" i="9" s="1"/>
  <c r="P511" i="9"/>
  <c r="O511" i="9"/>
  <c r="N511" i="9"/>
  <c r="M511" i="9"/>
  <c r="L511" i="9"/>
  <c r="K511" i="9"/>
  <c r="J511" i="9"/>
  <c r="Q511" i="9" s="1"/>
  <c r="R511" i="9" s="1"/>
  <c r="P510" i="9"/>
  <c r="O510" i="9"/>
  <c r="N510" i="9"/>
  <c r="M510" i="9"/>
  <c r="L510" i="9"/>
  <c r="K510" i="9"/>
  <c r="J510" i="9"/>
  <c r="Q510" i="9" s="1"/>
  <c r="R510" i="9" s="1"/>
  <c r="P509" i="9"/>
  <c r="O509" i="9"/>
  <c r="N509" i="9"/>
  <c r="M509" i="9"/>
  <c r="L509" i="9"/>
  <c r="K509" i="9"/>
  <c r="J509" i="9"/>
  <c r="Q509" i="9" s="1"/>
  <c r="R509" i="9" s="1"/>
  <c r="P508" i="9"/>
  <c r="O508" i="9"/>
  <c r="N508" i="9"/>
  <c r="M508" i="9"/>
  <c r="L508" i="9"/>
  <c r="K508" i="9"/>
  <c r="J508" i="9"/>
  <c r="Q508" i="9" s="1"/>
  <c r="R508" i="9" s="1"/>
  <c r="P507" i="9"/>
  <c r="O507" i="9"/>
  <c r="N507" i="9"/>
  <c r="M507" i="9"/>
  <c r="L507" i="9"/>
  <c r="K507" i="9"/>
  <c r="J507" i="9"/>
  <c r="Q507" i="9" s="1"/>
  <c r="R507" i="9" s="1"/>
  <c r="P506" i="9"/>
  <c r="O506" i="9"/>
  <c r="N506" i="9"/>
  <c r="M506" i="9"/>
  <c r="L506" i="9"/>
  <c r="K506" i="9"/>
  <c r="J506" i="9"/>
  <c r="Q506" i="9" s="1"/>
  <c r="R506" i="9" s="1"/>
  <c r="P505" i="9"/>
  <c r="O505" i="9"/>
  <c r="N505" i="9"/>
  <c r="M505" i="9"/>
  <c r="L505" i="9"/>
  <c r="J505" i="9"/>
  <c r="Q505" i="9" s="1"/>
  <c r="R505" i="9" s="1"/>
  <c r="P504" i="9"/>
  <c r="O504" i="9"/>
  <c r="N504" i="9"/>
  <c r="M504" i="9"/>
  <c r="L504" i="9"/>
  <c r="K504" i="9"/>
  <c r="J504" i="9"/>
  <c r="Q504" i="9" s="1"/>
  <c r="R504" i="9" s="1"/>
  <c r="N503" i="9"/>
  <c r="M503" i="9"/>
  <c r="L503" i="9"/>
  <c r="J503" i="9"/>
  <c r="Q503" i="9" s="1"/>
  <c r="R503" i="9" s="1"/>
  <c r="N502" i="9"/>
  <c r="M502" i="9"/>
  <c r="L502" i="9"/>
  <c r="J502" i="9"/>
  <c r="Q502" i="9" s="1"/>
  <c r="R502" i="9" s="1"/>
  <c r="N501" i="9"/>
  <c r="M501" i="9"/>
  <c r="L501" i="9"/>
  <c r="J501" i="9"/>
  <c r="Q501" i="9" s="1"/>
  <c r="R501" i="9" s="1"/>
  <c r="P500" i="9"/>
  <c r="O500" i="9"/>
  <c r="N500" i="9"/>
  <c r="M500" i="9"/>
  <c r="L500" i="9"/>
  <c r="K500" i="9"/>
  <c r="J500" i="9"/>
  <c r="Q500" i="9" s="1"/>
  <c r="R500" i="9" s="1"/>
  <c r="P499" i="9"/>
  <c r="O499" i="9"/>
  <c r="N499" i="9"/>
  <c r="M499" i="9"/>
  <c r="L499" i="9"/>
  <c r="K499" i="9"/>
  <c r="J499" i="9"/>
  <c r="Q499" i="9" s="1"/>
  <c r="R499" i="9" s="1"/>
  <c r="P498" i="9"/>
  <c r="O498" i="9"/>
  <c r="N498" i="9"/>
  <c r="M498" i="9"/>
  <c r="L498" i="9"/>
  <c r="K498" i="9"/>
  <c r="J498" i="9"/>
  <c r="Q498" i="9" s="1"/>
  <c r="R498" i="9" s="1"/>
  <c r="P497" i="9"/>
  <c r="O497" i="9"/>
  <c r="N497" i="9"/>
  <c r="M497" i="9"/>
  <c r="L497" i="9"/>
  <c r="K497" i="9"/>
  <c r="J497" i="9"/>
  <c r="Q497" i="9" s="1"/>
  <c r="R497" i="9" s="1"/>
  <c r="P496" i="9"/>
  <c r="O496" i="9"/>
  <c r="N496" i="9"/>
  <c r="M496" i="9"/>
  <c r="L496" i="9"/>
  <c r="K496" i="9"/>
  <c r="J496" i="9"/>
  <c r="Q496" i="9" s="1"/>
  <c r="R496" i="9" s="1"/>
  <c r="P495" i="9"/>
  <c r="O495" i="9"/>
  <c r="N495" i="9"/>
  <c r="M495" i="9"/>
  <c r="L495" i="9"/>
  <c r="K495" i="9"/>
  <c r="J495" i="9"/>
  <c r="Q495" i="9" s="1"/>
  <c r="R495" i="9" s="1"/>
  <c r="N494" i="9"/>
  <c r="M494" i="9"/>
  <c r="L494" i="9"/>
  <c r="K494" i="9"/>
  <c r="J494" i="9"/>
  <c r="Q494" i="9" s="1"/>
  <c r="R494" i="9" s="1"/>
  <c r="P493" i="9"/>
  <c r="O493" i="9"/>
  <c r="N493" i="9"/>
  <c r="M493" i="9"/>
  <c r="L493" i="9"/>
  <c r="K493" i="9"/>
  <c r="J493" i="9"/>
  <c r="Q493" i="9" s="1"/>
  <c r="R493" i="9" s="1"/>
  <c r="P492" i="9"/>
  <c r="O492" i="9"/>
  <c r="N492" i="9"/>
  <c r="M492" i="9"/>
  <c r="L492" i="9"/>
  <c r="K492" i="9"/>
  <c r="J492" i="9"/>
  <c r="Q492" i="9" s="1"/>
  <c r="R492" i="9" s="1"/>
  <c r="P491" i="9"/>
  <c r="O491" i="9"/>
  <c r="N491" i="9"/>
  <c r="M491" i="9"/>
  <c r="L491" i="9"/>
  <c r="K491" i="9"/>
  <c r="J491" i="9"/>
  <c r="Q491" i="9" s="1"/>
  <c r="R491" i="9" s="1"/>
  <c r="P490" i="9"/>
  <c r="O490" i="9"/>
  <c r="N490" i="9"/>
  <c r="M490" i="9"/>
  <c r="L490" i="9"/>
  <c r="K490" i="9"/>
  <c r="J490" i="9"/>
  <c r="Q490" i="9" s="1"/>
  <c r="R490" i="9" s="1"/>
  <c r="P489" i="9"/>
  <c r="O489" i="9"/>
  <c r="N489" i="9"/>
  <c r="M489" i="9"/>
  <c r="L489" i="9"/>
  <c r="J489" i="9"/>
  <c r="Q489" i="9" s="1"/>
  <c r="R489" i="9" s="1"/>
  <c r="P488" i="9"/>
  <c r="O488" i="9"/>
  <c r="N488" i="9"/>
  <c r="M488" i="9"/>
  <c r="L488" i="9"/>
  <c r="K488" i="9"/>
  <c r="J488" i="9"/>
  <c r="Q488" i="9" s="1"/>
  <c r="R488" i="9" s="1"/>
  <c r="P487" i="9"/>
  <c r="O487" i="9"/>
  <c r="N487" i="9"/>
  <c r="M487" i="9"/>
  <c r="L487" i="9"/>
  <c r="K487" i="9"/>
  <c r="J487" i="9"/>
  <c r="Q487" i="9" s="1"/>
  <c r="R487" i="9" s="1"/>
  <c r="P486" i="9"/>
  <c r="O486" i="9"/>
  <c r="N486" i="9"/>
  <c r="M486" i="9"/>
  <c r="L486" i="9"/>
  <c r="J486" i="9"/>
  <c r="Q486" i="9" s="1"/>
  <c r="R486" i="9" s="1"/>
  <c r="P485" i="9"/>
  <c r="O485" i="9"/>
  <c r="N485" i="9"/>
  <c r="M485" i="9"/>
  <c r="L485" i="9"/>
  <c r="K485" i="9"/>
  <c r="J485" i="9"/>
  <c r="Q485" i="9" s="1"/>
  <c r="R485" i="9" s="1"/>
  <c r="P484" i="9"/>
  <c r="O484" i="9"/>
  <c r="N484" i="9"/>
  <c r="M484" i="9"/>
  <c r="L484" i="9"/>
  <c r="K484" i="9"/>
  <c r="J484" i="9"/>
  <c r="Q484" i="9" s="1"/>
  <c r="R484" i="9" s="1"/>
  <c r="P483" i="9"/>
  <c r="O483" i="9"/>
  <c r="N483" i="9"/>
  <c r="M483" i="9"/>
  <c r="L483" i="9"/>
  <c r="K483" i="9"/>
  <c r="J483" i="9"/>
  <c r="Q483" i="9" s="1"/>
  <c r="R483" i="9" s="1"/>
  <c r="P482" i="9"/>
  <c r="O482" i="9"/>
  <c r="N482" i="9"/>
  <c r="M482" i="9"/>
  <c r="L482" i="9"/>
  <c r="K482" i="9"/>
  <c r="J482" i="9"/>
  <c r="Q482" i="9" s="1"/>
  <c r="R482" i="9" s="1"/>
  <c r="P481" i="9"/>
  <c r="O481" i="9"/>
  <c r="N481" i="9"/>
  <c r="M481" i="9"/>
  <c r="L481" i="9"/>
  <c r="J481" i="9"/>
  <c r="Q481" i="9" s="1"/>
  <c r="R481" i="9" s="1"/>
  <c r="P480" i="9"/>
  <c r="O480" i="9"/>
  <c r="N480" i="9"/>
  <c r="M480" i="9"/>
  <c r="L480" i="9"/>
  <c r="J480" i="9"/>
  <c r="Q480" i="9" s="1"/>
  <c r="R480" i="9" s="1"/>
  <c r="P479" i="9"/>
  <c r="O479" i="9"/>
  <c r="N479" i="9"/>
  <c r="M479" i="9"/>
  <c r="L479" i="9"/>
  <c r="K479" i="9"/>
  <c r="J479" i="9"/>
  <c r="Q479" i="9" s="1"/>
  <c r="R479" i="9" s="1"/>
  <c r="P478" i="9"/>
  <c r="O478" i="9"/>
  <c r="N478" i="9"/>
  <c r="M478" i="9"/>
  <c r="L478" i="9"/>
  <c r="K478" i="9"/>
  <c r="J478" i="9"/>
  <c r="Q478" i="9" s="1"/>
  <c r="R478" i="9" s="1"/>
  <c r="N477" i="9"/>
  <c r="M477" i="9"/>
  <c r="L477" i="9"/>
  <c r="J477" i="9"/>
  <c r="Q477" i="9" s="1"/>
  <c r="R477" i="9" s="1"/>
  <c r="N476" i="9"/>
  <c r="M476" i="9"/>
  <c r="L476" i="9"/>
  <c r="K476" i="9"/>
  <c r="J476" i="9"/>
  <c r="Q476" i="9" s="1"/>
  <c r="R476" i="9" s="1"/>
  <c r="N475" i="9"/>
  <c r="M475" i="9"/>
  <c r="L475" i="9"/>
  <c r="K475" i="9"/>
  <c r="J475" i="9"/>
  <c r="Q475" i="9" s="1"/>
  <c r="R475" i="9" s="1"/>
  <c r="N474" i="9"/>
  <c r="M474" i="9"/>
  <c r="L474" i="9"/>
  <c r="J474" i="9"/>
  <c r="Q474" i="9" s="1"/>
  <c r="R474" i="9" s="1"/>
  <c r="N473" i="9"/>
  <c r="M473" i="9"/>
  <c r="L473" i="9"/>
  <c r="J473" i="9"/>
  <c r="Q473" i="9" s="1"/>
  <c r="R473" i="9" s="1"/>
  <c r="N472" i="9"/>
  <c r="M472" i="9"/>
  <c r="L472" i="9"/>
  <c r="K472" i="9"/>
  <c r="J472" i="9"/>
  <c r="Q472" i="9" s="1"/>
  <c r="R472" i="9" s="1"/>
  <c r="N471" i="9"/>
  <c r="M471" i="9"/>
  <c r="L471" i="9"/>
  <c r="K471" i="9"/>
  <c r="J471" i="9"/>
  <c r="Q471" i="9" s="1"/>
  <c r="R471" i="9" s="1"/>
  <c r="P470" i="9"/>
  <c r="O470" i="9"/>
  <c r="N470" i="9"/>
  <c r="M470" i="9"/>
  <c r="L470" i="9"/>
  <c r="J470" i="9"/>
  <c r="Q470" i="9" s="1"/>
  <c r="R470" i="9" s="1"/>
  <c r="P469" i="9"/>
  <c r="O469" i="9"/>
  <c r="N469" i="9"/>
  <c r="M469" i="9"/>
  <c r="L469" i="9"/>
  <c r="K469" i="9"/>
  <c r="J469" i="9"/>
  <c r="Q469" i="9" s="1"/>
  <c r="R469" i="9" s="1"/>
  <c r="P468" i="9"/>
  <c r="O468" i="9"/>
  <c r="N468" i="9"/>
  <c r="M468" i="9"/>
  <c r="L468" i="9"/>
  <c r="J468" i="9"/>
  <c r="Q468" i="9" s="1"/>
  <c r="R468" i="9" s="1"/>
  <c r="P467" i="9"/>
  <c r="O467" i="9"/>
  <c r="N467" i="9"/>
  <c r="M467" i="9"/>
  <c r="L467" i="9"/>
  <c r="K467" i="9"/>
  <c r="J467" i="9"/>
  <c r="Q467" i="9" s="1"/>
  <c r="R467" i="9" s="1"/>
  <c r="P466" i="9"/>
  <c r="O466" i="9"/>
  <c r="N466" i="9"/>
  <c r="M466" i="9"/>
  <c r="L466" i="9"/>
  <c r="J466" i="9"/>
  <c r="Q466" i="9" s="1"/>
  <c r="R466" i="9" s="1"/>
  <c r="P465" i="9"/>
  <c r="O465" i="9"/>
  <c r="N465" i="9"/>
  <c r="M465" i="9"/>
  <c r="L465" i="9"/>
  <c r="K465" i="9"/>
  <c r="J465" i="9"/>
  <c r="Q465" i="9" s="1"/>
  <c r="R465" i="9" s="1"/>
  <c r="P464" i="9"/>
  <c r="O464" i="9"/>
  <c r="N464" i="9"/>
  <c r="M464" i="9"/>
  <c r="L464" i="9"/>
  <c r="K464" i="9"/>
  <c r="J464" i="9"/>
  <c r="Q464" i="9" s="1"/>
  <c r="R464" i="9" s="1"/>
  <c r="P463" i="9"/>
  <c r="O463" i="9"/>
  <c r="N463" i="9"/>
  <c r="M463" i="9"/>
  <c r="K463" i="9"/>
  <c r="J463" i="9"/>
  <c r="Q463" i="9" s="1"/>
  <c r="R463" i="9" s="1"/>
  <c r="P462" i="9"/>
  <c r="O462" i="9"/>
  <c r="N462" i="9"/>
  <c r="M462" i="9"/>
  <c r="L462" i="9"/>
  <c r="J462" i="9"/>
  <c r="Q462" i="9" s="1"/>
  <c r="R462" i="9" s="1"/>
  <c r="P461" i="9"/>
  <c r="O461" i="9"/>
  <c r="N461" i="9"/>
  <c r="M461" i="9"/>
  <c r="L461" i="9"/>
  <c r="K461" i="9"/>
  <c r="J461" i="9"/>
  <c r="Q461" i="9" s="1"/>
  <c r="R461" i="9" s="1"/>
  <c r="P460" i="9"/>
  <c r="O460" i="9"/>
  <c r="N460" i="9"/>
  <c r="M460" i="9"/>
  <c r="L460" i="9"/>
  <c r="K460" i="9"/>
  <c r="J460" i="9"/>
  <c r="Q460" i="9" s="1"/>
  <c r="R460" i="9" s="1"/>
  <c r="P459" i="9"/>
  <c r="O459" i="9"/>
  <c r="N459" i="9"/>
  <c r="M459" i="9"/>
  <c r="L459" i="9"/>
  <c r="K459" i="9"/>
  <c r="J459" i="9"/>
  <c r="Q459" i="9" s="1"/>
  <c r="R459" i="9" s="1"/>
  <c r="P458" i="9"/>
  <c r="O458" i="9"/>
  <c r="N458" i="9"/>
  <c r="M458" i="9"/>
  <c r="L458" i="9"/>
  <c r="J458" i="9"/>
  <c r="Q458" i="9" s="1"/>
  <c r="R458" i="9" s="1"/>
  <c r="P457" i="9"/>
  <c r="O457" i="9"/>
  <c r="N457" i="9"/>
  <c r="M457" i="9"/>
  <c r="L457" i="9"/>
  <c r="J457" i="9"/>
  <c r="Q457" i="9" s="1"/>
  <c r="R457" i="9" s="1"/>
  <c r="P456" i="9"/>
  <c r="O456" i="9"/>
  <c r="N456" i="9"/>
  <c r="M456" i="9"/>
  <c r="L456" i="9"/>
  <c r="K456" i="9"/>
  <c r="J456" i="9"/>
  <c r="Q456" i="9" s="1"/>
  <c r="R456" i="9" s="1"/>
  <c r="P455" i="9"/>
  <c r="O455" i="9"/>
  <c r="N455" i="9"/>
  <c r="M455" i="9"/>
  <c r="L455" i="9"/>
  <c r="J455" i="9"/>
  <c r="Q455" i="9" s="1"/>
  <c r="R455" i="9" s="1"/>
  <c r="P454" i="9"/>
  <c r="O454" i="9"/>
  <c r="N454" i="9"/>
  <c r="M454" i="9"/>
  <c r="L454" i="9"/>
  <c r="K454" i="9"/>
  <c r="J454" i="9"/>
  <c r="Q454" i="9" s="1"/>
  <c r="R454" i="9" s="1"/>
  <c r="P453" i="9"/>
  <c r="O453" i="9"/>
  <c r="N453" i="9"/>
  <c r="M453" i="9"/>
  <c r="L453" i="9"/>
  <c r="J453" i="9"/>
  <c r="Q453" i="9" s="1"/>
  <c r="R453" i="9" s="1"/>
  <c r="P452" i="9"/>
  <c r="O452" i="9"/>
  <c r="N452" i="9"/>
  <c r="M452" i="9"/>
  <c r="L452" i="9"/>
  <c r="J452" i="9"/>
  <c r="Q452" i="9" s="1"/>
  <c r="R452" i="9" s="1"/>
  <c r="P451" i="9"/>
  <c r="O451" i="9"/>
  <c r="N451" i="9"/>
  <c r="M451" i="9"/>
  <c r="L451" i="9"/>
  <c r="J451" i="9"/>
  <c r="Q451" i="9" s="1"/>
  <c r="R451" i="9" s="1"/>
  <c r="P450" i="9"/>
  <c r="O450" i="9"/>
  <c r="N450" i="9"/>
  <c r="M450" i="9"/>
  <c r="L450" i="9"/>
  <c r="K450" i="9"/>
  <c r="J450" i="9"/>
  <c r="Q450" i="9" s="1"/>
  <c r="R450" i="9" s="1"/>
  <c r="P449" i="9"/>
  <c r="O449" i="9"/>
  <c r="N449" i="9"/>
  <c r="M449" i="9"/>
  <c r="L449" i="9"/>
  <c r="J449" i="9"/>
  <c r="Q449" i="9" s="1"/>
  <c r="R449" i="9" s="1"/>
  <c r="P448" i="9"/>
  <c r="O448" i="9"/>
  <c r="N448" i="9"/>
  <c r="M448" i="9"/>
  <c r="L448" i="9"/>
  <c r="K448" i="9"/>
  <c r="J448" i="9"/>
  <c r="Q448" i="9" s="1"/>
  <c r="R448" i="9" s="1"/>
  <c r="P447" i="9"/>
  <c r="O447" i="9"/>
  <c r="N447" i="9"/>
  <c r="M447" i="9"/>
  <c r="L447" i="9"/>
  <c r="J447" i="9"/>
  <c r="Q447" i="9" s="1"/>
  <c r="R447" i="9" s="1"/>
  <c r="P446" i="9"/>
  <c r="O446" i="9"/>
  <c r="N446" i="9"/>
  <c r="M446" i="9"/>
  <c r="L446" i="9"/>
  <c r="K446" i="9"/>
  <c r="J446" i="9"/>
  <c r="Q446" i="9" s="1"/>
  <c r="R446" i="9" s="1"/>
  <c r="P445" i="9"/>
  <c r="O445" i="9"/>
  <c r="N445" i="9"/>
  <c r="M445" i="9"/>
  <c r="L445" i="9"/>
  <c r="K445" i="9"/>
  <c r="J445" i="9"/>
  <c r="Q445" i="9" s="1"/>
  <c r="R445" i="9" s="1"/>
  <c r="P444" i="9"/>
  <c r="O444" i="9"/>
  <c r="N444" i="9"/>
  <c r="M444" i="9"/>
  <c r="L444" i="9"/>
  <c r="K444" i="9"/>
  <c r="J444" i="9"/>
  <c r="Q444" i="9" s="1"/>
  <c r="R444" i="9" s="1"/>
  <c r="P443" i="9"/>
  <c r="O443" i="9"/>
  <c r="N443" i="9"/>
  <c r="M443" i="9"/>
  <c r="L443" i="9"/>
  <c r="K443" i="9"/>
  <c r="J443" i="9"/>
  <c r="Q443" i="9" s="1"/>
  <c r="R443" i="9" s="1"/>
  <c r="P442" i="9"/>
  <c r="O442" i="9"/>
  <c r="N442" i="9"/>
  <c r="M442" i="9"/>
  <c r="L442" i="9"/>
  <c r="K442" i="9"/>
  <c r="J442" i="9"/>
  <c r="Q442" i="9" s="1"/>
  <c r="R442" i="9" s="1"/>
  <c r="P441" i="9"/>
  <c r="O441" i="9"/>
  <c r="N441" i="9"/>
  <c r="M441" i="9"/>
  <c r="L441" i="9"/>
  <c r="K441" i="9"/>
  <c r="J441" i="9"/>
  <c r="Q441" i="9" s="1"/>
  <c r="R441" i="9" s="1"/>
  <c r="P440" i="9"/>
  <c r="O440" i="9"/>
  <c r="N440" i="9"/>
  <c r="M440" i="9"/>
  <c r="L440" i="9"/>
  <c r="K440" i="9"/>
  <c r="J440" i="9"/>
  <c r="Q440" i="9" s="1"/>
  <c r="R440" i="9" s="1"/>
  <c r="P439" i="9"/>
  <c r="O439" i="9"/>
  <c r="N439" i="9"/>
  <c r="M439" i="9"/>
  <c r="L439" i="9"/>
  <c r="K439" i="9"/>
  <c r="J439" i="9"/>
  <c r="Q439" i="9" s="1"/>
  <c r="R439" i="9" s="1"/>
  <c r="P438" i="9"/>
  <c r="O438" i="9"/>
  <c r="N438" i="9"/>
  <c r="M438" i="9"/>
  <c r="L438" i="9"/>
  <c r="K438" i="9"/>
  <c r="J438" i="9"/>
  <c r="Q438" i="9" s="1"/>
  <c r="R438" i="9" s="1"/>
  <c r="P437" i="9"/>
  <c r="O437" i="9"/>
  <c r="N437" i="9"/>
  <c r="M437" i="9"/>
  <c r="L437" i="9"/>
  <c r="K437" i="9"/>
  <c r="J437" i="9"/>
  <c r="Q437" i="9" s="1"/>
  <c r="R437" i="9" s="1"/>
  <c r="P436" i="9"/>
  <c r="O436" i="9"/>
  <c r="N436" i="9"/>
  <c r="M436" i="9"/>
  <c r="L436" i="9"/>
  <c r="K436" i="9"/>
  <c r="J436" i="9"/>
  <c r="Q436" i="9" s="1"/>
  <c r="R436" i="9" s="1"/>
  <c r="N435" i="9"/>
  <c r="M435" i="9"/>
  <c r="L435" i="9"/>
  <c r="K435" i="9"/>
  <c r="J435" i="9"/>
  <c r="Q435" i="9" s="1"/>
  <c r="R435" i="9" s="1"/>
  <c r="N434" i="9"/>
  <c r="M434" i="9"/>
  <c r="L434" i="9"/>
  <c r="K434" i="9"/>
  <c r="J434" i="9"/>
  <c r="Q434" i="9" s="1"/>
  <c r="R434" i="9" s="1"/>
  <c r="N433" i="9"/>
  <c r="M433" i="9"/>
  <c r="L433" i="9"/>
  <c r="J433" i="9"/>
  <c r="Q433" i="9" s="1"/>
  <c r="R433" i="9" s="1"/>
  <c r="N432" i="9"/>
  <c r="M432" i="9"/>
  <c r="L432" i="9"/>
  <c r="J432" i="9"/>
  <c r="Q432" i="9" s="1"/>
  <c r="R432" i="9" s="1"/>
  <c r="N431" i="9"/>
  <c r="M431" i="9"/>
  <c r="L431" i="9"/>
  <c r="K431" i="9"/>
  <c r="J431" i="9"/>
  <c r="Q431" i="9" s="1"/>
  <c r="R431" i="9" s="1"/>
  <c r="N430" i="9"/>
  <c r="M430" i="9"/>
  <c r="L430" i="9"/>
  <c r="K430" i="9"/>
  <c r="J430" i="9"/>
  <c r="Q430" i="9" s="1"/>
  <c r="R430" i="9" s="1"/>
  <c r="P429" i="9"/>
  <c r="O429" i="9"/>
  <c r="N429" i="9"/>
  <c r="M429" i="9"/>
  <c r="L429" i="9"/>
  <c r="J429" i="9"/>
  <c r="Q429" i="9" s="1"/>
  <c r="R429" i="9" s="1"/>
  <c r="P428" i="9"/>
  <c r="O428" i="9"/>
  <c r="N428" i="9"/>
  <c r="M428" i="9"/>
  <c r="L428" i="9"/>
  <c r="J428" i="9"/>
  <c r="Q428" i="9" s="1"/>
  <c r="R428" i="9" s="1"/>
  <c r="P427" i="9"/>
  <c r="O427" i="9"/>
  <c r="N427" i="9"/>
  <c r="M427" i="9"/>
  <c r="L427" i="9"/>
  <c r="J427" i="9"/>
  <c r="Q427" i="9" s="1"/>
  <c r="R427" i="9" s="1"/>
  <c r="P426" i="9"/>
  <c r="O426" i="9"/>
  <c r="N426" i="9"/>
  <c r="M426" i="9"/>
  <c r="L426" i="9"/>
  <c r="K426" i="9"/>
  <c r="J426" i="9"/>
  <c r="Q426" i="9" s="1"/>
  <c r="R426" i="9" s="1"/>
  <c r="P425" i="9"/>
  <c r="O425" i="9"/>
  <c r="N425" i="9"/>
  <c r="M425" i="9"/>
  <c r="L425" i="9"/>
  <c r="K425" i="9"/>
  <c r="J425" i="9"/>
  <c r="Q425" i="9" s="1"/>
  <c r="R425" i="9" s="1"/>
  <c r="P424" i="9"/>
  <c r="O424" i="9"/>
  <c r="N424" i="9"/>
  <c r="M424" i="9"/>
  <c r="L424" i="9"/>
  <c r="K424" i="9"/>
  <c r="J424" i="9"/>
  <c r="Q424" i="9" s="1"/>
  <c r="R424" i="9" s="1"/>
  <c r="P423" i="9"/>
  <c r="O423" i="9"/>
  <c r="N423" i="9"/>
  <c r="M423" i="9"/>
  <c r="L423" i="9"/>
  <c r="J423" i="9"/>
  <c r="Q423" i="9" s="1"/>
  <c r="R423" i="9" s="1"/>
  <c r="P422" i="9"/>
  <c r="O422" i="9"/>
  <c r="N422" i="9"/>
  <c r="M422" i="9"/>
  <c r="L422" i="9"/>
  <c r="K422" i="9"/>
  <c r="J422" i="9"/>
  <c r="Q422" i="9" s="1"/>
  <c r="R422" i="9" s="1"/>
  <c r="P421" i="9"/>
  <c r="O421" i="9"/>
  <c r="N421" i="9"/>
  <c r="M421" i="9"/>
  <c r="L421" i="9"/>
  <c r="K421" i="9"/>
  <c r="J421" i="9"/>
  <c r="Q421" i="9" s="1"/>
  <c r="R421" i="9" s="1"/>
  <c r="P420" i="9"/>
  <c r="O420" i="9"/>
  <c r="N420" i="9"/>
  <c r="M420" i="9"/>
  <c r="L420" i="9"/>
  <c r="K420" i="9"/>
  <c r="J420" i="9"/>
  <c r="Q420" i="9" s="1"/>
  <c r="R420" i="9" s="1"/>
  <c r="N419" i="9"/>
  <c r="M419" i="9"/>
  <c r="L419" i="9"/>
  <c r="K419" i="9"/>
  <c r="J419" i="9"/>
  <c r="Q419" i="9" s="1"/>
  <c r="R419" i="9" s="1"/>
  <c r="N418" i="9"/>
  <c r="M418" i="9"/>
  <c r="L418" i="9"/>
  <c r="J418" i="9"/>
  <c r="Q418" i="9" s="1"/>
  <c r="R418" i="9" s="1"/>
  <c r="N417" i="9"/>
  <c r="M417" i="9"/>
  <c r="L417" i="9"/>
  <c r="K417" i="9"/>
  <c r="J417" i="9"/>
  <c r="Q417" i="9" s="1"/>
  <c r="R417" i="9" s="1"/>
  <c r="N416" i="9"/>
  <c r="M416" i="9"/>
  <c r="L416" i="9"/>
  <c r="J416" i="9"/>
  <c r="Q416" i="9" s="1"/>
  <c r="R416" i="9" s="1"/>
  <c r="N415" i="9"/>
  <c r="M415" i="9"/>
  <c r="L415" i="9"/>
  <c r="K415" i="9"/>
  <c r="J415" i="9"/>
  <c r="Q415" i="9" s="1"/>
  <c r="R415" i="9" s="1"/>
  <c r="N414" i="9"/>
  <c r="M414" i="9"/>
  <c r="L414" i="9"/>
  <c r="K414" i="9"/>
  <c r="J414" i="9"/>
  <c r="Q414" i="9" s="1"/>
  <c r="R414" i="9" s="1"/>
  <c r="P413" i="9"/>
  <c r="O413" i="9"/>
  <c r="N413" i="9"/>
  <c r="M413" i="9"/>
  <c r="L413" i="9"/>
  <c r="K413" i="9"/>
  <c r="J413" i="9"/>
  <c r="Q413" i="9" s="1"/>
  <c r="R413" i="9" s="1"/>
  <c r="P412" i="9"/>
  <c r="O412" i="9"/>
  <c r="N412" i="9"/>
  <c r="M412" i="9"/>
  <c r="L412" i="9"/>
  <c r="K412" i="9"/>
  <c r="J412" i="9"/>
  <c r="Q412" i="9" s="1"/>
  <c r="R412" i="9" s="1"/>
  <c r="P411" i="9"/>
  <c r="O411" i="9"/>
  <c r="N411" i="9"/>
  <c r="M411" i="9"/>
  <c r="L411" i="9"/>
  <c r="K411" i="9"/>
  <c r="J411" i="9"/>
  <c r="Q411" i="9" s="1"/>
  <c r="R411" i="9" s="1"/>
  <c r="P410" i="9"/>
  <c r="O410" i="9"/>
  <c r="N410" i="9"/>
  <c r="M410" i="9"/>
  <c r="L410" i="9"/>
  <c r="J410" i="9"/>
  <c r="Q410" i="9" s="1"/>
  <c r="R410" i="9" s="1"/>
  <c r="P409" i="9"/>
  <c r="O409" i="9"/>
  <c r="N409" i="9"/>
  <c r="M409" i="9"/>
  <c r="L409" i="9"/>
  <c r="K409" i="9"/>
  <c r="J409" i="9"/>
  <c r="Q409" i="9" s="1"/>
  <c r="R409" i="9" s="1"/>
  <c r="P408" i="9"/>
  <c r="O408" i="9"/>
  <c r="N408" i="9"/>
  <c r="M408" i="9"/>
  <c r="L408" i="9"/>
  <c r="K408" i="9"/>
  <c r="J408" i="9"/>
  <c r="Q408" i="9" s="1"/>
  <c r="R408" i="9" s="1"/>
  <c r="P407" i="9"/>
  <c r="O407" i="9"/>
  <c r="N407" i="9"/>
  <c r="M407" i="9"/>
  <c r="L407" i="9"/>
  <c r="K407" i="9"/>
  <c r="J407" i="9"/>
  <c r="Q407" i="9" s="1"/>
  <c r="R407" i="9" s="1"/>
  <c r="P406" i="9"/>
  <c r="O406" i="9"/>
  <c r="N406" i="9"/>
  <c r="M406" i="9"/>
  <c r="L406" i="9"/>
  <c r="K406" i="9"/>
  <c r="J406" i="9"/>
  <c r="Q406" i="9" s="1"/>
  <c r="R406" i="9" s="1"/>
  <c r="P405" i="9"/>
  <c r="O405" i="9"/>
  <c r="N405" i="9"/>
  <c r="M405" i="9"/>
  <c r="L405" i="9"/>
  <c r="K405" i="9"/>
  <c r="J405" i="9"/>
  <c r="Q405" i="9" s="1"/>
  <c r="R405" i="9" s="1"/>
  <c r="P404" i="9"/>
  <c r="O404" i="9"/>
  <c r="N404" i="9"/>
  <c r="M404" i="9"/>
  <c r="L404" i="9"/>
  <c r="K404" i="9"/>
  <c r="J404" i="9"/>
  <c r="Q404" i="9" s="1"/>
  <c r="R404" i="9" s="1"/>
  <c r="P403" i="9"/>
  <c r="O403" i="9"/>
  <c r="N403" i="9"/>
  <c r="M403" i="9"/>
  <c r="L403" i="9"/>
  <c r="J403" i="9"/>
  <c r="Q403" i="9" s="1"/>
  <c r="R403" i="9" s="1"/>
  <c r="P402" i="9"/>
  <c r="O402" i="9"/>
  <c r="N402" i="9"/>
  <c r="M402" i="9"/>
  <c r="L402" i="9"/>
  <c r="K402" i="9"/>
  <c r="J402" i="9"/>
  <c r="Q402" i="9" s="1"/>
  <c r="R402" i="9" s="1"/>
  <c r="P401" i="9"/>
  <c r="O401" i="9"/>
  <c r="N401" i="9"/>
  <c r="M401" i="9"/>
  <c r="L401" i="9"/>
  <c r="K401" i="9"/>
  <c r="J401" i="9"/>
  <c r="Q401" i="9" s="1"/>
  <c r="R401" i="9" s="1"/>
  <c r="P400" i="9"/>
  <c r="O400" i="9"/>
  <c r="N400" i="9"/>
  <c r="M400" i="9"/>
  <c r="L400" i="9"/>
  <c r="K400" i="9"/>
  <c r="J400" i="9"/>
  <c r="Q400" i="9" s="1"/>
  <c r="R400" i="9" s="1"/>
  <c r="P399" i="9"/>
  <c r="O399" i="9"/>
  <c r="N399" i="9"/>
  <c r="M399" i="9"/>
  <c r="L399" i="9"/>
  <c r="J399" i="9"/>
  <c r="Q399" i="9" s="1"/>
  <c r="R399" i="9" s="1"/>
  <c r="P398" i="9"/>
  <c r="O398" i="9"/>
  <c r="N398" i="9"/>
  <c r="M398" i="9"/>
  <c r="L398" i="9"/>
  <c r="J398" i="9"/>
  <c r="Q398" i="9" s="1"/>
  <c r="R398" i="9" s="1"/>
  <c r="P397" i="9"/>
  <c r="O397" i="9"/>
  <c r="N397" i="9"/>
  <c r="M397" i="9"/>
  <c r="L397" i="9"/>
  <c r="K397" i="9"/>
  <c r="J397" i="9"/>
  <c r="Q397" i="9" s="1"/>
  <c r="R397" i="9" s="1"/>
  <c r="P396" i="9"/>
  <c r="O396" i="9"/>
  <c r="N396" i="9"/>
  <c r="M396" i="9"/>
  <c r="L396" i="9"/>
  <c r="K396" i="9"/>
  <c r="J396" i="9"/>
  <c r="Q396" i="9" s="1"/>
  <c r="R396" i="9" s="1"/>
  <c r="P395" i="9"/>
  <c r="O395" i="9"/>
  <c r="N395" i="9"/>
  <c r="M395" i="9"/>
  <c r="L395" i="9"/>
  <c r="J395" i="9"/>
  <c r="Q395" i="9" s="1"/>
  <c r="R395" i="9" s="1"/>
  <c r="P394" i="9"/>
  <c r="O394" i="9"/>
  <c r="N394" i="9"/>
  <c r="M394" i="9"/>
  <c r="L394" i="9"/>
  <c r="K394" i="9"/>
  <c r="J394" i="9"/>
  <c r="Q394" i="9" s="1"/>
  <c r="R394" i="9" s="1"/>
  <c r="P393" i="9"/>
  <c r="O393" i="9"/>
  <c r="N393" i="9"/>
  <c r="M393" i="9"/>
  <c r="L393" i="9"/>
  <c r="K393" i="9"/>
  <c r="J393" i="9"/>
  <c r="Q393" i="9" s="1"/>
  <c r="R393" i="9" s="1"/>
  <c r="P392" i="9"/>
  <c r="O392" i="9"/>
  <c r="N392" i="9"/>
  <c r="M392" i="9"/>
  <c r="L392" i="9"/>
  <c r="K392" i="9"/>
  <c r="J392" i="9"/>
  <c r="Q392" i="9" s="1"/>
  <c r="R392" i="9" s="1"/>
  <c r="P391" i="9"/>
  <c r="O391" i="9"/>
  <c r="N391" i="9"/>
  <c r="M391" i="9"/>
  <c r="L391" i="9"/>
  <c r="K391" i="9"/>
  <c r="J391" i="9"/>
  <c r="Q391" i="9" s="1"/>
  <c r="R391" i="9" s="1"/>
  <c r="P390" i="9"/>
  <c r="O390" i="9"/>
  <c r="N390" i="9"/>
  <c r="M390" i="9"/>
  <c r="L390" i="9"/>
  <c r="J390" i="9"/>
  <c r="Q390" i="9" s="1"/>
  <c r="R390" i="9" s="1"/>
  <c r="P389" i="9"/>
  <c r="O389" i="9"/>
  <c r="N389" i="9"/>
  <c r="M389" i="9"/>
  <c r="L389" i="9"/>
  <c r="K389" i="9"/>
  <c r="J389" i="9"/>
  <c r="Q389" i="9" s="1"/>
  <c r="R389" i="9" s="1"/>
  <c r="P388" i="9"/>
  <c r="O388" i="9"/>
  <c r="N388" i="9"/>
  <c r="M388" i="9"/>
  <c r="L388" i="9"/>
  <c r="K388" i="9"/>
  <c r="J388" i="9"/>
  <c r="Q388" i="9" s="1"/>
  <c r="R388" i="9" s="1"/>
  <c r="P387" i="9"/>
  <c r="O387" i="9"/>
  <c r="N387" i="9"/>
  <c r="M387" i="9"/>
  <c r="L387" i="9"/>
  <c r="K387" i="9"/>
  <c r="J387" i="9"/>
  <c r="Q387" i="9" s="1"/>
  <c r="R387" i="9" s="1"/>
  <c r="P386" i="9"/>
  <c r="O386" i="9"/>
  <c r="N386" i="9"/>
  <c r="M386" i="9"/>
  <c r="L386" i="9"/>
  <c r="K386" i="9"/>
  <c r="J386" i="9"/>
  <c r="Q386" i="9" s="1"/>
  <c r="R386" i="9" s="1"/>
  <c r="P385" i="9"/>
  <c r="O385" i="9"/>
  <c r="N385" i="9"/>
  <c r="M385" i="9"/>
  <c r="L385" i="9"/>
  <c r="K385" i="9"/>
  <c r="J385" i="9"/>
  <c r="Q385" i="9" s="1"/>
  <c r="R385" i="9" s="1"/>
  <c r="P384" i="9"/>
  <c r="O384" i="9"/>
  <c r="N384" i="9"/>
  <c r="M384" i="9"/>
  <c r="L384" i="9"/>
  <c r="K384" i="9"/>
  <c r="J384" i="9"/>
  <c r="Q384" i="9" s="1"/>
  <c r="R384" i="9" s="1"/>
  <c r="P383" i="9"/>
  <c r="O383" i="9"/>
  <c r="N383" i="9"/>
  <c r="M383" i="9"/>
  <c r="L383" i="9"/>
  <c r="K383" i="9"/>
  <c r="J383" i="9"/>
  <c r="Q383" i="9" s="1"/>
  <c r="R383" i="9" s="1"/>
  <c r="P382" i="9"/>
  <c r="O382" i="9"/>
  <c r="N382" i="9"/>
  <c r="M382" i="9"/>
  <c r="L382" i="9"/>
  <c r="K382" i="9"/>
  <c r="J382" i="9"/>
  <c r="Q382" i="9" s="1"/>
  <c r="R382" i="9" s="1"/>
  <c r="P381" i="9"/>
  <c r="O381" i="9"/>
  <c r="N381" i="9"/>
  <c r="M381" i="9"/>
  <c r="L381" i="9"/>
  <c r="K381" i="9"/>
  <c r="J381" i="9"/>
  <c r="Q381" i="9" s="1"/>
  <c r="R381" i="9" s="1"/>
  <c r="P380" i="9"/>
  <c r="O380" i="9"/>
  <c r="N380" i="9"/>
  <c r="M380" i="9"/>
  <c r="L380" i="9"/>
  <c r="K380" i="9"/>
  <c r="J380" i="9"/>
  <c r="Q380" i="9" s="1"/>
  <c r="R380" i="9" s="1"/>
  <c r="P379" i="9"/>
  <c r="O379" i="9"/>
  <c r="N379" i="9"/>
  <c r="M379" i="9"/>
  <c r="L379" i="9"/>
  <c r="K379" i="9"/>
  <c r="J379" i="9"/>
  <c r="Q379" i="9" s="1"/>
  <c r="R379" i="9" s="1"/>
  <c r="O378" i="9"/>
  <c r="N378" i="9"/>
  <c r="M378" i="9"/>
  <c r="L378" i="9"/>
  <c r="J378" i="9"/>
  <c r="Q378" i="9" s="1"/>
  <c r="R378" i="9" s="1"/>
  <c r="P377" i="9"/>
  <c r="O377" i="9"/>
  <c r="N377" i="9"/>
  <c r="M377" i="9"/>
  <c r="L377" i="9"/>
  <c r="J377" i="9"/>
  <c r="Q377" i="9" s="1"/>
  <c r="R377" i="9" s="1"/>
  <c r="P376" i="9"/>
  <c r="O376" i="9"/>
  <c r="N376" i="9"/>
  <c r="M376" i="9"/>
  <c r="L376" i="9"/>
  <c r="K376" i="9"/>
  <c r="J376" i="9"/>
  <c r="Q376" i="9" s="1"/>
  <c r="R376" i="9" s="1"/>
  <c r="P375" i="9"/>
  <c r="O375" i="9"/>
  <c r="N375" i="9"/>
  <c r="M375" i="9"/>
  <c r="L375" i="9"/>
  <c r="K375" i="9"/>
  <c r="J375" i="9"/>
  <c r="Q375" i="9" s="1"/>
  <c r="R375" i="9" s="1"/>
  <c r="P374" i="9"/>
  <c r="O374" i="9"/>
  <c r="N374" i="9"/>
  <c r="M374" i="9"/>
  <c r="L374" i="9"/>
  <c r="J374" i="9"/>
  <c r="Q374" i="9" s="1"/>
  <c r="R374" i="9" s="1"/>
  <c r="P373" i="9"/>
  <c r="O373" i="9"/>
  <c r="N373" i="9"/>
  <c r="M373" i="9"/>
  <c r="L373" i="9"/>
  <c r="K373" i="9"/>
  <c r="J373" i="9"/>
  <c r="Q373" i="9" s="1"/>
  <c r="R373" i="9" s="1"/>
  <c r="P372" i="9"/>
  <c r="O372" i="9"/>
  <c r="N372" i="9"/>
  <c r="M372" i="9"/>
  <c r="L372" i="9"/>
  <c r="J372" i="9"/>
  <c r="Q372" i="9" s="1"/>
  <c r="R372" i="9" s="1"/>
  <c r="P371" i="9"/>
  <c r="O371" i="9"/>
  <c r="N371" i="9"/>
  <c r="M371" i="9"/>
  <c r="L371" i="9"/>
  <c r="J371" i="9"/>
  <c r="Q371" i="9" s="1"/>
  <c r="R371" i="9" s="1"/>
  <c r="P370" i="9"/>
  <c r="O370" i="9"/>
  <c r="N370" i="9"/>
  <c r="M370" i="9"/>
  <c r="L370" i="9"/>
  <c r="K370" i="9"/>
  <c r="J370" i="9"/>
  <c r="Q370" i="9" s="1"/>
  <c r="R370" i="9" s="1"/>
  <c r="P369" i="9"/>
  <c r="O369" i="9"/>
  <c r="N369" i="9"/>
  <c r="M369" i="9"/>
  <c r="L369" i="9"/>
  <c r="J369" i="9"/>
  <c r="Q369" i="9" s="1"/>
  <c r="R369" i="9" s="1"/>
  <c r="P368" i="9"/>
  <c r="O368" i="9"/>
  <c r="N368" i="9"/>
  <c r="M368" i="9"/>
  <c r="L368" i="9"/>
  <c r="K368" i="9"/>
  <c r="J368" i="9"/>
  <c r="Q368" i="9" s="1"/>
  <c r="R368" i="9" s="1"/>
  <c r="N367" i="9"/>
  <c r="M367" i="9"/>
  <c r="L367" i="9"/>
  <c r="J367" i="9"/>
  <c r="Q367" i="9" s="1"/>
  <c r="R367" i="9" s="1"/>
  <c r="N366" i="9"/>
  <c r="M366" i="9"/>
  <c r="L366" i="9"/>
  <c r="K366" i="9"/>
  <c r="J366" i="9"/>
  <c r="Q366" i="9" s="1"/>
  <c r="R366" i="9" s="1"/>
  <c r="N365" i="9"/>
  <c r="M365" i="9"/>
  <c r="L365" i="9"/>
  <c r="K365" i="9"/>
  <c r="J365" i="9"/>
  <c r="Q365" i="9" s="1"/>
  <c r="R365" i="9" s="1"/>
  <c r="P364" i="9"/>
  <c r="O364" i="9"/>
  <c r="N364" i="9"/>
  <c r="M364" i="9"/>
  <c r="L364" i="9"/>
  <c r="J364" i="9"/>
  <c r="Q364" i="9" s="1"/>
  <c r="R364" i="9" s="1"/>
  <c r="P363" i="9"/>
  <c r="O363" i="9"/>
  <c r="N363" i="9"/>
  <c r="M363" i="9"/>
  <c r="L363" i="9"/>
  <c r="J363" i="9"/>
  <c r="Q363" i="9" s="1"/>
  <c r="R363" i="9" s="1"/>
  <c r="P362" i="9"/>
  <c r="O362" i="9"/>
  <c r="N362" i="9"/>
  <c r="M362" i="9"/>
  <c r="L362" i="9"/>
  <c r="J362" i="9"/>
  <c r="Q362" i="9" s="1"/>
  <c r="R362" i="9" s="1"/>
  <c r="P361" i="9"/>
  <c r="O361" i="9"/>
  <c r="N361" i="9"/>
  <c r="M361" i="9"/>
  <c r="L361" i="9"/>
  <c r="J361" i="9"/>
  <c r="Q361" i="9" s="1"/>
  <c r="R361" i="9" s="1"/>
  <c r="P360" i="9"/>
  <c r="O360" i="9"/>
  <c r="N360" i="9"/>
  <c r="M360" i="9"/>
  <c r="L360" i="9"/>
  <c r="J360" i="9"/>
  <c r="Q360" i="9" s="1"/>
  <c r="R360" i="9" s="1"/>
  <c r="P359" i="9"/>
  <c r="O359" i="9"/>
  <c r="N359" i="9"/>
  <c r="M359" i="9"/>
  <c r="L359" i="9"/>
  <c r="K359" i="9"/>
  <c r="J359" i="9"/>
  <c r="Q359" i="9" s="1"/>
  <c r="R359" i="9" s="1"/>
  <c r="P358" i="9"/>
  <c r="O358" i="9"/>
  <c r="N358" i="9"/>
  <c r="M358" i="9"/>
  <c r="L358" i="9"/>
  <c r="J358" i="9"/>
  <c r="Q358" i="9" s="1"/>
  <c r="R358" i="9" s="1"/>
  <c r="P357" i="9"/>
  <c r="O357" i="9"/>
  <c r="N357" i="9"/>
  <c r="M357" i="9"/>
  <c r="L357" i="9"/>
  <c r="K357" i="9"/>
  <c r="J357" i="9"/>
  <c r="Q357" i="9" s="1"/>
  <c r="R357" i="9" s="1"/>
  <c r="P356" i="9"/>
  <c r="O356" i="9"/>
  <c r="N356" i="9"/>
  <c r="M356" i="9"/>
  <c r="L356" i="9"/>
  <c r="J356" i="9"/>
  <c r="Q356" i="9" s="1"/>
  <c r="R356" i="9" s="1"/>
  <c r="P355" i="9"/>
  <c r="O355" i="9"/>
  <c r="N355" i="9"/>
  <c r="M355" i="9"/>
  <c r="L355" i="9"/>
  <c r="J355" i="9"/>
  <c r="Q355" i="9" s="1"/>
  <c r="R355" i="9" s="1"/>
  <c r="P354" i="9"/>
  <c r="O354" i="9"/>
  <c r="N354" i="9"/>
  <c r="M354" i="9"/>
  <c r="L354" i="9"/>
  <c r="J354" i="9"/>
  <c r="Q354" i="9" s="1"/>
  <c r="R354" i="9" s="1"/>
  <c r="P353" i="9"/>
  <c r="O353" i="9"/>
  <c r="N353" i="9"/>
  <c r="M353" i="9"/>
  <c r="L353" i="9"/>
  <c r="K353" i="9"/>
  <c r="J353" i="9"/>
  <c r="Q353" i="9" s="1"/>
  <c r="R353" i="9" s="1"/>
  <c r="P352" i="9"/>
  <c r="O352" i="9"/>
  <c r="N352" i="9"/>
  <c r="M352" i="9"/>
  <c r="L352" i="9"/>
  <c r="K352" i="9"/>
  <c r="J352" i="9"/>
  <c r="Q352" i="9" s="1"/>
  <c r="R352" i="9" s="1"/>
  <c r="P351" i="9"/>
  <c r="O351" i="9"/>
  <c r="N351" i="9"/>
  <c r="M351" i="9"/>
  <c r="L351" i="9"/>
  <c r="K351" i="9"/>
  <c r="J351" i="9"/>
  <c r="Q351" i="9" s="1"/>
  <c r="R351" i="9" s="1"/>
  <c r="N350" i="9"/>
  <c r="M350" i="9"/>
  <c r="L350" i="9"/>
  <c r="K350" i="9"/>
  <c r="J350" i="9"/>
  <c r="Q350" i="9" s="1"/>
  <c r="R350" i="9" s="1"/>
  <c r="N349" i="9"/>
  <c r="M349" i="9"/>
  <c r="L349" i="9"/>
  <c r="K349" i="9"/>
  <c r="J349" i="9"/>
  <c r="Q349" i="9" s="1"/>
  <c r="R349" i="9" s="1"/>
  <c r="N348" i="9"/>
  <c r="M348" i="9"/>
  <c r="L348" i="9"/>
  <c r="J348" i="9"/>
  <c r="Q348" i="9" s="1"/>
  <c r="R348" i="9" s="1"/>
  <c r="N347" i="9"/>
  <c r="M347" i="9"/>
  <c r="L347" i="9"/>
  <c r="K347" i="9"/>
  <c r="J347" i="9"/>
  <c r="Q347" i="9" s="1"/>
  <c r="R347" i="9" s="1"/>
  <c r="N346" i="9"/>
  <c r="M346" i="9"/>
  <c r="L346" i="9"/>
  <c r="K346" i="9"/>
  <c r="J346" i="9"/>
  <c r="Q346" i="9" s="1"/>
  <c r="R346" i="9" s="1"/>
  <c r="N345" i="9"/>
  <c r="M345" i="9"/>
  <c r="L345" i="9"/>
  <c r="K345" i="9"/>
  <c r="J345" i="9"/>
  <c r="Q345" i="9" s="1"/>
  <c r="R345" i="9" s="1"/>
  <c r="N344" i="9"/>
  <c r="M344" i="9"/>
  <c r="L344" i="9"/>
  <c r="K344" i="9"/>
  <c r="J344" i="9"/>
  <c r="Q344" i="9" s="1"/>
  <c r="R344" i="9" s="1"/>
  <c r="P343" i="9"/>
  <c r="O343" i="9"/>
  <c r="N343" i="9"/>
  <c r="M343" i="9"/>
  <c r="L343" i="9"/>
  <c r="K343" i="9"/>
  <c r="J343" i="9"/>
  <c r="Q343" i="9" s="1"/>
  <c r="R343" i="9" s="1"/>
  <c r="P342" i="9"/>
  <c r="O342" i="9"/>
  <c r="N342" i="9"/>
  <c r="M342" i="9"/>
  <c r="L342" i="9"/>
  <c r="K342" i="9"/>
  <c r="J342" i="9"/>
  <c r="Q342" i="9" s="1"/>
  <c r="R342" i="9" s="1"/>
  <c r="P341" i="9"/>
  <c r="O341" i="9"/>
  <c r="N341" i="9"/>
  <c r="M341" i="9"/>
  <c r="L341" i="9"/>
  <c r="K341" i="9"/>
  <c r="J341" i="9"/>
  <c r="Q341" i="9" s="1"/>
  <c r="P340" i="9"/>
  <c r="O340" i="9"/>
  <c r="N340" i="9"/>
  <c r="M340" i="9"/>
  <c r="L340" i="9"/>
  <c r="K340" i="9"/>
  <c r="J340" i="9"/>
  <c r="Q340" i="9" s="1"/>
  <c r="R340" i="9" s="1"/>
  <c r="P339" i="9"/>
  <c r="O339" i="9"/>
  <c r="N339" i="9"/>
  <c r="M339" i="9"/>
  <c r="L339" i="9"/>
  <c r="J339" i="9"/>
  <c r="Q339" i="9" s="1"/>
  <c r="R339" i="9" s="1"/>
  <c r="P338" i="9"/>
  <c r="O338" i="9"/>
  <c r="N338" i="9"/>
  <c r="M338" i="9"/>
  <c r="L338" i="9"/>
  <c r="K338" i="9"/>
  <c r="J338" i="9"/>
  <c r="Q338" i="9" s="1"/>
  <c r="R338" i="9" s="1"/>
  <c r="P337" i="9"/>
  <c r="O337" i="9"/>
  <c r="N337" i="9"/>
  <c r="M337" i="9"/>
  <c r="L337" i="9"/>
  <c r="K337" i="9"/>
  <c r="J337" i="9"/>
  <c r="Q337" i="9" s="1"/>
  <c r="R337" i="9" s="1"/>
  <c r="P336" i="9"/>
  <c r="O336" i="9"/>
  <c r="N336" i="9"/>
  <c r="M336" i="9"/>
  <c r="L336" i="9"/>
  <c r="J336" i="9"/>
  <c r="Q336" i="9" s="1"/>
  <c r="R336" i="9" s="1"/>
  <c r="P335" i="9"/>
  <c r="N335" i="9"/>
  <c r="M335" i="9"/>
  <c r="L335" i="9"/>
  <c r="K335" i="9"/>
  <c r="J335" i="9"/>
  <c r="P334" i="9"/>
  <c r="N334" i="9"/>
  <c r="M334" i="9"/>
  <c r="L334" i="9"/>
  <c r="J334" i="9"/>
  <c r="P333" i="9"/>
  <c r="N333" i="9"/>
  <c r="M333" i="9"/>
  <c r="L333" i="9"/>
  <c r="K333" i="9"/>
  <c r="J333" i="9"/>
  <c r="P332" i="9"/>
  <c r="N332" i="9"/>
  <c r="M332" i="9"/>
  <c r="L332" i="9"/>
  <c r="K332" i="9"/>
  <c r="J332" i="9"/>
  <c r="P331" i="9"/>
  <c r="N331" i="9"/>
  <c r="M331" i="9"/>
  <c r="L331" i="9"/>
  <c r="K331" i="9"/>
  <c r="J331" i="9"/>
  <c r="P330" i="9"/>
  <c r="N330" i="9"/>
  <c r="M330" i="9"/>
  <c r="L330" i="9"/>
  <c r="J330" i="9"/>
  <c r="P329" i="9"/>
  <c r="N329" i="9"/>
  <c r="M329" i="9"/>
  <c r="L329" i="9"/>
  <c r="J329" i="9"/>
  <c r="N328" i="9"/>
  <c r="M328" i="9"/>
  <c r="L328" i="9"/>
  <c r="K328" i="9"/>
  <c r="J328" i="9"/>
  <c r="Q328" i="9" s="1"/>
  <c r="R328" i="9" s="1"/>
  <c r="N327" i="9"/>
  <c r="M327" i="9"/>
  <c r="L327" i="9"/>
  <c r="J327" i="9"/>
  <c r="Q327" i="9" s="1"/>
  <c r="R327" i="9" s="1"/>
  <c r="N326" i="9"/>
  <c r="M326" i="9"/>
  <c r="L326" i="9"/>
  <c r="J326" i="9"/>
  <c r="Q326" i="9" s="1"/>
  <c r="R326" i="9" s="1"/>
  <c r="N325" i="9"/>
  <c r="M325" i="9"/>
  <c r="L325" i="9"/>
  <c r="K325" i="9"/>
  <c r="J325" i="9"/>
  <c r="Q325" i="9" s="1"/>
  <c r="R325" i="9" s="1"/>
  <c r="N324" i="9"/>
  <c r="M324" i="9"/>
  <c r="L324" i="9"/>
  <c r="K324" i="9"/>
  <c r="J324" i="9"/>
  <c r="Q324" i="9" s="1"/>
  <c r="R324" i="9" s="1"/>
  <c r="N323" i="9"/>
  <c r="M323" i="9"/>
  <c r="L323" i="9"/>
  <c r="J323" i="9"/>
  <c r="Q323" i="9" s="1"/>
  <c r="R323" i="9" s="1"/>
  <c r="N322" i="9"/>
  <c r="M322" i="9"/>
  <c r="L322" i="9"/>
  <c r="K322" i="9"/>
  <c r="J322" i="9"/>
  <c r="Q322" i="9" s="1"/>
  <c r="R322" i="9" s="1"/>
  <c r="N321" i="9"/>
  <c r="M321" i="9"/>
  <c r="L321" i="9"/>
  <c r="K321" i="9"/>
  <c r="J321" i="9"/>
  <c r="Q321" i="9" s="1"/>
  <c r="R321" i="9" s="1"/>
  <c r="N320" i="9"/>
  <c r="M320" i="9"/>
  <c r="L320" i="9"/>
  <c r="K320" i="9"/>
  <c r="J320" i="9"/>
  <c r="Q320" i="9" s="1"/>
  <c r="R320" i="9" s="1"/>
  <c r="N319" i="9"/>
  <c r="M319" i="9"/>
  <c r="L319" i="9"/>
  <c r="K319" i="9"/>
  <c r="J319" i="9"/>
  <c r="Q319" i="9" s="1"/>
  <c r="R319" i="9" s="1"/>
  <c r="N318" i="9"/>
  <c r="M318" i="9"/>
  <c r="L318" i="9"/>
  <c r="K318" i="9"/>
  <c r="J318" i="9"/>
  <c r="Q318" i="9" s="1"/>
  <c r="R318" i="9" s="1"/>
  <c r="N317" i="9"/>
  <c r="M317" i="9"/>
  <c r="L317" i="9"/>
  <c r="K317" i="9"/>
  <c r="J317" i="9"/>
  <c r="Q317" i="9" s="1"/>
  <c r="R317" i="9" s="1"/>
  <c r="N316" i="9"/>
  <c r="M316" i="9"/>
  <c r="L316" i="9"/>
  <c r="K316" i="9"/>
  <c r="J316" i="9"/>
  <c r="Q316" i="9" s="1"/>
  <c r="R316" i="9" s="1"/>
  <c r="N315" i="9"/>
  <c r="M315" i="9"/>
  <c r="L315" i="9"/>
  <c r="K315" i="9"/>
  <c r="J315" i="9"/>
  <c r="Q315" i="9" s="1"/>
  <c r="R315" i="9" s="1"/>
  <c r="N314" i="9"/>
  <c r="M314" i="9"/>
  <c r="L314" i="9"/>
  <c r="K314" i="9"/>
  <c r="J314" i="9"/>
  <c r="Q314" i="9" s="1"/>
  <c r="R314" i="9" s="1"/>
  <c r="N313" i="9"/>
  <c r="M313" i="9"/>
  <c r="L313" i="9"/>
  <c r="K313" i="9"/>
  <c r="J313" i="9"/>
  <c r="Q313" i="9" s="1"/>
  <c r="R313" i="9" s="1"/>
  <c r="N312" i="9"/>
  <c r="M312" i="9"/>
  <c r="L312" i="9"/>
  <c r="K312" i="9"/>
  <c r="J312" i="9"/>
  <c r="Q312" i="9" s="1"/>
  <c r="R312" i="9" s="1"/>
  <c r="N311" i="9"/>
  <c r="M311" i="9"/>
  <c r="L311" i="9"/>
  <c r="K311" i="9"/>
  <c r="J311" i="9"/>
  <c r="Q311" i="9" s="1"/>
  <c r="R311" i="9" s="1"/>
  <c r="N310" i="9"/>
  <c r="M310" i="9"/>
  <c r="L310" i="9"/>
  <c r="K310" i="9"/>
  <c r="J310" i="9"/>
  <c r="Q310" i="9" s="1"/>
  <c r="R310" i="9" s="1"/>
  <c r="N309" i="9"/>
  <c r="M309" i="9"/>
  <c r="L309" i="9"/>
  <c r="K309" i="9"/>
  <c r="J309" i="9"/>
  <c r="Q309" i="9" s="1"/>
  <c r="R309" i="9" s="1"/>
  <c r="N308" i="9"/>
  <c r="M308" i="9"/>
  <c r="L308" i="9"/>
  <c r="K308" i="9"/>
  <c r="J308" i="9"/>
  <c r="Q308" i="9" s="1"/>
  <c r="R308" i="9" s="1"/>
  <c r="P307" i="9"/>
  <c r="N307" i="9"/>
  <c r="M307" i="9"/>
  <c r="L307" i="9"/>
  <c r="K307" i="9"/>
  <c r="J307" i="9"/>
  <c r="P306" i="9"/>
  <c r="N306" i="9"/>
  <c r="M306" i="9"/>
  <c r="L306" i="9"/>
  <c r="J306" i="9"/>
  <c r="P305" i="9"/>
  <c r="N305" i="9"/>
  <c r="M305" i="9"/>
  <c r="L305" i="9"/>
  <c r="J305" i="9"/>
  <c r="P304" i="9"/>
  <c r="N304" i="9"/>
  <c r="M304" i="9"/>
  <c r="L304" i="9"/>
  <c r="J304" i="9"/>
  <c r="P303" i="9"/>
  <c r="N303" i="9"/>
  <c r="M303" i="9"/>
  <c r="L303" i="9"/>
  <c r="J303" i="9"/>
  <c r="P302" i="9"/>
  <c r="N302" i="9"/>
  <c r="M302" i="9"/>
  <c r="L302" i="9"/>
  <c r="J302" i="9"/>
  <c r="P301" i="9"/>
  <c r="N301" i="9"/>
  <c r="M301" i="9"/>
  <c r="L301" i="9"/>
  <c r="J301" i="9"/>
  <c r="P300" i="9"/>
  <c r="N300" i="9"/>
  <c r="M300" i="9"/>
  <c r="L300" i="9"/>
  <c r="K300" i="9"/>
  <c r="J300" i="9"/>
  <c r="P299" i="9"/>
  <c r="N299" i="9"/>
  <c r="M299" i="9"/>
  <c r="L299" i="9"/>
  <c r="K299" i="9"/>
  <c r="J299" i="9"/>
  <c r="P298" i="9"/>
  <c r="N298" i="9"/>
  <c r="M298" i="9"/>
  <c r="L298" i="9"/>
  <c r="K298" i="9"/>
  <c r="J298" i="9"/>
  <c r="P297" i="9"/>
  <c r="N297" i="9"/>
  <c r="M297" i="9"/>
  <c r="L297" i="9"/>
  <c r="K297" i="9"/>
  <c r="J297" i="9"/>
  <c r="P296" i="9"/>
  <c r="N296" i="9"/>
  <c r="M296" i="9"/>
  <c r="L296" i="9"/>
  <c r="K296" i="9"/>
  <c r="J296" i="9"/>
  <c r="P295" i="9"/>
  <c r="N295" i="9"/>
  <c r="M295" i="9"/>
  <c r="L295" i="9"/>
  <c r="K295" i="9"/>
  <c r="J295" i="9"/>
  <c r="P294" i="9"/>
  <c r="N294" i="9"/>
  <c r="M294" i="9"/>
  <c r="L294" i="9"/>
  <c r="J294" i="9"/>
  <c r="P293" i="9"/>
  <c r="N293" i="9"/>
  <c r="M293" i="9"/>
  <c r="L293" i="9"/>
  <c r="K293" i="9"/>
  <c r="J293" i="9"/>
  <c r="P292" i="9"/>
  <c r="N292" i="9"/>
  <c r="M292" i="9"/>
  <c r="L292" i="9"/>
  <c r="K292" i="9"/>
  <c r="J292" i="9"/>
  <c r="P291" i="9"/>
  <c r="N291" i="9"/>
  <c r="M291" i="9"/>
  <c r="L291" i="9"/>
  <c r="K291" i="9"/>
  <c r="J291" i="9"/>
  <c r="P290" i="9"/>
  <c r="N290" i="9"/>
  <c r="M290" i="9"/>
  <c r="L290" i="9"/>
  <c r="J290" i="9"/>
  <c r="P289" i="9"/>
  <c r="N289" i="9"/>
  <c r="M289" i="9"/>
  <c r="L289" i="9"/>
  <c r="K289" i="9"/>
  <c r="J289" i="9"/>
  <c r="P288" i="9"/>
  <c r="N288" i="9"/>
  <c r="M288" i="9"/>
  <c r="L288" i="9"/>
  <c r="J288" i="9"/>
  <c r="P287" i="9"/>
  <c r="N287" i="9"/>
  <c r="M287" i="9"/>
  <c r="L287" i="9"/>
  <c r="J287" i="9"/>
  <c r="P286" i="9"/>
  <c r="N286" i="9"/>
  <c r="M286" i="9"/>
  <c r="L286" i="9"/>
  <c r="J286" i="9"/>
  <c r="P285" i="9"/>
  <c r="N285" i="9"/>
  <c r="M285" i="9"/>
  <c r="L285" i="9"/>
  <c r="K285" i="9"/>
  <c r="J285" i="9"/>
  <c r="P284" i="9"/>
  <c r="N284" i="9"/>
  <c r="M284" i="9"/>
  <c r="L284" i="9"/>
  <c r="J284" i="9"/>
  <c r="P283" i="9"/>
  <c r="N283" i="9"/>
  <c r="M283" i="9"/>
  <c r="L283" i="9"/>
  <c r="K283" i="9"/>
  <c r="J283" i="9"/>
  <c r="P282" i="9"/>
  <c r="N282" i="9"/>
  <c r="M282" i="9"/>
  <c r="L282" i="9"/>
  <c r="K282" i="9"/>
  <c r="J282" i="9"/>
  <c r="P281" i="9"/>
  <c r="N281" i="9"/>
  <c r="M281" i="9"/>
  <c r="L281" i="9"/>
  <c r="K281" i="9"/>
  <c r="J281" i="9"/>
  <c r="P280" i="9"/>
  <c r="N280" i="9"/>
  <c r="M280" i="9"/>
  <c r="L280" i="9"/>
  <c r="K280" i="9"/>
  <c r="J280" i="9"/>
  <c r="P279" i="9"/>
  <c r="N279" i="9"/>
  <c r="M279" i="9"/>
  <c r="L279" i="9"/>
  <c r="K279" i="9"/>
  <c r="J279" i="9"/>
  <c r="P278" i="9"/>
  <c r="N278" i="9"/>
  <c r="M278" i="9"/>
  <c r="L278" i="9"/>
  <c r="K278" i="9"/>
  <c r="J278" i="9"/>
  <c r="P277" i="9"/>
  <c r="N277" i="9"/>
  <c r="M277" i="9"/>
  <c r="L277" i="9"/>
  <c r="K277" i="9"/>
  <c r="J277" i="9"/>
  <c r="P276" i="9"/>
  <c r="N276" i="9"/>
  <c r="M276" i="9"/>
  <c r="L276" i="9"/>
  <c r="K276" i="9"/>
  <c r="J276" i="9"/>
  <c r="P275" i="9"/>
  <c r="N275" i="9"/>
  <c r="M275" i="9"/>
  <c r="L275" i="9"/>
  <c r="K275" i="9"/>
  <c r="J275" i="9"/>
  <c r="P274" i="9"/>
  <c r="N274" i="9"/>
  <c r="M274" i="9"/>
  <c r="L274" i="9"/>
  <c r="J274" i="9"/>
  <c r="P273" i="9"/>
  <c r="N273" i="9"/>
  <c r="M273" i="9"/>
  <c r="L273" i="9"/>
  <c r="J273" i="9"/>
  <c r="P272" i="9"/>
  <c r="N272" i="9"/>
  <c r="M272" i="9"/>
  <c r="L272" i="9"/>
  <c r="K272" i="9"/>
  <c r="J272" i="9"/>
  <c r="P271" i="9"/>
  <c r="N271" i="9"/>
  <c r="M271" i="9"/>
  <c r="L271" i="9"/>
  <c r="K271" i="9"/>
  <c r="J271" i="9"/>
  <c r="P270" i="9"/>
  <c r="N270" i="9"/>
  <c r="M270" i="9"/>
  <c r="L270" i="9"/>
  <c r="J270" i="9"/>
  <c r="P269" i="9"/>
  <c r="N269" i="9"/>
  <c r="M269" i="9"/>
  <c r="L269" i="9"/>
  <c r="K269" i="9"/>
  <c r="J269" i="9"/>
  <c r="P268" i="9"/>
  <c r="N268" i="9"/>
  <c r="M268" i="9"/>
  <c r="L268" i="9"/>
  <c r="K268" i="9"/>
  <c r="J268" i="9"/>
  <c r="P267" i="9"/>
  <c r="N267" i="9"/>
  <c r="M267" i="9"/>
  <c r="L267" i="9"/>
  <c r="K267" i="9"/>
  <c r="J267" i="9"/>
  <c r="P266" i="9"/>
  <c r="N266" i="9"/>
  <c r="M266" i="9"/>
  <c r="L266" i="9"/>
  <c r="K266" i="9"/>
  <c r="J266" i="9"/>
  <c r="P265" i="9"/>
  <c r="N265" i="9"/>
  <c r="M265" i="9"/>
  <c r="L265" i="9"/>
  <c r="K265" i="9"/>
  <c r="J265" i="9"/>
  <c r="N264" i="9"/>
  <c r="M264" i="9"/>
  <c r="L264" i="9"/>
  <c r="J264" i="9"/>
  <c r="Q264" i="9" s="1"/>
  <c r="R264" i="9" s="1"/>
  <c r="N263" i="9"/>
  <c r="M263" i="9"/>
  <c r="L263" i="9"/>
  <c r="J263" i="9"/>
  <c r="Q263" i="9" s="1"/>
  <c r="R263" i="9" s="1"/>
  <c r="P262" i="9"/>
  <c r="N262" i="9"/>
  <c r="M262" i="9"/>
  <c r="L262" i="9"/>
  <c r="J262" i="9"/>
  <c r="P261" i="9"/>
  <c r="N261" i="9"/>
  <c r="M261" i="9"/>
  <c r="L261" i="9"/>
  <c r="K261" i="9"/>
  <c r="J261" i="9"/>
  <c r="P260" i="9"/>
  <c r="N260" i="9"/>
  <c r="M260" i="9"/>
  <c r="L260" i="9"/>
  <c r="J260" i="9"/>
  <c r="P259" i="9"/>
  <c r="N259" i="9"/>
  <c r="M259" i="9"/>
  <c r="L259" i="9"/>
  <c r="J259" i="9"/>
  <c r="P258" i="9"/>
  <c r="N258" i="9"/>
  <c r="M258" i="9"/>
  <c r="L258" i="9"/>
  <c r="K258" i="9"/>
  <c r="J258" i="9"/>
  <c r="P257" i="9"/>
  <c r="N257" i="9"/>
  <c r="M257" i="9"/>
  <c r="L257" i="9"/>
  <c r="J257" i="9"/>
  <c r="P256" i="9"/>
  <c r="N256" i="9"/>
  <c r="M256" i="9"/>
  <c r="L256" i="9"/>
  <c r="K256" i="9"/>
  <c r="J256" i="9"/>
  <c r="P255" i="9"/>
  <c r="N255" i="9"/>
  <c r="M255" i="9"/>
  <c r="L255" i="9"/>
  <c r="J255" i="9"/>
  <c r="P254" i="9"/>
  <c r="N254" i="9"/>
  <c r="M254" i="9"/>
  <c r="L254" i="9"/>
  <c r="J254" i="9"/>
  <c r="P253" i="9"/>
  <c r="N253" i="9"/>
  <c r="M253" i="9"/>
  <c r="L253" i="9"/>
  <c r="J253" i="9"/>
  <c r="P252" i="9"/>
  <c r="N252" i="9"/>
  <c r="M252" i="9"/>
  <c r="L252" i="9"/>
  <c r="K252" i="9"/>
  <c r="J252" i="9"/>
  <c r="P251" i="9"/>
  <c r="N251" i="9"/>
  <c r="M251" i="9"/>
  <c r="L251" i="9"/>
  <c r="K251" i="9"/>
  <c r="J251" i="9"/>
  <c r="P250" i="9"/>
  <c r="N250" i="9"/>
  <c r="M250" i="9"/>
  <c r="L250" i="9"/>
  <c r="K250" i="9"/>
  <c r="J250" i="9"/>
  <c r="P249" i="9"/>
  <c r="N249" i="9"/>
  <c r="M249" i="9"/>
  <c r="L249" i="9"/>
  <c r="K249" i="9"/>
  <c r="J249" i="9"/>
  <c r="P248" i="9"/>
  <c r="N248" i="9"/>
  <c r="M248" i="9"/>
  <c r="L248" i="9"/>
  <c r="K248" i="9"/>
  <c r="J248" i="9"/>
  <c r="P247" i="9"/>
  <c r="N247" i="9"/>
  <c r="M247" i="9"/>
  <c r="L247" i="9"/>
  <c r="K247" i="9"/>
  <c r="J247" i="9"/>
  <c r="P246" i="9"/>
  <c r="N246" i="9"/>
  <c r="M246" i="9"/>
  <c r="L246" i="9"/>
  <c r="K246" i="9"/>
  <c r="J246" i="9"/>
  <c r="P245" i="9"/>
  <c r="N245" i="9"/>
  <c r="M245" i="9"/>
  <c r="L245" i="9"/>
  <c r="K245" i="9"/>
  <c r="J245" i="9"/>
  <c r="P244" i="9"/>
  <c r="N244" i="9"/>
  <c r="M244" i="9"/>
  <c r="L244" i="9"/>
  <c r="K244" i="9"/>
  <c r="J244" i="9"/>
  <c r="P243" i="9"/>
  <c r="N243" i="9"/>
  <c r="M243" i="9"/>
  <c r="L243" i="9"/>
  <c r="K243" i="9"/>
  <c r="J243" i="9"/>
  <c r="P242" i="9"/>
  <c r="N242" i="9"/>
  <c r="M242" i="9"/>
  <c r="L242" i="9"/>
  <c r="J242" i="9"/>
  <c r="P241" i="9"/>
  <c r="N241" i="9"/>
  <c r="M241" i="9"/>
  <c r="L241" i="9"/>
  <c r="K241" i="9"/>
  <c r="J241" i="9"/>
  <c r="P240" i="9"/>
  <c r="N240" i="9"/>
  <c r="M240" i="9"/>
  <c r="L240" i="9"/>
  <c r="K240" i="9"/>
  <c r="J240" i="9"/>
  <c r="P239" i="9"/>
  <c r="N239" i="9"/>
  <c r="M239" i="9"/>
  <c r="L239" i="9"/>
  <c r="K239" i="9"/>
  <c r="J239" i="9"/>
  <c r="P238" i="9"/>
  <c r="N238" i="9"/>
  <c r="M238" i="9"/>
  <c r="L238" i="9"/>
  <c r="K238" i="9"/>
  <c r="J238" i="9"/>
  <c r="P237" i="9"/>
  <c r="N237" i="9"/>
  <c r="M237" i="9"/>
  <c r="L237" i="9"/>
  <c r="J237" i="9"/>
  <c r="P236" i="9"/>
  <c r="N236" i="9"/>
  <c r="M236" i="9"/>
  <c r="L236" i="9"/>
  <c r="J236" i="9"/>
  <c r="N235" i="9"/>
  <c r="M235" i="9"/>
  <c r="L235" i="9"/>
  <c r="K235" i="9"/>
  <c r="J235" i="9"/>
  <c r="Q235" i="9" s="1"/>
  <c r="R235" i="9" s="1"/>
  <c r="N234" i="9"/>
  <c r="M234" i="9"/>
  <c r="L234" i="9"/>
  <c r="K234" i="9"/>
  <c r="J234" i="9"/>
  <c r="Q234" i="9" s="1"/>
  <c r="R234" i="9" s="1"/>
  <c r="N233" i="9"/>
  <c r="M233" i="9"/>
  <c r="L233" i="9"/>
  <c r="K233" i="9"/>
  <c r="J233" i="9"/>
  <c r="Q233" i="9" s="1"/>
  <c r="R233" i="9" s="1"/>
  <c r="N232" i="9"/>
  <c r="M232" i="9"/>
  <c r="L232" i="9"/>
  <c r="K232" i="9"/>
  <c r="J232" i="9"/>
  <c r="Q232" i="9" s="1"/>
  <c r="R232" i="9" s="1"/>
  <c r="N231" i="9"/>
  <c r="M231" i="9"/>
  <c r="L231" i="9"/>
  <c r="K231" i="9"/>
  <c r="J231" i="9"/>
  <c r="Q231" i="9" s="1"/>
  <c r="R231" i="9" s="1"/>
  <c r="N230" i="9"/>
  <c r="M230" i="9"/>
  <c r="L230" i="9"/>
  <c r="K230" i="9"/>
  <c r="J230" i="9"/>
  <c r="Q230" i="9" s="1"/>
  <c r="R230" i="9" s="1"/>
  <c r="P229" i="9"/>
  <c r="N229" i="9"/>
  <c r="M229" i="9"/>
  <c r="L229" i="9"/>
  <c r="K229" i="9"/>
  <c r="J229" i="9"/>
  <c r="P228" i="9"/>
  <c r="N228" i="9"/>
  <c r="M228" i="9"/>
  <c r="L228" i="9"/>
  <c r="K228" i="9"/>
  <c r="J228" i="9"/>
  <c r="P227" i="9"/>
  <c r="N227" i="9"/>
  <c r="M227" i="9"/>
  <c r="L227" i="9"/>
  <c r="K227" i="9"/>
  <c r="J227" i="9"/>
  <c r="P226" i="9"/>
  <c r="N226" i="9"/>
  <c r="M226" i="9"/>
  <c r="L226" i="9"/>
  <c r="K226" i="9"/>
  <c r="J226" i="9"/>
  <c r="P225" i="9"/>
  <c r="N225" i="9"/>
  <c r="M225" i="9"/>
  <c r="L225" i="9"/>
  <c r="K225" i="9"/>
  <c r="J225" i="9"/>
  <c r="P224" i="9"/>
  <c r="N224" i="9"/>
  <c r="M224" i="9"/>
  <c r="L224" i="9"/>
  <c r="K224" i="9"/>
  <c r="J224" i="9"/>
  <c r="P223" i="9"/>
  <c r="N223" i="9"/>
  <c r="M223" i="9"/>
  <c r="L223" i="9"/>
  <c r="K223" i="9"/>
  <c r="J223" i="9"/>
  <c r="P222" i="9"/>
  <c r="N222" i="9"/>
  <c r="M222" i="9"/>
  <c r="L222" i="9"/>
  <c r="K222" i="9"/>
  <c r="J222" i="9"/>
  <c r="P221" i="9"/>
  <c r="N221" i="9"/>
  <c r="M221" i="9"/>
  <c r="L221" i="9"/>
  <c r="K221" i="9"/>
  <c r="J221" i="9"/>
  <c r="P220" i="9"/>
  <c r="N220" i="9"/>
  <c r="M220" i="9"/>
  <c r="L220" i="9"/>
  <c r="K220" i="9"/>
  <c r="J220" i="9"/>
  <c r="P219" i="9"/>
  <c r="N219" i="9"/>
  <c r="M219" i="9"/>
  <c r="L219" i="9"/>
  <c r="K219" i="9"/>
  <c r="J219" i="9"/>
  <c r="P218" i="9"/>
  <c r="N218" i="9"/>
  <c r="M218" i="9"/>
  <c r="L218" i="9"/>
  <c r="K218" i="9"/>
  <c r="J218" i="9"/>
  <c r="P217" i="9"/>
  <c r="N217" i="9"/>
  <c r="M217" i="9"/>
  <c r="L217" i="9"/>
  <c r="K217" i="9"/>
  <c r="J217" i="9"/>
  <c r="P216" i="9"/>
  <c r="N216" i="9"/>
  <c r="M216" i="9"/>
  <c r="L216" i="9"/>
  <c r="K216" i="9"/>
  <c r="J216" i="9"/>
  <c r="P215" i="9"/>
  <c r="N215" i="9"/>
  <c r="M215" i="9"/>
  <c r="L215" i="9"/>
  <c r="K215" i="9"/>
  <c r="J215" i="9"/>
  <c r="P214" i="9"/>
  <c r="N214" i="9"/>
  <c r="M214" i="9"/>
  <c r="L214" i="9"/>
  <c r="K214" i="9"/>
  <c r="J214" i="9"/>
  <c r="P213" i="9"/>
  <c r="N213" i="9"/>
  <c r="M213" i="9"/>
  <c r="L213" i="9"/>
  <c r="K213" i="9"/>
  <c r="J213" i="9"/>
  <c r="P212" i="9"/>
  <c r="N212" i="9"/>
  <c r="M212" i="9"/>
  <c r="L212" i="9"/>
  <c r="K212" i="9"/>
  <c r="J212" i="9"/>
  <c r="P211" i="9"/>
  <c r="N211" i="9"/>
  <c r="M211" i="9"/>
  <c r="L211" i="9"/>
  <c r="K211" i="9"/>
  <c r="J211" i="9"/>
  <c r="P210" i="9"/>
  <c r="N210" i="9"/>
  <c r="M210" i="9"/>
  <c r="L210" i="9"/>
  <c r="K210" i="9"/>
  <c r="J210" i="9"/>
  <c r="N209" i="9"/>
  <c r="M209" i="9"/>
  <c r="L209" i="9"/>
  <c r="K209" i="9"/>
  <c r="J209" i="9"/>
  <c r="Q209" i="9" s="1"/>
  <c r="R209" i="9" s="1"/>
  <c r="N208" i="9"/>
  <c r="M208" i="9"/>
  <c r="L208" i="9"/>
  <c r="J208" i="9"/>
  <c r="Q208" i="9" s="1"/>
  <c r="R208" i="9" s="1"/>
  <c r="N207" i="9"/>
  <c r="M207" i="9"/>
  <c r="L207" i="9"/>
  <c r="J207" i="9"/>
  <c r="Q207" i="9" s="1"/>
  <c r="R207" i="9" s="1"/>
  <c r="N206" i="9"/>
  <c r="M206" i="9"/>
  <c r="L206" i="9"/>
  <c r="J206" i="9"/>
  <c r="Q206" i="9" s="1"/>
  <c r="R206" i="9" s="1"/>
  <c r="N205" i="9"/>
  <c r="M205" i="9"/>
  <c r="L205" i="9"/>
  <c r="K205" i="9"/>
  <c r="J205" i="9"/>
  <c r="Q205" i="9" s="1"/>
  <c r="R205" i="9" s="1"/>
  <c r="N204" i="9"/>
  <c r="M204" i="9"/>
  <c r="L204" i="9"/>
  <c r="K204" i="9"/>
  <c r="J204" i="9"/>
  <c r="Q204" i="9" s="1"/>
  <c r="R204" i="9" s="1"/>
  <c r="N203" i="9"/>
  <c r="M203" i="9"/>
  <c r="L203" i="9"/>
  <c r="K203" i="9"/>
  <c r="J203" i="9"/>
  <c r="Q203" i="9" s="1"/>
  <c r="R203" i="9" s="1"/>
  <c r="N202" i="9"/>
  <c r="M202" i="9"/>
  <c r="L202" i="9"/>
  <c r="K202" i="9"/>
  <c r="J202" i="9"/>
  <c r="Q202" i="9" s="1"/>
  <c r="R202" i="9" s="1"/>
  <c r="N201" i="9"/>
  <c r="M201" i="9"/>
  <c r="L201" i="9"/>
  <c r="K201" i="9"/>
  <c r="J201" i="9"/>
  <c r="Q201" i="9" s="1"/>
  <c r="R201" i="9" s="1"/>
  <c r="N200" i="9"/>
  <c r="M200" i="9"/>
  <c r="L200" i="9"/>
  <c r="K200" i="9"/>
  <c r="J200" i="9"/>
  <c r="Q200" i="9" s="1"/>
  <c r="R200" i="9" s="1"/>
  <c r="N199" i="9"/>
  <c r="M199" i="9"/>
  <c r="J199" i="9"/>
  <c r="Q199" i="9" s="1"/>
  <c r="R199" i="9" s="1"/>
  <c r="N198" i="9"/>
  <c r="M198" i="9"/>
  <c r="L198" i="9"/>
  <c r="K198" i="9"/>
  <c r="J198" i="9"/>
  <c r="Q198" i="9" s="1"/>
  <c r="R198" i="9" s="1"/>
  <c r="N197" i="9"/>
  <c r="M197" i="9"/>
  <c r="L197" i="9"/>
  <c r="K197" i="9"/>
  <c r="J197" i="9"/>
  <c r="Q197" i="9" s="1"/>
  <c r="R197" i="9" s="1"/>
  <c r="N196" i="9"/>
  <c r="M196" i="9"/>
  <c r="L196" i="9"/>
  <c r="K196" i="9"/>
  <c r="J196" i="9"/>
  <c r="Q196" i="9" s="1"/>
  <c r="R196" i="9" s="1"/>
  <c r="N195" i="9"/>
  <c r="M195" i="9"/>
  <c r="L195" i="9"/>
  <c r="K195" i="9"/>
  <c r="J195" i="9"/>
  <c r="Q195" i="9" s="1"/>
  <c r="R195" i="9" s="1"/>
  <c r="N194" i="9"/>
  <c r="M194" i="9"/>
  <c r="L194" i="9"/>
  <c r="J194" i="9"/>
  <c r="Q194" i="9" s="1"/>
  <c r="R194" i="9" s="1"/>
  <c r="N193" i="9"/>
  <c r="M193" i="9"/>
  <c r="L193" i="9"/>
  <c r="J193" i="9"/>
  <c r="Q193" i="9" s="1"/>
  <c r="R193" i="9" s="1"/>
  <c r="N192" i="9"/>
  <c r="M192" i="9"/>
  <c r="L192" i="9"/>
  <c r="J192" i="9"/>
  <c r="Q192" i="9" s="1"/>
  <c r="R192" i="9" s="1"/>
  <c r="N191" i="9"/>
  <c r="M191" i="9"/>
  <c r="L191" i="9"/>
  <c r="K191" i="9"/>
  <c r="J191" i="9"/>
  <c r="Q191" i="9" s="1"/>
  <c r="R191" i="9" s="1"/>
  <c r="M190" i="9"/>
  <c r="L190" i="9"/>
  <c r="K190" i="9"/>
  <c r="Q190" i="9" s="1"/>
  <c r="R190" i="9" s="1"/>
  <c r="N189" i="9"/>
  <c r="M189" i="9"/>
  <c r="L189" i="9"/>
  <c r="K189" i="9"/>
  <c r="J189" i="9"/>
  <c r="Q189" i="9" s="1"/>
  <c r="R189" i="9" s="1"/>
  <c r="N188" i="9"/>
  <c r="M188" i="9"/>
  <c r="L188" i="9"/>
  <c r="K188" i="9"/>
  <c r="J188" i="9"/>
  <c r="Q188" i="9" s="1"/>
  <c r="R188" i="9" s="1"/>
  <c r="N187" i="9"/>
  <c r="M187" i="9"/>
  <c r="L187" i="9"/>
  <c r="J187" i="9"/>
  <c r="Q187" i="9" s="1"/>
  <c r="R187" i="9" s="1"/>
  <c r="N186" i="9"/>
  <c r="M186" i="9"/>
  <c r="L186" i="9"/>
  <c r="K186" i="9"/>
  <c r="J186" i="9"/>
  <c r="Q186" i="9" s="1"/>
  <c r="R186" i="9" s="1"/>
  <c r="N185" i="9"/>
  <c r="M185" i="9"/>
  <c r="L185" i="9"/>
  <c r="K185" i="9"/>
  <c r="J185" i="9"/>
  <c r="Q185" i="9" s="1"/>
  <c r="R185" i="9" s="1"/>
  <c r="N184" i="9"/>
  <c r="M184" i="9"/>
  <c r="L184" i="9"/>
  <c r="K184" i="9"/>
  <c r="J184" i="9"/>
  <c r="Q184" i="9" s="1"/>
  <c r="R184" i="9" s="1"/>
  <c r="M183" i="9"/>
  <c r="L183" i="9"/>
  <c r="K183" i="9"/>
  <c r="J183" i="9"/>
  <c r="Q183" i="9" s="1"/>
  <c r="R183" i="9" s="1"/>
  <c r="P182" i="9"/>
  <c r="M182" i="9"/>
  <c r="L182" i="9"/>
  <c r="K182" i="9"/>
  <c r="J182" i="9"/>
  <c r="P181" i="9"/>
  <c r="N181" i="9"/>
  <c r="M181" i="9"/>
  <c r="L181" i="9"/>
  <c r="K181" i="9"/>
  <c r="J181" i="9"/>
  <c r="P180" i="9"/>
  <c r="M180" i="9"/>
  <c r="L180" i="9"/>
  <c r="K180" i="9"/>
  <c r="J180" i="9"/>
  <c r="M179" i="9"/>
  <c r="L179" i="9"/>
  <c r="K179" i="9"/>
  <c r="J179" i="9"/>
  <c r="M178" i="9"/>
  <c r="L178" i="9"/>
  <c r="K178" i="9"/>
  <c r="J178" i="9"/>
  <c r="M177" i="9"/>
  <c r="L177" i="9"/>
  <c r="K177" i="9"/>
  <c r="J177" i="9"/>
  <c r="M176" i="9"/>
  <c r="L176" i="9"/>
  <c r="K176" i="9"/>
  <c r="J176" i="9"/>
  <c r="M175" i="9"/>
  <c r="L175" i="9"/>
  <c r="K175" i="9"/>
  <c r="J175" i="9"/>
  <c r="Q175" i="9" s="1"/>
  <c r="R175" i="9" s="1"/>
  <c r="M174" i="9"/>
  <c r="L174" i="9"/>
  <c r="K174" i="9"/>
  <c r="J174" i="9"/>
  <c r="M173" i="9"/>
  <c r="L173" i="9"/>
  <c r="K173" i="9"/>
  <c r="J173" i="9"/>
  <c r="Q173" i="9" s="1"/>
  <c r="R173" i="9" s="1"/>
  <c r="P172" i="9"/>
  <c r="N172" i="9"/>
  <c r="M172" i="9"/>
  <c r="L172" i="9"/>
  <c r="K172" i="9"/>
  <c r="J172" i="9"/>
  <c r="P171" i="9"/>
  <c r="N171" i="9"/>
  <c r="M171" i="9"/>
  <c r="L171" i="9"/>
  <c r="K171" i="9"/>
  <c r="J171" i="9"/>
  <c r="P170" i="9"/>
  <c r="M170" i="9"/>
  <c r="L170" i="9"/>
  <c r="K170" i="9"/>
  <c r="J170" i="9"/>
  <c r="P169" i="9"/>
  <c r="N169" i="9"/>
  <c r="M169" i="9"/>
  <c r="L169" i="9"/>
  <c r="K169" i="9"/>
  <c r="J169" i="9"/>
  <c r="P168" i="9"/>
  <c r="N168" i="9"/>
  <c r="M168" i="9"/>
  <c r="L168" i="9"/>
  <c r="K168" i="9"/>
  <c r="J168" i="9"/>
  <c r="P167" i="9"/>
  <c r="N167" i="9"/>
  <c r="M167" i="9"/>
  <c r="L167" i="9"/>
  <c r="K167" i="9"/>
  <c r="J167" i="9"/>
  <c r="M166" i="9"/>
  <c r="L166" i="9"/>
  <c r="K166" i="9"/>
  <c r="J166" i="9"/>
  <c r="Q166" i="9" s="1"/>
  <c r="R166" i="9" s="1"/>
  <c r="M165" i="9"/>
  <c r="L165" i="9"/>
  <c r="K165" i="9"/>
  <c r="J165" i="9"/>
  <c r="M164" i="9"/>
  <c r="L164" i="9"/>
  <c r="K164" i="9"/>
  <c r="J164" i="9"/>
  <c r="M163" i="9"/>
  <c r="L163" i="9"/>
  <c r="K163" i="9"/>
  <c r="J163" i="9"/>
  <c r="M162" i="9"/>
  <c r="L162" i="9"/>
  <c r="K162" i="9"/>
  <c r="J162" i="9"/>
  <c r="M161" i="9"/>
  <c r="L161" i="9"/>
  <c r="K161" i="9"/>
  <c r="J161" i="9"/>
  <c r="P160" i="9"/>
  <c r="N160" i="9"/>
  <c r="M160" i="9"/>
  <c r="L160" i="9"/>
  <c r="K160" i="9"/>
  <c r="J160" i="9"/>
  <c r="P159" i="9"/>
  <c r="N159" i="9"/>
  <c r="M159" i="9"/>
  <c r="L159" i="9"/>
  <c r="K159" i="9"/>
  <c r="J159" i="9"/>
  <c r="P158" i="9"/>
  <c r="N158" i="9"/>
  <c r="M158" i="9"/>
  <c r="L158" i="9"/>
  <c r="K158" i="9"/>
  <c r="J158" i="9"/>
  <c r="P157" i="9"/>
  <c r="N157" i="9"/>
  <c r="M157" i="9"/>
  <c r="L157" i="9"/>
  <c r="K157" i="9"/>
  <c r="J157" i="9"/>
  <c r="P156" i="9"/>
  <c r="N156" i="9"/>
  <c r="M156" i="9"/>
  <c r="L156" i="9"/>
  <c r="K156" i="9"/>
  <c r="J156" i="9"/>
  <c r="P155" i="9"/>
  <c r="N155" i="9"/>
  <c r="M155" i="9"/>
  <c r="L155" i="9"/>
  <c r="K155" i="9"/>
  <c r="J155" i="9"/>
  <c r="M154" i="9"/>
  <c r="L154" i="9"/>
  <c r="K154" i="9"/>
  <c r="J154" i="9"/>
  <c r="M153" i="9"/>
  <c r="L153" i="9"/>
  <c r="K153" i="9"/>
  <c r="J153" i="9"/>
  <c r="P152" i="9"/>
  <c r="N152" i="9"/>
  <c r="M152" i="9"/>
  <c r="L152" i="9"/>
  <c r="K152" i="9"/>
  <c r="J152" i="9"/>
  <c r="P151" i="9"/>
  <c r="N151" i="9"/>
  <c r="M151" i="9"/>
  <c r="L151" i="9"/>
  <c r="K151" i="9"/>
  <c r="J151" i="9"/>
  <c r="P150" i="9"/>
  <c r="N150" i="9"/>
  <c r="M150" i="9"/>
  <c r="L150" i="9"/>
  <c r="K150" i="9"/>
  <c r="J150" i="9"/>
  <c r="P149" i="9"/>
  <c r="N149" i="9"/>
  <c r="M149" i="9"/>
  <c r="L149" i="9"/>
  <c r="K149" i="9"/>
  <c r="J149" i="9"/>
  <c r="P148" i="9"/>
  <c r="N148" i="9"/>
  <c r="M148" i="9"/>
  <c r="L148" i="9"/>
  <c r="K148" i="9"/>
  <c r="J148" i="9"/>
  <c r="P147" i="9"/>
  <c r="N147" i="9"/>
  <c r="M147" i="9"/>
  <c r="L147" i="9"/>
  <c r="K147" i="9"/>
  <c r="J147" i="9"/>
  <c r="P146" i="9"/>
  <c r="N146" i="9"/>
  <c r="M146" i="9"/>
  <c r="L146" i="9"/>
  <c r="K146" i="9"/>
  <c r="J146" i="9"/>
  <c r="P145" i="9"/>
  <c r="N145" i="9"/>
  <c r="M145" i="9"/>
  <c r="L145" i="9"/>
  <c r="K145" i="9"/>
  <c r="J145" i="9"/>
  <c r="P144" i="9"/>
  <c r="N144" i="9"/>
  <c r="M144" i="9"/>
  <c r="L144" i="9"/>
  <c r="K144" i="9"/>
  <c r="J144" i="9"/>
  <c r="P143" i="9"/>
  <c r="N143" i="9"/>
  <c r="M143" i="9"/>
  <c r="L143" i="9"/>
  <c r="K143" i="9"/>
  <c r="J143" i="9"/>
  <c r="P142" i="9"/>
  <c r="N142" i="9"/>
  <c r="M142" i="9"/>
  <c r="L142" i="9"/>
  <c r="K142" i="9"/>
  <c r="J142" i="9"/>
  <c r="P141" i="9"/>
  <c r="N141" i="9"/>
  <c r="M141" i="9"/>
  <c r="L141" i="9"/>
  <c r="K141" i="9"/>
  <c r="J141" i="9"/>
  <c r="P140" i="9"/>
  <c r="N140" i="9"/>
  <c r="M140" i="9"/>
  <c r="L140" i="9"/>
  <c r="K140" i="9"/>
  <c r="J140" i="9"/>
  <c r="P139" i="9"/>
  <c r="N139" i="9"/>
  <c r="M139" i="9"/>
  <c r="L139" i="9"/>
  <c r="K139" i="9"/>
  <c r="J139" i="9"/>
  <c r="P138" i="9"/>
  <c r="N138" i="9"/>
  <c r="M138" i="9"/>
  <c r="L138" i="9"/>
  <c r="K138" i="9"/>
  <c r="J138" i="9"/>
  <c r="P137" i="9"/>
  <c r="N137" i="9"/>
  <c r="M137" i="9"/>
  <c r="L137" i="9"/>
  <c r="J137" i="9"/>
  <c r="P136" i="9"/>
  <c r="N136" i="9"/>
  <c r="M136" i="9"/>
  <c r="L136" i="9"/>
  <c r="K136" i="9"/>
  <c r="J136" i="9"/>
  <c r="P135" i="9"/>
  <c r="N135" i="9"/>
  <c r="M135" i="9"/>
  <c r="L135" i="9"/>
  <c r="J135" i="9"/>
  <c r="P134" i="9"/>
  <c r="N134" i="9"/>
  <c r="M134" i="9"/>
  <c r="L134" i="9"/>
  <c r="K134" i="9"/>
  <c r="J134" i="9"/>
  <c r="P133" i="9"/>
  <c r="N133" i="9"/>
  <c r="M133" i="9"/>
  <c r="L133" i="9"/>
  <c r="K133" i="9"/>
  <c r="J133" i="9"/>
  <c r="P132" i="9"/>
  <c r="N132" i="9"/>
  <c r="M132" i="9"/>
  <c r="L132" i="9"/>
  <c r="K132" i="9"/>
  <c r="J132" i="9"/>
  <c r="P131" i="9"/>
  <c r="N131" i="9"/>
  <c r="M131" i="9"/>
  <c r="L131" i="9"/>
  <c r="K131" i="9"/>
  <c r="J131" i="9"/>
  <c r="P130" i="9"/>
  <c r="N130" i="9"/>
  <c r="M130" i="9"/>
  <c r="L130" i="9"/>
  <c r="K130" i="9"/>
  <c r="J130" i="9"/>
  <c r="P129" i="9"/>
  <c r="N129" i="9"/>
  <c r="M129" i="9"/>
  <c r="L129" i="9"/>
  <c r="K129" i="9"/>
  <c r="J129" i="9"/>
  <c r="P128" i="9"/>
  <c r="N128" i="9"/>
  <c r="M128" i="9"/>
  <c r="L128" i="9"/>
  <c r="K128" i="9"/>
  <c r="J128" i="9"/>
  <c r="P127" i="9"/>
  <c r="N127" i="9"/>
  <c r="M127" i="9"/>
  <c r="L127" i="9"/>
  <c r="K127" i="9"/>
  <c r="J127" i="9"/>
  <c r="P126" i="9"/>
  <c r="N126" i="9"/>
  <c r="M126" i="9"/>
  <c r="L126" i="9"/>
  <c r="K126" i="9"/>
  <c r="J126" i="9"/>
  <c r="P125" i="9"/>
  <c r="N125" i="9"/>
  <c r="M125" i="9"/>
  <c r="L125" i="9"/>
  <c r="K125" i="9"/>
  <c r="J125" i="9"/>
  <c r="P124" i="9"/>
  <c r="N124" i="9"/>
  <c r="M124" i="9"/>
  <c r="L124" i="9"/>
  <c r="K124" i="9"/>
  <c r="J124" i="9"/>
  <c r="N123" i="9"/>
  <c r="M123" i="9"/>
  <c r="L123" i="9"/>
  <c r="K123" i="9"/>
  <c r="J123" i="9"/>
  <c r="Q123" i="9" s="1"/>
  <c r="R123" i="9" s="1"/>
  <c r="N122" i="9"/>
  <c r="M122" i="9"/>
  <c r="L122" i="9"/>
  <c r="K122" i="9"/>
  <c r="J122" i="9"/>
  <c r="N121" i="9"/>
  <c r="M121" i="9"/>
  <c r="L121" i="9"/>
  <c r="K121" i="9"/>
  <c r="J121" i="9"/>
  <c r="N120" i="9"/>
  <c r="M120" i="9"/>
  <c r="L120" i="9"/>
  <c r="K120" i="9"/>
  <c r="J120" i="9"/>
  <c r="Q120" i="9" s="1"/>
  <c r="R120" i="9" s="1"/>
  <c r="N119" i="9"/>
  <c r="M119" i="9"/>
  <c r="L119" i="9"/>
  <c r="K119" i="9"/>
  <c r="J119" i="9"/>
  <c r="Q119" i="9" s="1"/>
  <c r="R119" i="9" s="1"/>
  <c r="N118" i="9"/>
  <c r="M118" i="9"/>
  <c r="L118" i="9"/>
  <c r="K118" i="9"/>
  <c r="J118" i="9"/>
  <c r="Q118" i="9" s="1"/>
  <c r="R118" i="9" s="1"/>
  <c r="P117" i="9"/>
  <c r="N117" i="9"/>
  <c r="M117" i="9"/>
  <c r="L117" i="9"/>
  <c r="K117" i="9"/>
  <c r="J117" i="9"/>
  <c r="P116" i="9"/>
  <c r="N116" i="9"/>
  <c r="M116" i="9"/>
  <c r="L116" i="9"/>
  <c r="K116" i="9"/>
  <c r="J116" i="9"/>
  <c r="P115" i="9"/>
  <c r="N115" i="9"/>
  <c r="M115" i="9"/>
  <c r="L115" i="9"/>
  <c r="J115" i="9"/>
  <c r="P114" i="9"/>
  <c r="N114" i="9"/>
  <c r="M114" i="9"/>
  <c r="L114" i="9"/>
  <c r="K114" i="9"/>
  <c r="J114" i="9"/>
  <c r="P113" i="9"/>
  <c r="N113" i="9"/>
  <c r="M113" i="9"/>
  <c r="L113" i="9"/>
  <c r="J113" i="9"/>
  <c r="P112" i="9"/>
  <c r="N112" i="9"/>
  <c r="M112" i="9"/>
  <c r="L112" i="9"/>
  <c r="J112" i="9"/>
  <c r="P111" i="9"/>
  <c r="N111" i="9"/>
  <c r="M111" i="9"/>
  <c r="L111" i="9"/>
  <c r="J111" i="9"/>
  <c r="P110" i="9"/>
  <c r="N110" i="9"/>
  <c r="M110" i="9"/>
  <c r="L110" i="9"/>
  <c r="J110" i="9"/>
  <c r="P109" i="9"/>
  <c r="N109" i="9"/>
  <c r="M109" i="9"/>
  <c r="L109" i="9"/>
  <c r="J109" i="9"/>
  <c r="P108" i="9"/>
  <c r="N108" i="9"/>
  <c r="M108" i="9"/>
  <c r="L108" i="9"/>
  <c r="J108" i="9"/>
  <c r="P107" i="9"/>
  <c r="N107" i="9"/>
  <c r="M107" i="9"/>
  <c r="L107" i="9"/>
  <c r="J107" i="9"/>
  <c r="P106" i="9"/>
  <c r="N106" i="9"/>
  <c r="M106" i="9"/>
  <c r="L106" i="9"/>
  <c r="K106" i="9"/>
  <c r="J106" i="9"/>
  <c r="P105" i="9"/>
  <c r="N105" i="9"/>
  <c r="M105" i="9"/>
  <c r="L105" i="9"/>
  <c r="K105" i="9"/>
  <c r="J105" i="9"/>
  <c r="P104" i="9"/>
  <c r="N104" i="9"/>
  <c r="M104" i="9"/>
  <c r="L104" i="9"/>
  <c r="K104" i="9"/>
  <c r="J104" i="9"/>
  <c r="P103" i="9"/>
  <c r="N103" i="9"/>
  <c r="M103" i="9"/>
  <c r="L103" i="9"/>
  <c r="K103" i="9"/>
  <c r="J103" i="9"/>
  <c r="N102" i="9"/>
  <c r="M102" i="9"/>
  <c r="L102" i="9"/>
  <c r="K102" i="9"/>
  <c r="J102" i="9"/>
  <c r="Q102" i="9" s="1"/>
  <c r="R102" i="9" s="1"/>
  <c r="P101" i="9"/>
  <c r="N101" i="9"/>
  <c r="M101" i="9"/>
  <c r="L101" i="9"/>
  <c r="K101" i="9"/>
  <c r="J101" i="9"/>
  <c r="P100" i="9"/>
  <c r="N100" i="9"/>
  <c r="M100" i="9"/>
  <c r="L100" i="9"/>
  <c r="J100" i="9"/>
  <c r="P99" i="9"/>
  <c r="N99" i="9"/>
  <c r="M99" i="9"/>
  <c r="L99" i="9"/>
  <c r="K99" i="9"/>
  <c r="J99" i="9"/>
  <c r="P98" i="9"/>
  <c r="N98" i="9"/>
  <c r="M98" i="9"/>
  <c r="L98" i="9"/>
  <c r="K98" i="9"/>
  <c r="J98" i="9"/>
  <c r="P97" i="9"/>
  <c r="N97" i="9"/>
  <c r="M97" i="9"/>
  <c r="L97" i="9"/>
  <c r="J97" i="9"/>
  <c r="P96" i="9"/>
  <c r="N96" i="9"/>
  <c r="M96" i="9"/>
  <c r="L96" i="9"/>
  <c r="K96" i="9"/>
  <c r="J96" i="9"/>
  <c r="P95" i="9"/>
  <c r="N95" i="9"/>
  <c r="M95" i="9"/>
  <c r="L95" i="9"/>
  <c r="K95" i="9"/>
  <c r="J95" i="9"/>
  <c r="P94" i="9"/>
  <c r="N94" i="9"/>
  <c r="M94" i="9"/>
  <c r="L94" i="9"/>
  <c r="K94" i="9"/>
  <c r="J94" i="9"/>
  <c r="P93" i="9"/>
  <c r="N93" i="9"/>
  <c r="M93" i="9"/>
  <c r="L93" i="9"/>
  <c r="K93" i="9"/>
  <c r="J93" i="9"/>
  <c r="P92" i="9"/>
  <c r="N92" i="9"/>
  <c r="M92" i="9"/>
  <c r="L92" i="9"/>
  <c r="K92" i="9"/>
  <c r="J92" i="9"/>
  <c r="P91" i="9"/>
  <c r="N91" i="9"/>
  <c r="M91" i="9"/>
  <c r="L91" i="9"/>
  <c r="K91" i="9"/>
  <c r="J91" i="9"/>
  <c r="P90" i="9"/>
  <c r="N90" i="9"/>
  <c r="M90" i="9"/>
  <c r="L90" i="9"/>
  <c r="K90" i="9"/>
  <c r="J90" i="9"/>
  <c r="N89" i="9"/>
  <c r="M89" i="9"/>
  <c r="L89" i="9"/>
  <c r="J89" i="9"/>
  <c r="Q89" i="9" s="1"/>
  <c r="R89" i="9" s="1"/>
  <c r="N88" i="9"/>
  <c r="M88" i="9"/>
  <c r="L88" i="9"/>
  <c r="J88" i="9"/>
  <c r="Q88" i="9" s="1"/>
  <c r="R88" i="9" s="1"/>
  <c r="N87" i="9"/>
  <c r="M87" i="9"/>
  <c r="L87" i="9"/>
  <c r="J87" i="9"/>
  <c r="Q87" i="9" s="1"/>
  <c r="R87" i="9" s="1"/>
  <c r="N86" i="9"/>
  <c r="M86" i="9"/>
  <c r="L86" i="9"/>
  <c r="K86" i="9"/>
  <c r="J86" i="9"/>
  <c r="Q86" i="9" s="1"/>
  <c r="R86" i="9" s="1"/>
  <c r="N85" i="9"/>
  <c r="M85" i="9"/>
  <c r="L85" i="9"/>
  <c r="K85" i="9"/>
  <c r="J85" i="9"/>
  <c r="Q85" i="9" s="1"/>
  <c r="R85" i="9" s="1"/>
  <c r="N84" i="9"/>
  <c r="M84" i="9"/>
  <c r="L84" i="9"/>
  <c r="J84" i="9"/>
  <c r="Q84" i="9" s="1"/>
  <c r="R84" i="9" s="1"/>
  <c r="N83" i="9"/>
  <c r="M83" i="9"/>
  <c r="L83" i="9"/>
  <c r="J83" i="9"/>
  <c r="Q83" i="9" s="1"/>
  <c r="R83" i="9" s="1"/>
  <c r="N82" i="9"/>
  <c r="M82" i="9"/>
  <c r="L82" i="9"/>
  <c r="J82" i="9"/>
  <c r="Q82" i="9" s="1"/>
  <c r="R82" i="9" s="1"/>
  <c r="N81" i="9"/>
  <c r="M81" i="9"/>
  <c r="L81" i="9"/>
  <c r="K81" i="9"/>
  <c r="J81" i="9"/>
  <c r="Q81" i="9" s="1"/>
  <c r="R81" i="9" s="1"/>
  <c r="P80" i="9"/>
  <c r="N80" i="9"/>
  <c r="M80" i="9"/>
  <c r="L80" i="9"/>
  <c r="J80" i="9"/>
  <c r="N79" i="9"/>
  <c r="M79" i="9"/>
  <c r="L79" i="9"/>
  <c r="J79" i="9"/>
  <c r="Q79" i="9" s="1"/>
  <c r="R79" i="9" s="1"/>
  <c r="N78" i="9"/>
  <c r="M78" i="9"/>
  <c r="L78" i="9"/>
  <c r="J78" i="9"/>
  <c r="Q78" i="9" s="1"/>
  <c r="R78" i="9" s="1"/>
  <c r="N77" i="9"/>
  <c r="M77" i="9"/>
  <c r="L77" i="9"/>
  <c r="K77" i="9"/>
  <c r="J77" i="9"/>
  <c r="Q77" i="9" s="1"/>
  <c r="R77" i="9" s="1"/>
  <c r="N76" i="9"/>
  <c r="M76" i="9"/>
  <c r="L76" i="9"/>
  <c r="K76" i="9"/>
  <c r="J76" i="9"/>
  <c r="Q76" i="9" s="1"/>
  <c r="R76" i="9" s="1"/>
  <c r="P75" i="9"/>
  <c r="N75" i="9"/>
  <c r="M75" i="9"/>
  <c r="L75" i="9"/>
  <c r="J75" i="9"/>
  <c r="Q75" i="9" s="1"/>
  <c r="R75" i="9" s="1"/>
  <c r="N74" i="9"/>
  <c r="M74" i="9"/>
  <c r="L74" i="9"/>
  <c r="J74" i="9"/>
  <c r="P73" i="9"/>
  <c r="N73" i="9"/>
  <c r="M73" i="9"/>
  <c r="L73" i="9"/>
  <c r="J73" i="9"/>
  <c r="P72" i="9"/>
  <c r="N72" i="9"/>
  <c r="M72" i="9"/>
  <c r="L72" i="9"/>
  <c r="J72" i="9"/>
  <c r="N71" i="9"/>
  <c r="M71" i="9"/>
  <c r="L71" i="9"/>
  <c r="K71" i="9"/>
  <c r="J71" i="9"/>
  <c r="Q71" i="9" s="1"/>
  <c r="R71" i="9" s="1"/>
  <c r="N70" i="9"/>
  <c r="M70" i="9"/>
  <c r="L70" i="9"/>
  <c r="K70" i="9"/>
  <c r="J70" i="9"/>
  <c r="Q70" i="9" s="1"/>
  <c r="R70" i="9" s="1"/>
  <c r="N69" i="9"/>
  <c r="M69" i="9"/>
  <c r="L69" i="9"/>
  <c r="K69" i="9"/>
  <c r="J69" i="9"/>
  <c r="Q69" i="9" s="1"/>
  <c r="R69" i="9" s="1"/>
  <c r="P68" i="9"/>
  <c r="N68" i="9"/>
  <c r="M68" i="9"/>
  <c r="L68" i="9"/>
  <c r="K68" i="9"/>
  <c r="J68" i="9"/>
  <c r="P67" i="9"/>
  <c r="N67" i="9"/>
  <c r="M67" i="9"/>
  <c r="L67" i="9"/>
  <c r="K67" i="9"/>
  <c r="J67" i="9"/>
  <c r="P66" i="9"/>
  <c r="N66" i="9"/>
  <c r="M66" i="9"/>
  <c r="L66" i="9"/>
  <c r="K66" i="9"/>
  <c r="J66" i="9"/>
  <c r="P65" i="9"/>
  <c r="N65" i="9"/>
  <c r="M65" i="9"/>
  <c r="L65" i="9"/>
  <c r="K65" i="9"/>
  <c r="J65" i="9"/>
  <c r="P64" i="9"/>
  <c r="N64" i="9"/>
  <c r="M64" i="9"/>
  <c r="L64" i="9"/>
  <c r="K64" i="9"/>
  <c r="J64" i="9"/>
  <c r="P63" i="9"/>
  <c r="N63" i="9"/>
  <c r="M63" i="9"/>
  <c r="L63" i="9"/>
  <c r="J63" i="9"/>
  <c r="P62" i="9"/>
  <c r="N62" i="9"/>
  <c r="M62" i="9"/>
  <c r="L62" i="9"/>
  <c r="K62" i="9"/>
  <c r="J62" i="9"/>
  <c r="P61" i="9"/>
  <c r="N61" i="9"/>
  <c r="M61" i="9"/>
  <c r="L61" i="9"/>
  <c r="K61" i="9"/>
  <c r="J61" i="9"/>
  <c r="P60" i="9"/>
  <c r="N60" i="9"/>
  <c r="M60" i="9"/>
  <c r="L60" i="9"/>
  <c r="K60" i="9"/>
  <c r="J60" i="9"/>
  <c r="P59" i="9"/>
  <c r="N59" i="9"/>
  <c r="M59" i="9"/>
  <c r="L59" i="9"/>
  <c r="K59" i="9"/>
  <c r="J59" i="9"/>
  <c r="P58" i="9"/>
  <c r="N58" i="9"/>
  <c r="M58" i="9"/>
  <c r="L58" i="9"/>
  <c r="K58" i="9"/>
  <c r="J58" i="9"/>
  <c r="P57" i="9"/>
  <c r="N57" i="9"/>
  <c r="M57" i="9"/>
  <c r="L57" i="9"/>
  <c r="K57" i="9"/>
  <c r="J57" i="9"/>
  <c r="P56" i="9"/>
  <c r="N56" i="9"/>
  <c r="M56" i="9"/>
  <c r="L56" i="9"/>
  <c r="K56" i="9"/>
  <c r="J56" i="9"/>
  <c r="P55" i="9"/>
  <c r="N55" i="9"/>
  <c r="M55" i="9"/>
  <c r="L55" i="9"/>
  <c r="K55" i="9"/>
  <c r="J55" i="9"/>
  <c r="P54" i="9"/>
  <c r="N54" i="9"/>
  <c r="M54" i="9"/>
  <c r="L54" i="9"/>
  <c r="K54" i="9"/>
  <c r="J54" i="9"/>
  <c r="P53" i="9"/>
  <c r="N53" i="9"/>
  <c r="M53" i="9"/>
  <c r="L53" i="9"/>
  <c r="J53" i="9"/>
  <c r="P52" i="9"/>
  <c r="N52" i="9"/>
  <c r="M52" i="9"/>
  <c r="L52" i="9"/>
  <c r="K52" i="9"/>
  <c r="J52" i="9"/>
  <c r="P51" i="9"/>
  <c r="N51" i="9"/>
  <c r="M51" i="9"/>
  <c r="L51" i="9"/>
  <c r="K51" i="9"/>
  <c r="J51" i="9"/>
  <c r="P50" i="9"/>
  <c r="N50" i="9"/>
  <c r="M50" i="9"/>
  <c r="L50" i="9"/>
  <c r="K50" i="9"/>
  <c r="J50" i="9"/>
  <c r="P49" i="9"/>
  <c r="N49" i="9"/>
  <c r="M49" i="9"/>
  <c r="L49" i="9"/>
  <c r="K49" i="9"/>
  <c r="J49" i="9"/>
  <c r="P48" i="9"/>
  <c r="N48" i="9"/>
  <c r="M48" i="9"/>
  <c r="L48" i="9"/>
  <c r="K48" i="9"/>
  <c r="J48" i="9"/>
  <c r="P47" i="9"/>
  <c r="N47" i="9"/>
  <c r="M47" i="9"/>
  <c r="L47" i="9"/>
  <c r="K47" i="9"/>
  <c r="J47" i="9"/>
  <c r="P46" i="9"/>
  <c r="N46" i="9"/>
  <c r="M46" i="9"/>
  <c r="L46" i="9"/>
  <c r="K46" i="9"/>
  <c r="J46" i="9"/>
  <c r="P45" i="9"/>
  <c r="N45" i="9"/>
  <c r="M45" i="9"/>
  <c r="L45" i="9"/>
  <c r="K45" i="9"/>
  <c r="J45" i="9"/>
  <c r="P44" i="9"/>
  <c r="N44" i="9"/>
  <c r="M44" i="9"/>
  <c r="L44" i="9"/>
  <c r="K44" i="9"/>
  <c r="J44" i="9"/>
  <c r="P43" i="9"/>
  <c r="N43" i="9"/>
  <c r="M43" i="9"/>
  <c r="L43" i="9"/>
  <c r="K43" i="9"/>
  <c r="J43" i="9"/>
  <c r="P42" i="9"/>
  <c r="N42" i="9"/>
  <c r="M42" i="9"/>
  <c r="L42" i="9"/>
  <c r="K42" i="9"/>
  <c r="J42" i="9"/>
  <c r="P41" i="9"/>
  <c r="N41" i="9"/>
  <c r="M41" i="9"/>
  <c r="L41" i="9"/>
  <c r="K41" i="9"/>
  <c r="J41" i="9"/>
  <c r="P40" i="9"/>
  <c r="N40" i="9"/>
  <c r="M40" i="9"/>
  <c r="L40" i="9"/>
  <c r="K40" i="9"/>
  <c r="J40" i="9"/>
  <c r="P39" i="9"/>
  <c r="N39" i="9"/>
  <c r="M39" i="9"/>
  <c r="L39" i="9"/>
  <c r="K39" i="9"/>
  <c r="J39" i="9"/>
  <c r="P38" i="9"/>
  <c r="N38" i="9"/>
  <c r="M38" i="9"/>
  <c r="L38" i="9"/>
  <c r="K38" i="9"/>
  <c r="J38" i="9"/>
  <c r="P37" i="9"/>
  <c r="N37" i="9"/>
  <c r="M37" i="9"/>
  <c r="L37" i="9"/>
  <c r="K37" i="9"/>
  <c r="J37" i="9"/>
  <c r="N36" i="9"/>
  <c r="M36" i="9"/>
  <c r="L36" i="9"/>
  <c r="K36" i="9"/>
  <c r="J36" i="9"/>
  <c r="N35" i="9"/>
  <c r="M35" i="9"/>
  <c r="L35" i="9"/>
  <c r="K35" i="9"/>
  <c r="J35" i="9"/>
  <c r="N34" i="9"/>
  <c r="M34" i="9"/>
  <c r="L34" i="9"/>
  <c r="K34" i="9"/>
  <c r="J34" i="9"/>
  <c r="N33" i="9"/>
  <c r="M33" i="9"/>
  <c r="L33" i="9"/>
  <c r="K33" i="9"/>
  <c r="J33" i="9"/>
  <c r="P32" i="9"/>
  <c r="N32" i="9"/>
  <c r="M32" i="9"/>
  <c r="L32" i="9"/>
  <c r="K32" i="9"/>
  <c r="J32" i="9"/>
  <c r="P31" i="9"/>
  <c r="N31" i="9"/>
  <c r="M31" i="9"/>
  <c r="L31" i="9"/>
  <c r="K31" i="9"/>
  <c r="J31" i="9"/>
  <c r="N30" i="9"/>
  <c r="M30" i="9"/>
  <c r="L30" i="9"/>
  <c r="K30" i="9"/>
  <c r="J30" i="9"/>
  <c r="N29" i="9"/>
  <c r="M29" i="9"/>
  <c r="L29" i="9"/>
  <c r="K29" i="9"/>
  <c r="J29" i="9"/>
  <c r="N28" i="9"/>
  <c r="M28" i="9"/>
  <c r="L28" i="9"/>
  <c r="K28" i="9"/>
  <c r="J28" i="9"/>
  <c r="N27" i="9"/>
  <c r="M27" i="9"/>
  <c r="L27" i="9"/>
  <c r="K27" i="9"/>
  <c r="J27" i="9"/>
  <c r="N26" i="9"/>
  <c r="M26" i="9"/>
  <c r="L26" i="9"/>
  <c r="K26" i="9"/>
  <c r="J26" i="9"/>
  <c r="P25" i="9"/>
  <c r="N25" i="9"/>
  <c r="M25" i="9"/>
  <c r="L25" i="9"/>
  <c r="K25" i="9"/>
  <c r="J25" i="9"/>
  <c r="P24" i="9"/>
  <c r="N24" i="9"/>
  <c r="M24" i="9"/>
  <c r="L24" i="9"/>
  <c r="J24" i="9"/>
  <c r="P23" i="9"/>
  <c r="N23" i="9"/>
  <c r="M23" i="9"/>
  <c r="L23" i="9"/>
  <c r="J23" i="9"/>
  <c r="P22" i="9"/>
  <c r="N22" i="9"/>
  <c r="M22" i="9"/>
  <c r="L22" i="9"/>
  <c r="J22" i="9"/>
  <c r="P21" i="9"/>
  <c r="N21" i="9"/>
  <c r="M21" i="9"/>
  <c r="L21" i="9"/>
  <c r="J21" i="9"/>
  <c r="P20" i="9"/>
  <c r="N20" i="9"/>
  <c r="M20" i="9"/>
  <c r="L20" i="9"/>
  <c r="K20" i="9"/>
  <c r="J20" i="9"/>
  <c r="P19" i="9"/>
  <c r="N19" i="9"/>
  <c r="M19" i="9"/>
  <c r="L19" i="9"/>
  <c r="K19" i="9"/>
  <c r="J19" i="9"/>
  <c r="P18" i="9"/>
  <c r="N18" i="9"/>
  <c r="M18" i="9"/>
  <c r="L18" i="9"/>
  <c r="J18" i="9"/>
  <c r="P17" i="9"/>
  <c r="N17" i="9"/>
  <c r="M17" i="9"/>
  <c r="L17" i="9"/>
  <c r="K17" i="9"/>
  <c r="J17" i="9"/>
  <c r="P16" i="9"/>
  <c r="N16" i="9"/>
  <c r="M16" i="9"/>
  <c r="L16" i="9"/>
  <c r="J16" i="9"/>
  <c r="P15" i="9"/>
  <c r="N15" i="9"/>
  <c r="M15" i="9"/>
  <c r="L15" i="9"/>
  <c r="J15" i="9"/>
  <c r="P14" i="9"/>
  <c r="N14" i="9"/>
  <c r="M14" i="9"/>
  <c r="L14" i="9"/>
  <c r="J14" i="9"/>
  <c r="P13" i="9"/>
  <c r="N13" i="9"/>
  <c r="M13" i="9"/>
  <c r="L13" i="9"/>
  <c r="J13" i="9"/>
  <c r="N12" i="9"/>
  <c r="M12" i="9"/>
  <c r="L12" i="9"/>
  <c r="J12" i="9"/>
  <c r="Q12" i="9" s="1"/>
  <c r="R12" i="9" s="1"/>
  <c r="N11" i="9"/>
  <c r="M11" i="9"/>
  <c r="L11" i="9"/>
  <c r="J11" i="9"/>
  <c r="Q11" i="9" s="1"/>
  <c r="R11" i="9" s="1"/>
  <c r="N10" i="9"/>
  <c r="M10" i="9"/>
  <c r="L10" i="9"/>
  <c r="J10" i="9"/>
  <c r="Q10" i="9" s="1"/>
  <c r="R10" i="9" s="1"/>
  <c r="P9" i="9"/>
  <c r="N9" i="9"/>
  <c r="M9" i="9"/>
  <c r="L9" i="9"/>
  <c r="J9" i="9"/>
  <c r="P8" i="9"/>
  <c r="N8" i="9"/>
  <c r="M8" i="9"/>
  <c r="L8" i="9"/>
  <c r="J8" i="9"/>
  <c r="P7" i="9"/>
  <c r="N7" i="9"/>
  <c r="M7" i="9"/>
  <c r="L7" i="9"/>
  <c r="J7" i="9"/>
  <c r="P6" i="9"/>
  <c r="N6" i="9"/>
  <c r="M6" i="9"/>
  <c r="L6" i="9"/>
  <c r="J6" i="9"/>
  <c r="P5" i="9"/>
  <c r="N5" i="9"/>
  <c r="M5" i="9"/>
  <c r="L5" i="9"/>
  <c r="J5" i="9"/>
  <c r="P4" i="9"/>
  <c r="N4" i="9"/>
  <c r="M4" i="9"/>
  <c r="L4" i="9"/>
  <c r="K4" i="9"/>
  <c r="J4" i="9"/>
  <c r="P3" i="9"/>
  <c r="N3" i="9"/>
  <c r="M3" i="9"/>
  <c r="L3" i="9"/>
  <c r="J3" i="9"/>
  <c r="P2" i="9"/>
  <c r="N2" i="9"/>
  <c r="M2" i="9"/>
  <c r="L2" i="9"/>
  <c r="J2" i="9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K523" i="1"/>
  <c r="K18" i="1"/>
  <c r="K5" i="1"/>
  <c r="K20" i="1"/>
  <c r="K21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5" i="1"/>
  <c r="K56" i="1"/>
  <c r="K57" i="1"/>
  <c r="K58" i="1"/>
  <c r="K59" i="1"/>
  <c r="K60" i="1"/>
  <c r="K61" i="1"/>
  <c r="K62" i="1"/>
  <c r="K63" i="1"/>
  <c r="K65" i="1"/>
  <c r="K66" i="1"/>
  <c r="K67" i="1"/>
  <c r="K68" i="1"/>
  <c r="K69" i="1"/>
  <c r="K70" i="1"/>
  <c r="K71" i="1"/>
  <c r="K72" i="1"/>
  <c r="K77" i="1"/>
  <c r="K78" i="1"/>
  <c r="K82" i="1"/>
  <c r="K86" i="1"/>
  <c r="K87" i="1"/>
  <c r="K91" i="1"/>
  <c r="K92" i="1"/>
  <c r="K93" i="1"/>
  <c r="K94" i="1"/>
  <c r="K95" i="1"/>
  <c r="K96" i="1"/>
  <c r="K97" i="1"/>
  <c r="K99" i="1"/>
  <c r="K100" i="1"/>
  <c r="K102" i="1"/>
  <c r="K103" i="1"/>
  <c r="K104" i="1"/>
  <c r="K105" i="1"/>
  <c r="K106" i="1"/>
  <c r="K107" i="1"/>
  <c r="K115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7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9" i="1"/>
  <c r="K190" i="1"/>
  <c r="K191" i="1"/>
  <c r="K192" i="1"/>
  <c r="K196" i="1"/>
  <c r="K197" i="1"/>
  <c r="K198" i="1"/>
  <c r="K199" i="1"/>
  <c r="K201" i="1"/>
  <c r="K202" i="1"/>
  <c r="K203" i="1"/>
  <c r="K204" i="1"/>
  <c r="K205" i="1"/>
  <c r="K206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9" i="1"/>
  <c r="K240" i="1"/>
  <c r="K241" i="1"/>
  <c r="K242" i="1"/>
  <c r="K244" i="1"/>
  <c r="K245" i="1"/>
  <c r="K246" i="1"/>
  <c r="K247" i="1"/>
  <c r="K248" i="1"/>
  <c r="K249" i="1"/>
  <c r="K250" i="1"/>
  <c r="K251" i="1"/>
  <c r="K252" i="1"/>
  <c r="K253" i="1"/>
  <c r="K257" i="1"/>
  <c r="K259" i="1"/>
  <c r="K262" i="1"/>
  <c r="K266" i="1"/>
  <c r="K267" i="1"/>
  <c r="K268" i="1"/>
  <c r="K269" i="1"/>
  <c r="K270" i="1"/>
  <c r="K272" i="1"/>
  <c r="K273" i="1"/>
  <c r="K276" i="1"/>
  <c r="K277" i="1"/>
  <c r="K278" i="1"/>
  <c r="K279" i="1"/>
  <c r="K280" i="1"/>
  <c r="K281" i="1"/>
  <c r="K282" i="1"/>
  <c r="K283" i="1"/>
  <c r="K284" i="1"/>
  <c r="K286" i="1"/>
  <c r="K290" i="1"/>
  <c r="K292" i="1"/>
  <c r="K293" i="1"/>
  <c r="K294" i="1"/>
  <c r="K296" i="1"/>
  <c r="K297" i="1"/>
  <c r="K298" i="1"/>
  <c r="K299" i="1"/>
  <c r="K300" i="1"/>
  <c r="K301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5" i="1"/>
  <c r="K326" i="1"/>
  <c r="K329" i="1"/>
  <c r="K332" i="1"/>
  <c r="K333" i="1"/>
  <c r="K334" i="1"/>
  <c r="K336" i="1"/>
  <c r="K338" i="1"/>
  <c r="K339" i="1"/>
  <c r="K341" i="1"/>
  <c r="K342" i="1"/>
  <c r="K343" i="1"/>
  <c r="K344" i="1"/>
  <c r="K345" i="1"/>
  <c r="K346" i="1"/>
  <c r="K347" i="1"/>
  <c r="K348" i="1"/>
  <c r="K350" i="1"/>
  <c r="K351" i="1"/>
  <c r="K352" i="1"/>
  <c r="K353" i="1"/>
  <c r="K354" i="1"/>
  <c r="K358" i="1"/>
  <c r="K360" i="1"/>
  <c r="K366" i="1"/>
  <c r="K367" i="1"/>
  <c r="K369" i="1"/>
  <c r="K371" i="1"/>
  <c r="K374" i="1"/>
  <c r="K376" i="1"/>
  <c r="K377" i="1"/>
  <c r="K380" i="1"/>
  <c r="K381" i="1"/>
  <c r="K382" i="1"/>
  <c r="K383" i="1"/>
  <c r="K384" i="1"/>
  <c r="K385" i="1"/>
  <c r="K386" i="1"/>
  <c r="K387" i="1"/>
  <c r="K388" i="1"/>
  <c r="K389" i="1"/>
  <c r="K390" i="1"/>
  <c r="K392" i="1"/>
  <c r="K393" i="1"/>
  <c r="K394" i="1"/>
  <c r="K395" i="1"/>
  <c r="K397" i="1"/>
  <c r="K398" i="1"/>
  <c r="K401" i="1"/>
  <c r="K402" i="1"/>
  <c r="K403" i="1"/>
  <c r="K405" i="1"/>
  <c r="K406" i="1"/>
  <c r="K407" i="1"/>
  <c r="K408" i="1"/>
  <c r="K409" i="1"/>
  <c r="K410" i="1"/>
  <c r="K412" i="1"/>
  <c r="K413" i="1"/>
  <c r="K414" i="1"/>
  <c r="K415" i="1"/>
  <c r="K416" i="1"/>
  <c r="K418" i="1"/>
  <c r="K420" i="1"/>
  <c r="K421" i="1"/>
  <c r="K422" i="1"/>
  <c r="K423" i="1"/>
  <c r="K425" i="1"/>
  <c r="K426" i="1"/>
  <c r="K427" i="1"/>
  <c r="K431" i="1"/>
  <c r="K432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9" i="1"/>
  <c r="K451" i="1"/>
  <c r="K455" i="1"/>
  <c r="K457" i="1"/>
  <c r="K460" i="1"/>
  <c r="K461" i="1"/>
  <c r="K462" i="1"/>
  <c r="K464" i="1"/>
  <c r="K465" i="1"/>
  <c r="K466" i="1"/>
  <c r="K468" i="1"/>
  <c r="K470" i="1"/>
  <c r="K472" i="1"/>
  <c r="K473" i="1"/>
  <c r="K476" i="1"/>
  <c r="K477" i="1"/>
  <c r="K479" i="1"/>
  <c r="K480" i="1"/>
  <c r="K483" i="1"/>
  <c r="K484" i="1"/>
  <c r="K485" i="1"/>
  <c r="K486" i="1"/>
  <c r="K488" i="1"/>
  <c r="K489" i="1"/>
  <c r="K491" i="1"/>
  <c r="K492" i="1"/>
  <c r="K493" i="1"/>
  <c r="K494" i="1"/>
  <c r="K495" i="1"/>
  <c r="K496" i="1"/>
  <c r="K497" i="1"/>
  <c r="K498" i="1"/>
  <c r="K499" i="1"/>
  <c r="K500" i="1"/>
  <c r="K501" i="1"/>
  <c r="K505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38" i="1"/>
  <c r="K543" i="1"/>
  <c r="K545" i="1"/>
  <c r="K547" i="1"/>
  <c r="K548" i="1"/>
  <c r="K550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3" i="1"/>
  <c r="K574" i="1"/>
  <c r="K575" i="1"/>
  <c r="K576" i="1"/>
  <c r="K577" i="1"/>
  <c r="K578" i="1"/>
  <c r="K579" i="1"/>
  <c r="K580" i="1"/>
  <c r="K582" i="1"/>
  <c r="K583" i="1"/>
  <c r="K584" i="1"/>
  <c r="K585" i="1"/>
  <c r="K586" i="1"/>
  <c r="K587" i="1"/>
  <c r="K588" i="1"/>
  <c r="K590" i="1"/>
  <c r="K591" i="1"/>
  <c r="K592" i="1"/>
  <c r="K594" i="1"/>
  <c r="K596" i="1"/>
  <c r="K597" i="1"/>
  <c r="K598" i="1"/>
  <c r="K599" i="1"/>
  <c r="K600" i="1"/>
  <c r="K601" i="1"/>
  <c r="K602" i="1"/>
  <c r="K604" i="1"/>
  <c r="K605" i="1"/>
  <c r="K607" i="1"/>
  <c r="K608" i="1"/>
  <c r="K609" i="1"/>
  <c r="K610" i="1"/>
  <c r="K611" i="1"/>
  <c r="K612" i="1"/>
  <c r="K614" i="1"/>
  <c r="K615" i="1"/>
  <c r="K616" i="1"/>
  <c r="K617" i="1"/>
  <c r="K618" i="1"/>
  <c r="K619" i="1"/>
  <c r="K620" i="1"/>
  <c r="K621" i="1"/>
  <c r="K622" i="1"/>
  <c r="K623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J4" i="1"/>
  <c r="L3" i="1"/>
  <c r="M3" i="1"/>
  <c r="N3" i="1"/>
  <c r="P4" i="1"/>
  <c r="P5" i="1"/>
  <c r="P6" i="1"/>
  <c r="P7" i="1"/>
  <c r="P8" i="1"/>
  <c r="P9" i="1"/>
  <c r="P10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32" i="1"/>
  <c r="P33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3" i="1"/>
  <c r="P74" i="1"/>
  <c r="P76" i="1"/>
  <c r="P81" i="1"/>
  <c r="P91" i="1"/>
  <c r="P92" i="1"/>
  <c r="P93" i="1"/>
  <c r="P94" i="1"/>
  <c r="P95" i="1"/>
  <c r="P96" i="1"/>
  <c r="P97" i="1"/>
  <c r="P98" i="1"/>
  <c r="P99" i="1"/>
  <c r="P100" i="1"/>
  <c r="P101" i="1"/>
  <c r="P102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6" i="1"/>
  <c r="P157" i="1"/>
  <c r="P158" i="1"/>
  <c r="P159" i="1"/>
  <c r="P160" i="1"/>
  <c r="P161" i="1"/>
  <c r="P168" i="1"/>
  <c r="P169" i="1"/>
  <c r="P170" i="1"/>
  <c r="P171" i="1"/>
  <c r="P172" i="1"/>
  <c r="P173" i="1"/>
  <c r="P181" i="1"/>
  <c r="P182" i="1"/>
  <c r="P183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9" i="1"/>
  <c r="P370" i="1"/>
  <c r="P371" i="1"/>
  <c r="P372" i="1"/>
  <c r="P373" i="1"/>
  <c r="P374" i="1"/>
  <c r="P375" i="1"/>
  <c r="P376" i="1"/>
  <c r="P377" i="1"/>
  <c r="P378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21" i="1"/>
  <c r="P422" i="1"/>
  <c r="P423" i="1"/>
  <c r="P424" i="1"/>
  <c r="P425" i="1"/>
  <c r="P426" i="1"/>
  <c r="P427" i="1"/>
  <c r="P428" i="1"/>
  <c r="P429" i="1"/>
  <c r="P430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6" i="1"/>
  <c r="P497" i="1"/>
  <c r="P498" i="1"/>
  <c r="P499" i="1"/>
  <c r="P500" i="1"/>
  <c r="P501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46" i="1"/>
  <c r="P547" i="1"/>
  <c r="P548" i="1"/>
  <c r="P549" i="1"/>
  <c r="P550" i="1"/>
  <c r="P551" i="1"/>
  <c r="P552" i="1"/>
  <c r="P553" i="1"/>
  <c r="P559" i="1"/>
  <c r="P560" i="1"/>
  <c r="P561" i="1"/>
  <c r="P562" i="1"/>
  <c r="P563" i="1"/>
  <c r="P564" i="1"/>
  <c r="P565" i="1"/>
  <c r="P566" i="1"/>
  <c r="P567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67" i="1"/>
  <c r="P668" i="1"/>
  <c r="P3" i="1"/>
  <c r="P670" i="1" s="1"/>
  <c r="Y390" i="1"/>
  <c r="Y389" i="1"/>
  <c r="Y388" i="1"/>
  <c r="Y387" i="1"/>
  <c r="Y386" i="1"/>
  <c r="Y385" i="1"/>
  <c r="Y384" i="1"/>
  <c r="Y383" i="1"/>
  <c r="Y382" i="1"/>
  <c r="Y381" i="1"/>
  <c r="Y380" i="1"/>
  <c r="Y379" i="1"/>
  <c r="Y378" i="1"/>
  <c r="Y377" i="1"/>
  <c r="Y376" i="1"/>
  <c r="Y375" i="1"/>
  <c r="Y374" i="1"/>
  <c r="Y373" i="1"/>
  <c r="Y372" i="1"/>
  <c r="Y371" i="1"/>
  <c r="Y370" i="1"/>
  <c r="Y369" i="1"/>
  <c r="Y368" i="1"/>
  <c r="Y367" i="1"/>
  <c r="Y366" i="1"/>
  <c r="Y365" i="1"/>
  <c r="Y364" i="1"/>
  <c r="Y363" i="1"/>
  <c r="Y362" i="1"/>
  <c r="Y361" i="1"/>
  <c r="Y360" i="1"/>
  <c r="Y359" i="1"/>
  <c r="Y358" i="1"/>
  <c r="Y357" i="1"/>
  <c r="Y356" i="1"/>
  <c r="Y355" i="1"/>
  <c r="Y354" i="1"/>
  <c r="Y353" i="1"/>
  <c r="Y352" i="1"/>
  <c r="Y351" i="1"/>
  <c r="Y350" i="1"/>
  <c r="Y349" i="1"/>
  <c r="Y348" i="1"/>
  <c r="Y347" i="1"/>
  <c r="Y346" i="1"/>
  <c r="Y345" i="1"/>
  <c r="Y344" i="1"/>
  <c r="Y343" i="1"/>
  <c r="Y342" i="1"/>
  <c r="Y341" i="1"/>
  <c r="Y340" i="1"/>
  <c r="Y339" i="1"/>
  <c r="Y338" i="1"/>
  <c r="Y337" i="1"/>
  <c r="Y336" i="1"/>
  <c r="Y335" i="1"/>
  <c r="Y334" i="1"/>
  <c r="Y333" i="1"/>
  <c r="Y332" i="1"/>
  <c r="Y331" i="1"/>
  <c r="Y330" i="1"/>
  <c r="Y329" i="1"/>
  <c r="Y328" i="1"/>
  <c r="Y327" i="1"/>
  <c r="Y326" i="1"/>
  <c r="Y325" i="1"/>
  <c r="Y324" i="1"/>
  <c r="Y323" i="1"/>
  <c r="Y322" i="1"/>
  <c r="Y321" i="1"/>
  <c r="Y320" i="1"/>
  <c r="Y319" i="1"/>
  <c r="Y318" i="1"/>
  <c r="Y317" i="1"/>
  <c r="Y316" i="1"/>
  <c r="Y315" i="1"/>
  <c r="Y314" i="1"/>
  <c r="Y313" i="1"/>
  <c r="Y312" i="1"/>
  <c r="Y311" i="1"/>
  <c r="Y310" i="1"/>
  <c r="Y309" i="1"/>
  <c r="Y308" i="1"/>
  <c r="Y307" i="1"/>
  <c r="Y306" i="1"/>
  <c r="Y305" i="1"/>
  <c r="Y304" i="1"/>
  <c r="Y303" i="1"/>
  <c r="Y302" i="1"/>
  <c r="Y301" i="1"/>
  <c r="Y300" i="1"/>
  <c r="Y299" i="1"/>
  <c r="Y298" i="1"/>
  <c r="Y297" i="1"/>
  <c r="Y296" i="1"/>
  <c r="Y295" i="1"/>
  <c r="Y294" i="1"/>
  <c r="Y293" i="1"/>
  <c r="Y292" i="1"/>
  <c r="Y291" i="1"/>
  <c r="Y290" i="1"/>
  <c r="Y289" i="1"/>
  <c r="Y288" i="1"/>
  <c r="Y287" i="1"/>
  <c r="Y286" i="1"/>
  <c r="Y285" i="1"/>
  <c r="Y284" i="1"/>
  <c r="Y283" i="1"/>
  <c r="Y282" i="1"/>
  <c r="Y281" i="1"/>
  <c r="Y280" i="1"/>
  <c r="Y279" i="1"/>
  <c r="Y278" i="1"/>
  <c r="Y277" i="1"/>
  <c r="Y276" i="1"/>
  <c r="Y275" i="1"/>
  <c r="Y274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61" i="1"/>
  <c r="Y260" i="1"/>
  <c r="Y259" i="1"/>
  <c r="Y258" i="1"/>
  <c r="Y257" i="1"/>
  <c r="Y256" i="1"/>
  <c r="Y255" i="1"/>
  <c r="Y254" i="1"/>
  <c r="Y253" i="1"/>
  <c r="Y252" i="1"/>
  <c r="Y251" i="1"/>
  <c r="Y250" i="1"/>
  <c r="Y249" i="1"/>
  <c r="Y248" i="1"/>
  <c r="Y247" i="1"/>
  <c r="Y246" i="1"/>
  <c r="Y245" i="1"/>
  <c r="Y244" i="1"/>
  <c r="Y243" i="1"/>
  <c r="Y242" i="1"/>
  <c r="Y241" i="1"/>
  <c r="Y240" i="1"/>
  <c r="Y239" i="1"/>
  <c r="Y238" i="1"/>
  <c r="Y237" i="1"/>
  <c r="Y236" i="1"/>
  <c r="Y235" i="1"/>
  <c r="Y234" i="1"/>
  <c r="Y233" i="1"/>
  <c r="Y232" i="1"/>
  <c r="Y231" i="1"/>
  <c r="Y230" i="1"/>
  <c r="Y229" i="1"/>
  <c r="Y228" i="1"/>
  <c r="Y227" i="1"/>
  <c r="Y226" i="1"/>
  <c r="Y225" i="1"/>
  <c r="Y224" i="1"/>
  <c r="Y223" i="1"/>
  <c r="Y222" i="1"/>
  <c r="Y221" i="1"/>
  <c r="Y220" i="1"/>
  <c r="Y219" i="1"/>
  <c r="Y218" i="1"/>
  <c r="Y217" i="1"/>
  <c r="Y216" i="1"/>
  <c r="Y215" i="1"/>
  <c r="Y214" i="1"/>
  <c r="Y213" i="1"/>
  <c r="Y212" i="1"/>
  <c r="Y211" i="1"/>
  <c r="Y210" i="1"/>
  <c r="Y209" i="1"/>
  <c r="Y208" i="1"/>
  <c r="Y207" i="1"/>
  <c r="Y206" i="1"/>
  <c r="Y205" i="1"/>
  <c r="Y204" i="1"/>
  <c r="Y203" i="1"/>
  <c r="Y202" i="1"/>
  <c r="Y201" i="1"/>
  <c r="Y200" i="1"/>
  <c r="Y199" i="1"/>
  <c r="Y198" i="1"/>
  <c r="Y197" i="1"/>
  <c r="Y196" i="1"/>
  <c r="Y195" i="1"/>
  <c r="Y194" i="1"/>
  <c r="Y193" i="1"/>
  <c r="Y192" i="1"/>
  <c r="Y191" i="1"/>
  <c r="Y190" i="1"/>
  <c r="Y189" i="1"/>
  <c r="Y188" i="1"/>
  <c r="Y187" i="1"/>
  <c r="Y186" i="1"/>
  <c r="Y185" i="1"/>
  <c r="Y184" i="1"/>
  <c r="Y183" i="1"/>
  <c r="Y182" i="1"/>
  <c r="Y181" i="1"/>
  <c r="Y180" i="1"/>
  <c r="Y179" i="1"/>
  <c r="Y178" i="1"/>
  <c r="Y177" i="1"/>
  <c r="Y176" i="1"/>
  <c r="Y175" i="1"/>
  <c r="Y174" i="1"/>
  <c r="Y173" i="1"/>
  <c r="Y172" i="1"/>
  <c r="Y171" i="1"/>
  <c r="Y170" i="1"/>
  <c r="Y169" i="1"/>
  <c r="Y168" i="1"/>
  <c r="Y167" i="1"/>
  <c r="Y166" i="1"/>
  <c r="Y165" i="1"/>
  <c r="Y164" i="1"/>
  <c r="Y163" i="1"/>
  <c r="Y162" i="1"/>
  <c r="Y161" i="1"/>
  <c r="Y160" i="1"/>
  <c r="Y159" i="1"/>
  <c r="Y158" i="1"/>
  <c r="Y157" i="1"/>
  <c r="Y156" i="1"/>
  <c r="Y155" i="1"/>
  <c r="Y154" i="1"/>
  <c r="Y153" i="1"/>
  <c r="Y152" i="1"/>
  <c r="Y151" i="1"/>
  <c r="Y150" i="1"/>
  <c r="Y149" i="1"/>
  <c r="Y148" i="1"/>
  <c r="Y147" i="1"/>
  <c r="Y146" i="1"/>
  <c r="Y145" i="1"/>
  <c r="Y144" i="1"/>
  <c r="Y143" i="1"/>
  <c r="Y142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13" i="1"/>
  <c r="Y112" i="1"/>
  <c r="Y111" i="1"/>
  <c r="Y110" i="1"/>
  <c r="Y109" i="1"/>
  <c r="Y108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6" i="1"/>
  <c r="N157" i="1"/>
  <c r="N158" i="1"/>
  <c r="N159" i="1"/>
  <c r="N160" i="1"/>
  <c r="N161" i="1"/>
  <c r="N168" i="1"/>
  <c r="N169" i="1"/>
  <c r="N170" i="1"/>
  <c r="N172" i="1"/>
  <c r="N173" i="1"/>
  <c r="N182" i="1"/>
  <c r="N185" i="1"/>
  <c r="N186" i="1"/>
  <c r="N187" i="1"/>
  <c r="N188" i="1"/>
  <c r="N189" i="1"/>
  <c r="N190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J3" i="1"/>
  <c r="J5" i="1"/>
  <c r="J6" i="1"/>
  <c r="J7" i="1"/>
  <c r="J8" i="1"/>
  <c r="J9" i="1"/>
  <c r="J10" i="1"/>
  <c r="J11" i="1"/>
  <c r="Q11" i="1" s="1"/>
  <c r="R11" i="1" s="1"/>
  <c r="J12" i="1"/>
  <c r="Q12" i="1" s="1"/>
  <c r="R12" i="1" s="1"/>
  <c r="J13" i="1"/>
  <c r="Q13" i="1" s="1"/>
  <c r="R13" i="1" s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Q70" i="1" s="1"/>
  <c r="R70" i="1" s="1"/>
  <c r="J71" i="1"/>
  <c r="Q71" i="1" s="1"/>
  <c r="R71" i="1" s="1"/>
  <c r="J72" i="1"/>
  <c r="Q72" i="1" s="1"/>
  <c r="R72" i="1" s="1"/>
  <c r="J73" i="1"/>
  <c r="J74" i="1"/>
  <c r="J75" i="1"/>
  <c r="J76" i="1"/>
  <c r="Q76" i="1" s="1"/>
  <c r="R76" i="1" s="1"/>
  <c r="J77" i="1"/>
  <c r="Q77" i="1" s="1"/>
  <c r="R77" i="1" s="1"/>
  <c r="J78" i="1"/>
  <c r="Q78" i="1" s="1"/>
  <c r="R78" i="1" s="1"/>
  <c r="J79" i="1"/>
  <c r="Q79" i="1" s="1"/>
  <c r="R79" i="1" s="1"/>
  <c r="J80" i="1"/>
  <c r="Q80" i="1" s="1"/>
  <c r="R80" i="1" s="1"/>
  <c r="J81" i="1"/>
  <c r="J82" i="1"/>
  <c r="Q82" i="1" s="1"/>
  <c r="R82" i="1" s="1"/>
  <c r="J83" i="1"/>
  <c r="Q83" i="1" s="1"/>
  <c r="R83" i="1" s="1"/>
  <c r="J84" i="1"/>
  <c r="Q84" i="1" s="1"/>
  <c r="R84" i="1" s="1"/>
  <c r="J85" i="1"/>
  <c r="Q85" i="1" s="1"/>
  <c r="R85" i="1" s="1"/>
  <c r="J86" i="1"/>
  <c r="Q86" i="1" s="1"/>
  <c r="R86" i="1" s="1"/>
  <c r="J87" i="1"/>
  <c r="Q87" i="1" s="1"/>
  <c r="R87" i="1" s="1"/>
  <c r="J88" i="1"/>
  <c r="Q88" i="1" s="1"/>
  <c r="R88" i="1" s="1"/>
  <c r="J89" i="1"/>
  <c r="Q89" i="1" s="1"/>
  <c r="R89" i="1" s="1"/>
  <c r="J90" i="1"/>
  <c r="Q90" i="1" s="1"/>
  <c r="R90" i="1" s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Q103" i="1" s="1"/>
  <c r="R103" i="1" s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Q119" i="1" s="1"/>
  <c r="R119" i="1" s="1"/>
  <c r="J120" i="1"/>
  <c r="Q120" i="1" s="1"/>
  <c r="R120" i="1" s="1"/>
  <c r="J121" i="1"/>
  <c r="Q121" i="1" s="1"/>
  <c r="R121" i="1" s="1"/>
  <c r="J122" i="1"/>
  <c r="J123" i="1"/>
  <c r="J124" i="1"/>
  <c r="Q124" i="1" s="1"/>
  <c r="R124" i="1" s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Q185" i="1" s="1"/>
  <c r="R185" i="1" s="1"/>
  <c r="J186" i="1"/>
  <c r="Q186" i="1" s="1"/>
  <c r="R186" i="1" s="1"/>
  <c r="J187" i="1"/>
  <c r="Q187" i="1" s="1"/>
  <c r="R187" i="1" s="1"/>
  <c r="J188" i="1"/>
  <c r="Q188" i="1" s="1"/>
  <c r="R188" i="1" s="1"/>
  <c r="J189" i="1"/>
  <c r="Q189" i="1" s="1"/>
  <c r="R189" i="1" s="1"/>
  <c r="J190" i="1"/>
  <c r="Q190" i="1" s="1"/>
  <c r="R190" i="1" s="1"/>
  <c r="J192" i="1"/>
  <c r="Q192" i="1" s="1"/>
  <c r="R192" i="1" s="1"/>
  <c r="J193" i="1"/>
  <c r="Q193" i="1" s="1"/>
  <c r="R193" i="1" s="1"/>
  <c r="J194" i="1"/>
  <c r="Q194" i="1" s="1"/>
  <c r="R194" i="1" s="1"/>
  <c r="J195" i="1"/>
  <c r="Q195" i="1" s="1"/>
  <c r="R195" i="1" s="1"/>
  <c r="J196" i="1"/>
  <c r="Q196" i="1" s="1"/>
  <c r="R196" i="1" s="1"/>
  <c r="J197" i="1"/>
  <c r="Q197" i="1" s="1"/>
  <c r="R197" i="1" s="1"/>
  <c r="J198" i="1"/>
  <c r="Q198" i="1" s="1"/>
  <c r="R198" i="1" s="1"/>
  <c r="J199" i="1"/>
  <c r="Q199" i="1" s="1"/>
  <c r="R199" i="1" s="1"/>
  <c r="J200" i="1"/>
  <c r="Q200" i="1" s="1"/>
  <c r="R200" i="1" s="1"/>
  <c r="J201" i="1"/>
  <c r="Q201" i="1" s="1"/>
  <c r="R201" i="1" s="1"/>
  <c r="J202" i="1"/>
  <c r="Q202" i="1" s="1"/>
  <c r="R202" i="1" s="1"/>
  <c r="J203" i="1"/>
  <c r="Q203" i="1" s="1"/>
  <c r="R203" i="1" s="1"/>
  <c r="J204" i="1"/>
  <c r="Q204" i="1" s="1"/>
  <c r="R204" i="1" s="1"/>
  <c r="J205" i="1"/>
  <c r="Q205" i="1" s="1"/>
  <c r="R205" i="1" s="1"/>
  <c r="J206" i="1"/>
  <c r="Q206" i="1" s="1"/>
  <c r="R206" i="1" s="1"/>
  <c r="J207" i="1"/>
  <c r="Q207" i="1" s="1"/>
  <c r="R207" i="1" s="1"/>
  <c r="J208" i="1"/>
  <c r="Q208" i="1" s="1"/>
  <c r="R208" i="1" s="1"/>
  <c r="J209" i="1"/>
  <c r="Q209" i="1" s="1"/>
  <c r="R209" i="1" s="1"/>
  <c r="J210" i="1"/>
  <c r="Q210" i="1" s="1"/>
  <c r="R210" i="1" s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Q231" i="1" s="1"/>
  <c r="R231" i="1" s="1"/>
  <c r="J232" i="1"/>
  <c r="Q232" i="1" s="1"/>
  <c r="R232" i="1" s="1"/>
  <c r="J233" i="1"/>
  <c r="Q233" i="1" s="1"/>
  <c r="R233" i="1" s="1"/>
  <c r="J234" i="1"/>
  <c r="Q234" i="1" s="1"/>
  <c r="R234" i="1" s="1"/>
  <c r="J235" i="1"/>
  <c r="Q235" i="1" s="1"/>
  <c r="R235" i="1" s="1"/>
  <c r="J236" i="1"/>
  <c r="Q236" i="1" s="1"/>
  <c r="R236" i="1" s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Q264" i="1" s="1"/>
  <c r="R264" i="1" s="1"/>
  <c r="J265" i="1"/>
  <c r="Q265" i="1" s="1"/>
  <c r="R265" i="1" s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Q309" i="1" s="1"/>
  <c r="R309" i="1" s="1"/>
  <c r="J310" i="1"/>
  <c r="Q310" i="1" s="1"/>
  <c r="R310" i="1" s="1"/>
  <c r="J311" i="1"/>
  <c r="Q311" i="1" s="1"/>
  <c r="R311" i="1" s="1"/>
  <c r="J312" i="1"/>
  <c r="Q312" i="1" s="1"/>
  <c r="R312" i="1" s="1"/>
  <c r="J313" i="1"/>
  <c r="Q313" i="1" s="1"/>
  <c r="R313" i="1" s="1"/>
  <c r="J314" i="1"/>
  <c r="Q314" i="1" s="1"/>
  <c r="R314" i="1" s="1"/>
  <c r="J315" i="1"/>
  <c r="Q315" i="1" s="1"/>
  <c r="R315" i="1" s="1"/>
  <c r="J316" i="1"/>
  <c r="Q316" i="1" s="1"/>
  <c r="R316" i="1" s="1"/>
  <c r="J317" i="1"/>
  <c r="Q317" i="1" s="1"/>
  <c r="R317" i="1" s="1"/>
  <c r="J318" i="1"/>
  <c r="Q318" i="1" s="1"/>
  <c r="R318" i="1" s="1"/>
  <c r="J319" i="1"/>
  <c r="Q319" i="1" s="1"/>
  <c r="R319" i="1" s="1"/>
  <c r="J320" i="1"/>
  <c r="Q320" i="1" s="1"/>
  <c r="R320" i="1" s="1"/>
  <c r="J321" i="1"/>
  <c r="Q321" i="1" s="1"/>
  <c r="R321" i="1" s="1"/>
  <c r="J322" i="1"/>
  <c r="Q322" i="1" s="1"/>
  <c r="R322" i="1" s="1"/>
  <c r="J323" i="1"/>
  <c r="Q323" i="1" s="1"/>
  <c r="R323" i="1" s="1"/>
  <c r="J324" i="1"/>
  <c r="Q324" i="1" s="1"/>
  <c r="R324" i="1" s="1"/>
  <c r="J325" i="1"/>
  <c r="Q325" i="1" s="1"/>
  <c r="R325" i="1" s="1"/>
  <c r="J326" i="1"/>
  <c r="Q326" i="1" s="1"/>
  <c r="R326" i="1" s="1"/>
  <c r="J327" i="1"/>
  <c r="Q327" i="1" s="1"/>
  <c r="R327" i="1" s="1"/>
  <c r="J328" i="1"/>
  <c r="Q328" i="1" s="1"/>
  <c r="R328" i="1" s="1"/>
  <c r="J329" i="1"/>
  <c r="Q329" i="1" s="1"/>
  <c r="R329" i="1" s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Q345" i="1" s="1"/>
  <c r="R345" i="1" s="1"/>
  <c r="J346" i="1"/>
  <c r="Q346" i="1" s="1"/>
  <c r="R346" i="1" s="1"/>
  <c r="J347" i="1"/>
  <c r="Q347" i="1" s="1"/>
  <c r="R347" i="1" s="1"/>
  <c r="J348" i="1"/>
  <c r="Q348" i="1" s="1"/>
  <c r="R348" i="1" s="1"/>
  <c r="J349" i="1"/>
  <c r="Q349" i="1" s="1"/>
  <c r="R349" i="1" s="1"/>
  <c r="J350" i="1"/>
  <c r="Q350" i="1" s="1"/>
  <c r="R350" i="1" s="1"/>
  <c r="J351" i="1"/>
  <c r="Q351" i="1" s="1"/>
  <c r="R351" i="1" s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Q366" i="1" s="1"/>
  <c r="R366" i="1" s="1"/>
  <c r="J367" i="1"/>
  <c r="Q367" i="1" s="1"/>
  <c r="R367" i="1" s="1"/>
  <c r="J368" i="1"/>
  <c r="Q368" i="1" s="1"/>
  <c r="R368" i="1" s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Q415" i="1" s="1"/>
  <c r="R415" i="1" s="1"/>
  <c r="J416" i="1"/>
  <c r="Q416" i="1" s="1"/>
  <c r="R416" i="1" s="1"/>
  <c r="J417" i="1"/>
  <c r="Q417" i="1" s="1"/>
  <c r="R417" i="1" s="1"/>
  <c r="J418" i="1"/>
  <c r="Q418" i="1" s="1"/>
  <c r="R418" i="1" s="1"/>
  <c r="J419" i="1"/>
  <c r="Q419" i="1" s="1"/>
  <c r="R419" i="1" s="1"/>
  <c r="J420" i="1"/>
  <c r="Q420" i="1" s="1"/>
  <c r="R420" i="1" s="1"/>
  <c r="J421" i="1"/>
  <c r="J422" i="1"/>
  <c r="J423" i="1"/>
  <c r="J424" i="1"/>
  <c r="J425" i="1"/>
  <c r="J426" i="1"/>
  <c r="J427" i="1"/>
  <c r="J428" i="1"/>
  <c r="J429" i="1"/>
  <c r="J430" i="1"/>
  <c r="J431" i="1"/>
  <c r="Q431" i="1" s="1"/>
  <c r="R431" i="1" s="1"/>
  <c r="J432" i="1"/>
  <c r="Q432" i="1" s="1"/>
  <c r="R432" i="1" s="1"/>
  <c r="J433" i="1"/>
  <c r="Q433" i="1" s="1"/>
  <c r="R433" i="1" s="1"/>
  <c r="J434" i="1"/>
  <c r="Q434" i="1" s="1"/>
  <c r="R434" i="1" s="1"/>
  <c r="J435" i="1"/>
  <c r="Q435" i="1" s="1"/>
  <c r="R435" i="1" s="1"/>
  <c r="J436" i="1"/>
  <c r="Q436" i="1" s="1"/>
  <c r="R436" i="1" s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Q472" i="1" s="1"/>
  <c r="R472" i="1" s="1"/>
  <c r="J473" i="1"/>
  <c r="Q473" i="1" s="1"/>
  <c r="R473" i="1" s="1"/>
  <c r="J474" i="1"/>
  <c r="Q474" i="1" s="1"/>
  <c r="R474" i="1" s="1"/>
  <c r="J475" i="1"/>
  <c r="Q475" i="1" s="1"/>
  <c r="R475" i="1" s="1"/>
  <c r="J476" i="1"/>
  <c r="Q476" i="1" s="1"/>
  <c r="R476" i="1" s="1"/>
  <c r="J477" i="1"/>
  <c r="Q477" i="1" s="1"/>
  <c r="R477" i="1" s="1"/>
  <c r="J478" i="1"/>
  <c r="Q478" i="1" s="1"/>
  <c r="R478" i="1" s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Q495" i="1" s="1"/>
  <c r="R495" i="1" s="1"/>
  <c r="J496" i="1"/>
  <c r="J497" i="1"/>
  <c r="J498" i="1"/>
  <c r="J499" i="1"/>
  <c r="J500" i="1"/>
  <c r="J501" i="1"/>
  <c r="J502" i="1"/>
  <c r="Q502" i="1" s="1"/>
  <c r="R502" i="1" s="1"/>
  <c r="J503" i="1"/>
  <c r="Q503" i="1" s="1"/>
  <c r="R503" i="1" s="1"/>
  <c r="J504" i="1"/>
  <c r="Q504" i="1" s="1"/>
  <c r="R504" i="1" s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Q554" i="1" s="1"/>
  <c r="R554" i="1" s="1"/>
  <c r="J555" i="1"/>
  <c r="Q555" i="1" s="1"/>
  <c r="R555" i="1" s="1"/>
  <c r="J556" i="1"/>
  <c r="Q556" i="1" s="1"/>
  <c r="R556" i="1" s="1"/>
  <c r="J557" i="1"/>
  <c r="Q557" i="1" s="1"/>
  <c r="R557" i="1" s="1"/>
  <c r="J558" i="1"/>
  <c r="Q558" i="1" s="1"/>
  <c r="R558" i="1" s="1"/>
  <c r="J559" i="1"/>
  <c r="J560" i="1"/>
  <c r="J561" i="1"/>
  <c r="J562" i="1"/>
  <c r="J563" i="1"/>
  <c r="J564" i="1"/>
  <c r="J565" i="1"/>
  <c r="J566" i="1"/>
  <c r="J567" i="1"/>
  <c r="J568" i="1"/>
  <c r="Q568" i="1" s="1"/>
  <c r="R568" i="1" s="1"/>
  <c r="J569" i="1"/>
  <c r="Q569" i="1" s="1"/>
  <c r="R569" i="1" s="1"/>
  <c r="J570" i="1"/>
  <c r="Q570" i="1" s="1"/>
  <c r="R570" i="1" s="1"/>
  <c r="J571" i="1"/>
  <c r="Q571" i="1" s="1"/>
  <c r="R571" i="1" s="1"/>
  <c r="J572" i="1"/>
  <c r="Q572" i="1" s="1"/>
  <c r="R572" i="1" s="1"/>
  <c r="J573" i="1"/>
  <c r="Q573" i="1" s="1"/>
  <c r="R573" i="1" s="1"/>
  <c r="J574" i="1"/>
  <c r="Q574" i="1" s="1"/>
  <c r="R574" i="1" s="1"/>
  <c r="J575" i="1"/>
  <c r="Q575" i="1" s="1"/>
  <c r="R575" i="1" s="1"/>
  <c r="J576" i="1"/>
  <c r="Q576" i="1" s="1"/>
  <c r="R576" i="1" s="1"/>
  <c r="J577" i="1"/>
  <c r="Q577" i="1" s="1"/>
  <c r="R577" i="1" s="1"/>
  <c r="J578" i="1"/>
  <c r="Q578" i="1" s="1"/>
  <c r="R578" i="1" s="1"/>
  <c r="J579" i="1"/>
  <c r="Q579" i="1" s="1"/>
  <c r="R579" i="1" s="1"/>
  <c r="J580" i="1"/>
  <c r="Q580" i="1" s="1"/>
  <c r="R580" i="1" s="1"/>
  <c r="J581" i="1"/>
  <c r="Q581" i="1" s="1"/>
  <c r="R581" i="1" s="1"/>
  <c r="J582" i="1"/>
  <c r="J583" i="1"/>
  <c r="J584" i="1"/>
  <c r="J585" i="1"/>
  <c r="J586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Q623" i="1" s="1"/>
  <c r="R623" i="1" s="1"/>
  <c r="J624" i="1"/>
  <c r="Q624" i="1" s="1"/>
  <c r="R624" i="1" s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Q651" i="1" s="1"/>
  <c r="R651" i="1" s="1"/>
  <c r="J652" i="1"/>
  <c r="Q652" i="1" s="1"/>
  <c r="R652" i="1" s="1"/>
  <c r="J653" i="1"/>
  <c r="Q653" i="1" s="1"/>
  <c r="R653" i="1" s="1"/>
  <c r="J654" i="1"/>
  <c r="Q654" i="1" s="1"/>
  <c r="R654" i="1" s="1"/>
  <c r="J655" i="1"/>
  <c r="Q655" i="1" s="1"/>
  <c r="R655" i="1" s="1"/>
  <c r="J656" i="1"/>
  <c r="Q656" i="1" s="1"/>
  <c r="R656" i="1" s="1"/>
  <c r="J657" i="1"/>
  <c r="Q657" i="1" s="1"/>
  <c r="R657" i="1" s="1"/>
  <c r="J658" i="1"/>
  <c r="Q658" i="1" s="1"/>
  <c r="R658" i="1" s="1"/>
  <c r="J659" i="1"/>
  <c r="Q659" i="1" s="1"/>
  <c r="R659" i="1" s="1"/>
  <c r="J660" i="1"/>
  <c r="Q660" i="1" s="1"/>
  <c r="R660" i="1" s="1"/>
  <c r="J661" i="1"/>
  <c r="Q661" i="1" s="1"/>
  <c r="R661" i="1" s="1"/>
  <c r="J662" i="1"/>
  <c r="Q662" i="1" s="1"/>
  <c r="R662" i="1" s="1"/>
  <c r="J663" i="1"/>
  <c r="Q663" i="1" s="1"/>
  <c r="R663" i="1" s="1"/>
  <c r="J664" i="1"/>
  <c r="Q664" i="1" s="1"/>
  <c r="R664" i="1" s="1"/>
  <c r="J665" i="1"/>
  <c r="Q665" i="1" s="1"/>
  <c r="R665" i="1" s="1"/>
  <c r="J666" i="1"/>
  <c r="Q666" i="1" s="1"/>
  <c r="R666" i="1" s="1"/>
  <c r="J667" i="1"/>
  <c r="J668" i="1"/>
  <c r="J669" i="1"/>
  <c r="Q669" i="1" s="1"/>
  <c r="R669" i="1" s="1"/>
  <c r="K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L4" i="7"/>
  <c r="L3" i="7"/>
  <c r="J168" i="6"/>
  <c r="K167" i="6"/>
  <c r="K166" i="6"/>
  <c r="K165" i="6"/>
  <c r="K164" i="6"/>
  <c r="K163" i="6"/>
  <c r="K162" i="6"/>
  <c r="K161" i="6"/>
  <c r="K160" i="6"/>
  <c r="K159" i="6"/>
  <c r="K158" i="6"/>
  <c r="K157" i="6"/>
  <c r="K156" i="6"/>
  <c r="K155" i="6"/>
  <c r="K154" i="6"/>
  <c r="K153" i="6"/>
  <c r="K152" i="6"/>
  <c r="K151" i="6"/>
  <c r="K150" i="6"/>
  <c r="K149" i="6"/>
  <c r="K148" i="6"/>
  <c r="K147" i="6"/>
  <c r="K146" i="6"/>
  <c r="K145" i="6"/>
  <c r="K144" i="6"/>
  <c r="K143" i="6"/>
  <c r="K142" i="6"/>
  <c r="K141" i="6"/>
  <c r="K140" i="6"/>
  <c r="K139" i="6"/>
  <c r="K138" i="6"/>
  <c r="K137" i="6"/>
  <c r="K136" i="6"/>
  <c r="K135" i="6"/>
  <c r="K134" i="6"/>
  <c r="K133" i="6"/>
  <c r="K132" i="6"/>
  <c r="K131" i="6"/>
  <c r="K130" i="6"/>
  <c r="K129" i="6"/>
  <c r="K128" i="6"/>
  <c r="K127" i="6"/>
  <c r="K126" i="6"/>
  <c r="K125" i="6"/>
  <c r="K124" i="6"/>
  <c r="K123" i="6"/>
  <c r="K122" i="6"/>
  <c r="K121" i="6"/>
  <c r="K120" i="6"/>
  <c r="K119" i="6"/>
  <c r="K118" i="6"/>
  <c r="K117" i="6"/>
  <c r="K116" i="6"/>
  <c r="K115" i="6"/>
  <c r="K114" i="6"/>
  <c r="K113" i="6"/>
  <c r="K112" i="6"/>
  <c r="K111" i="6"/>
  <c r="K110" i="6"/>
  <c r="K109" i="6"/>
  <c r="K108" i="6"/>
  <c r="K107" i="6"/>
  <c r="K106" i="6"/>
  <c r="K105" i="6"/>
  <c r="K104" i="6"/>
  <c r="K103" i="6"/>
  <c r="K102" i="6"/>
  <c r="K101" i="6"/>
  <c r="K100" i="6"/>
  <c r="K99" i="6"/>
  <c r="K98" i="6"/>
  <c r="K97" i="6"/>
  <c r="K96" i="6"/>
  <c r="K95" i="6"/>
  <c r="K94" i="6"/>
  <c r="K93" i="6"/>
  <c r="K92" i="6"/>
  <c r="K91" i="6"/>
  <c r="K90" i="6"/>
  <c r="K89" i="6"/>
  <c r="K88" i="6"/>
  <c r="K87" i="6"/>
  <c r="K86" i="6"/>
  <c r="K85" i="6"/>
  <c r="K84" i="6"/>
  <c r="K83" i="6"/>
  <c r="K82" i="6"/>
  <c r="K81" i="6"/>
  <c r="K80" i="6"/>
  <c r="K79" i="6"/>
  <c r="K78" i="6"/>
  <c r="K77" i="6"/>
  <c r="K76" i="6"/>
  <c r="K75" i="6"/>
  <c r="K74" i="6"/>
  <c r="K73" i="6"/>
  <c r="K72" i="6"/>
  <c r="K71" i="6"/>
  <c r="K70" i="6"/>
  <c r="K69" i="6"/>
  <c r="K68" i="6"/>
  <c r="K67" i="6"/>
  <c r="K66" i="6"/>
  <c r="K65" i="6"/>
  <c r="K64" i="6"/>
  <c r="K63" i="6"/>
  <c r="K62" i="6"/>
  <c r="K61" i="6"/>
  <c r="K60" i="6"/>
  <c r="K59" i="6"/>
  <c r="K58" i="6"/>
  <c r="K57" i="6"/>
  <c r="K56" i="6"/>
  <c r="K55" i="6"/>
  <c r="K54" i="6"/>
  <c r="K53" i="6"/>
  <c r="K52" i="6"/>
  <c r="K51" i="6"/>
  <c r="K50" i="6"/>
  <c r="K49" i="6"/>
  <c r="K48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J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3" i="5"/>
  <c r="J136" i="4"/>
  <c r="K135" i="4"/>
  <c r="K134" i="4"/>
  <c r="K133" i="4"/>
  <c r="K132" i="4"/>
  <c r="K131" i="4"/>
  <c r="K130" i="4"/>
  <c r="K129" i="4"/>
  <c r="K128" i="4"/>
  <c r="K127" i="4"/>
  <c r="K126" i="4"/>
  <c r="K125" i="4"/>
  <c r="K124" i="4"/>
  <c r="K123" i="4"/>
  <c r="K122" i="4"/>
  <c r="K121" i="4"/>
  <c r="K120" i="4"/>
  <c r="K119" i="4"/>
  <c r="K118" i="4"/>
  <c r="K117" i="4"/>
  <c r="K116" i="4"/>
  <c r="K115" i="4"/>
  <c r="K114" i="4"/>
  <c r="K113" i="4"/>
  <c r="K112" i="4"/>
  <c r="K111" i="4"/>
  <c r="K110" i="4"/>
  <c r="K109" i="4"/>
  <c r="K108" i="4"/>
  <c r="K107" i="4"/>
  <c r="K106" i="4"/>
  <c r="K105" i="4"/>
  <c r="K104" i="4"/>
  <c r="K103" i="4"/>
  <c r="K102" i="4"/>
  <c r="K101" i="4"/>
  <c r="K100" i="4"/>
  <c r="K99" i="4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J270" i="3"/>
  <c r="K269" i="3"/>
  <c r="K268" i="3"/>
  <c r="K267" i="3"/>
  <c r="K266" i="3"/>
  <c r="K265" i="3"/>
  <c r="K264" i="3"/>
  <c r="K263" i="3"/>
  <c r="K262" i="3"/>
  <c r="K261" i="3"/>
  <c r="K260" i="3"/>
  <c r="K259" i="3"/>
  <c r="K258" i="3"/>
  <c r="K257" i="3"/>
  <c r="K256" i="3"/>
  <c r="K255" i="3"/>
  <c r="K254" i="3"/>
  <c r="K253" i="3"/>
  <c r="K252" i="3"/>
  <c r="K251" i="3"/>
  <c r="K250" i="3"/>
  <c r="K249" i="3"/>
  <c r="K248" i="3"/>
  <c r="K247" i="3"/>
  <c r="K246" i="3"/>
  <c r="K245" i="3"/>
  <c r="K244" i="3"/>
  <c r="K243" i="3"/>
  <c r="K242" i="3"/>
  <c r="K241" i="3"/>
  <c r="K240" i="3"/>
  <c r="K239" i="3"/>
  <c r="K238" i="3"/>
  <c r="K237" i="3"/>
  <c r="K236" i="3"/>
  <c r="K235" i="3"/>
  <c r="K234" i="3"/>
  <c r="K233" i="3"/>
  <c r="K232" i="3"/>
  <c r="K231" i="3"/>
  <c r="K230" i="3"/>
  <c r="K229" i="3"/>
  <c r="K228" i="3"/>
  <c r="K227" i="3"/>
  <c r="K226" i="3"/>
  <c r="K225" i="3"/>
  <c r="K224" i="3"/>
  <c r="K223" i="3"/>
  <c r="K222" i="3"/>
  <c r="K221" i="3"/>
  <c r="K220" i="3"/>
  <c r="K219" i="3"/>
  <c r="K218" i="3"/>
  <c r="K217" i="3"/>
  <c r="K216" i="3"/>
  <c r="K215" i="3"/>
  <c r="K214" i="3"/>
  <c r="K213" i="3"/>
  <c r="K212" i="3"/>
  <c r="K211" i="3"/>
  <c r="K210" i="3"/>
  <c r="K209" i="3"/>
  <c r="K208" i="3"/>
  <c r="K207" i="3"/>
  <c r="K206" i="3"/>
  <c r="K205" i="3"/>
  <c r="K204" i="3"/>
  <c r="K203" i="3"/>
  <c r="K202" i="3"/>
  <c r="K201" i="3"/>
  <c r="K200" i="3"/>
  <c r="K199" i="3"/>
  <c r="K198" i="3"/>
  <c r="K197" i="3"/>
  <c r="K196" i="3"/>
  <c r="K195" i="3"/>
  <c r="K194" i="3"/>
  <c r="K193" i="3"/>
  <c r="K192" i="3"/>
  <c r="K191" i="3"/>
  <c r="K190" i="3"/>
  <c r="K189" i="3"/>
  <c r="K188" i="3"/>
  <c r="K187" i="3"/>
  <c r="K186" i="3"/>
  <c r="K185" i="3"/>
  <c r="K184" i="3"/>
  <c r="K183" i="3"/>
  <c r="K182" i="3"/>
  <c r="K181" i="3"/>
  <c r="K180" i="3"/>
  <c r="K179" i="3"/>
  <c r="K178" i="3"/>
  <c r="K177" i="3"/>
  <c r="K176" i="3"/>
  <c r="K175" i="3"/>
  <c r="K174" i="3"/>
  <c r="K173" i="3"/>
  <c r="K172" i="3"/>
  <c r="K171" i="3"/>
  <c r="K170" i="3"/>
  <c r="K169" i="3"/>
  <c r="K168" i="3"/>
  <c r="K167" i="3"/>
  <c r="K166" i="3"/>
  <c r="K165" i="3"/>
  <c r="K164" i="3"/>
  <c r="K163" i="3"/>
  <c r="K162" i="3"/>
  <c r="K161" i="3"/>
  <c r="K160" i="3"/>
  <c r="K159" i="3"/>
  <c r="K158" i="3"/>
  <c r="K157" i="3"/>
  <c r="K156" i="3"/>
  <c r="K155" i="3"/>
  <c r="K154" i="3"/>
  <c r="K153" i="3"/>
  <c r="K152" i="3"/>
  <c r="K151" i="3"/>
  <c r="K150" i="3"/>
  <c r="K149" i="3"/>
  <c r="K148" i="3"/>
  <c r="K147" i="3"/>
  <c r="K146" i="3"/>
  <c r="K145" i="3"/>
  <c r="K144" i="3"/>
  <c r="K143" i="3"/>
  <c r="K142" i="3"/>
  <c r="K141" i="3"/>
  <c r="K140" i="3"/>
  <c r="K139" i="3"/>
  <c r="K138" i="3"/>
  <c r="K137" i="3"/>
  <c r="K136" i="3"/>
  <c r="K135" i="3"/>
  <c r="K134" i="3"/>
  <c r="K133" i="3"/>
  <c r="K132" i="3"/>
  <c r="K131" i="3"/>
  <c r="K130" i="3"/>
  <c r="K129" i="3"/>
  <c r="K128" i="3"/>
  <c r="K127" i="3"/>
  <c r="K126" i="3"/>
  <c r="K125" i="3"/>
  <c r="K124" i="3"/>
  <c r="K123" i="3"/>
  <c r="K122" i="3"/>
  <c r="K121" i="3"/>
  <c r="K120" i="3"/>
  <c r="K119" i="3"/>
  <c r="K118" i="3"/>
  <c r="K117" i="3"/>
  <c r="K116" i="3"/>
  <c r="K115" i="3"/>
  <c r="K114" i="3"/>
  <c r="K113" i="3"/>
  <c r="K112" i="3"/>
  <c r="K111" i="3"/>
  <c r="K110" i="3"/>
  <c r="K109" i="3"/>
  <c r="K108" i="3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J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O335" i="9" l="1"/>
  <c r="O334" i="9"/>
  <c r="O333" i="9"/>
  <c r="O332" i="9"/>
  <c r="O331" i="9"/>
  <c r="O330" i="9"/>
  <c r="O329" i="9"/>
  <c r="O307" i="9"/>
  <c r="O306" i="9"/>
  <c r="O305" i="9"/>
  <c r="O304" i="9"/>
  <c r="O303" i="9"/>
  <c r="O302" i="9"/>
  <c r="O301" i="9"/>
  <c r="O300" i="9"/>
  <c r="O299" i="9"/>
  <c r="O298" i="9"/>
  <c r="O297" i="9"/>
  <c r="O296" i="9"/>
  <c r="O295" i="9"/>
  <c r="O294" i="9"/>
  <c r="O293" i="9"/>
  <c r="O292" i="9"/>
  <c r="O291" i="9"/>
  <c r="O290" i="9"/>
  <c r="O289" i="9"/>
  <c r="O288" i="9"/>
  <c r="O287" i="9"/>
  <c r="O286" i="9"/>
  <c r="O285" i="9"/>
  <c r="O284" i="9"/>
  <c r="O283" i="9"/>
  <c r="O282" i="9"/>
  <c r="O281" i="9"/>
  <c r="O280" i="9"/>
  <c r="O279" i="9"/>
  <c r="O278" i="9"/>
  <c r="O277" i="9"/>
  <c r="O276" i="9"/>
  <c r="O275" i="9"/>
  <c r="O274" i="9"/>
  <c r="O273" i="9"/>
  <c r="O272" i="9"/>
  <c r="O271" i="9"/>
  <c r="O270" i="9"/>
  <c r="O269" i="9"/>
  <c r="O268" i="9"/>
  <c r="O267" i="9"/>
  <c r="O266" i="9"/>
  <c r="O265" i="9"/>
  <c r="O262" i="9"/>
  <c r="O261" i="9"/>
  <c r="O260" i="9"/>
  <c r="O259" i="9"/>
  <c r="O258" i="9"/>
  <c r="O257" i="9"/>
  <c r="O256" i="9"/>
  <c r="O255" i="9"/>
  <c r="O254" i="9"/>
  <c r="O253" i="9"/>
  <c r="O252" i="9"/>
  <c r="O251" i="9"/>
  <c r="O250" i="9"/>
  <c r="O249" i="9"/>
  <c r="O248" i="9"/>
  <c r="O247" i="9"/>
  <c r="O246" i="9"/>
  <c r="O245" i="9"/>
  <c r="O244" i="9"/>
  <c r="O243" i="9"/>
  <c r="O242" i="9"/>
  <c r="O241" i="9"/>
  <c r="O240" i="9"/>
  <c r="O239" i="9"/>
  <c r="O238" i="9"/>
  <c r="O237" i="9"/>
  <c r="O236" i="9"/>
  <c r="O229" i="9"/>
  <c r="O228" i="9"/>
  <c r="O227" i="9"/>
  <c r="O226" i="9"/>
  <c r="O225" i="9"/>
  <c r="O224" i="9"/>
  <c r="O223" i="9"/>
  <c r="O222" i="9"/>
  <c r="O221" i="9"/>
  <c r="O220" i="9"/>
  <c r="O219" i="9"/>
  <c r="O218" i="9"/>
  <c r="O217" i="9"/>
  <c r="O216" i="9"/>
  <c r="O215" i="9"/>
  <c r="O214" i="9"/>
  <c r="O213" i="9"/>
  <c r="O212" i="9"/>
  <c r="O211" i="9"/>
  <c r="O210" i="9"/>
  <c r="O182" i="9"/>
  <c r="O181" i="9"/>
  <c r="O180" i="9"/>
  <c r="O179" i="9"/>
  <c r="O178" i="9"/>
  <c r="O177" i="9"/>
  <c r="O176" i="9"/>
  <c r="O174" i="9"/>
  <c r="O172" i="9"/>
  <c r="O171" i="9"/>
  <c r="O170" i="9"/>
  <c r="O169" i="9"/>
  <c r="O168" i="9"/>
  <c r="O167" i="9"/>
  <c r="O165" i="9"/>
  <c r="O164" i="9"/>
  <c r="O163" i="9"/>
  <c r="O162" i="9"/>
  <c r="O161" i="9"/>
  <c r="O160" i="9"/>
  <c r="O159" i="9"/>
  <c r="O158" i="9"/>
  <c r="O157" i="9"/>
  <c r="O156" i="9"/>
  <c r="O155" i="9"/>
  <c r="O154" i="9"/>
  <c r="O153" i="9"/>
  <c r="O152" i="9"/>
  <c r="O151" i="9"/>
  <c r="O150" i="9"/>
  <c r="O149" i="9"/>
  <c r="O148" i="9"/>
  <c r="O147" i="9"/>
  <c r="O146" i="9"/>
  <c r="O145" i="9"/>
  <c r="O144" i="9"/>
  <c r="O143" i="9"/>
  <c r="O142" i="9"/>
  <c r="O141" i="9"/>
  <c r="O140" i="9"/>
  <c r="O139" i="9"/>
  <c r="O138" i="9"/>
  <c r="O137" i="9"/>
  <c r="O136" i="9"/>
  <c r="O135" i="9"/>
  <c r="O134" i="9"/>
  <c r="O133" i="9"/>
  <c r="O132" i="9"/>
  <c r="O131" i="9"/>
  <c r="O130" i="9"/>
  <c r="O129" i="9"/>
  <c r="O128" i="9"/>
  <c r="O127" i="9"/>
  <c r="O126" i="9"/>
  <c r="O125" i="9"/>
  <c r="O124" i="9"/>
  <c r="O122" i="9"/>
  <c r="O121" i="9"/>
  <c r="O117" i="9"/>
  <c r="O116" i="9"/>
  <c r="O115" i="9"/>
  <c r="O114" i="9"/>
  <c r="O113" i="9"/>
  <c r="O112" i="9"/>
  <c r="O111" i="9"/>
  <c r="O110" i="9"/>
  <c r="O109" i="9"/>
  <c r="O108" i="9"/>
  <c r="O107" i="9"/>
  <c r="O106" i="9"/>
  <c r="O105" i="9"/>
  <c r="O104" i="9"/>
  <c r="O103" i="9"/>
  <c r="O101" i="9"/>
  <c r="O100" i="9"/>
  <c r="O99" i="9"/>
  <c r="O98" i="9"/>
  <c r="O97" i="9"/>
  <c r="O96" i="9"/>
  <c r="O95" i="9"/>
  <c r="O94" i="9"/>
  <c r="O93" i="9"/>
  <c r="O92" i="9"/>
  <c r="O91" i="9"/>
  <c r="O90" i="9"/>
  <c r="O80" i="9"/>
  <c r="O74" i="9"/>
  <c r="O73" i="9"/>
  <c r="O72" i="9"/>
  <c r="O68" i="9"/>
  <c r="O67" i="9"/>
  <c r="O66" i="9"/>
  <c r="O65" i="9"/>
  <c r="O64" i="9"/>
  <c r="O63" i="9"/>
  <c r="O62" i="9"/>
  <c r="O61" i="9"/>
  <c r="O60" i="9"/>
  <c r="O59" i="9"/>
  <c r="O58" i="9"/>
  <c r="O57" i="9"/>
  <c r="O56" i="9"/>
  <c r="O55" i="9"/>
  <c r="O54" i="9"/>
  <c r="O53" i="9"/>
  <c r="O52" i="9"/>
  <c r="O51" i="9"/>
  <c r="O50" i="9"/>
  <c r="O49" i="9"/>
  <c r="O48" i="9"/>
  <c r="O47" i="9"/>
  <c r="O46" i="9"/>
  <c r="O45" i="9"/>
  <c r="O44" i="9"/>
  <c r="O43" i="9"/>
  <c r="O42" i="9"/>
  <c r="O41" i="9"/>
  <c r="O40" i="9"/>
  <c r="O39" i="9"/>
  <c r="O38" i="9"/>
  <c r="O37" i="9"/>
  <c r="O36" i="9"/>
  <c r="O35" i="9"/>
  <c r="O34" i="9"/>
  <c r="O33" i="9"/>
  <c r="O32" i="9"/>
  <c r="O31" i="9"/>
  <c r="O30" i="9"/>
  <c r="O29" i="9"/>
  <c r="O28" i="9"/>
  <c r="O27" i="9"/>
  <c r="O26" i="9"/>
  <c r="O25" i="9"/>
  <c r="O24" i="9"/>
  <c r="O23" i="9"/>
  <c r="O22" i="9"/>
  <c r="O21" i="9"/>
  <c r="O20" i="9"/>
  <c r="O19" i="9"/>
  <c r="O18" i="9"/>
  <c r="O17" i="9"/>
  <c r="O16" i="9"/>
  <c r="O15" i="9"/>
  <c r="O14" i="9"/>
  <c r="O13" i="9"/>
  <c r="O9" i="9"/>
  <c r="O8" i="9"/>
  <c r="O7" i="9"/>
  <c r="O6" i="9"/>
  <c r="O5" i="9"/>
  <c r="O4" i="9"/>
  <c r="O3" i="9"/>
  <c r="O2" i="9"/>
  <c r="Q2" i="9"/>
  <c r="R2" i="9" s="1"/>
  <c r="Q3" i="9"/>
  <c r="R3" i="9" s="1"/>
  <c r="Q4" i="9"/>
  <c r="R4" i="9" s="1"/>
  <c r="Q5" i="9"/>
  <c r="R5" i="9" s="1"/>
  <c r="Q6" i="9"/>
  <c r="R6" i="9" s="1"/>
  <c r="Q7" i="9"/>
  <c r="R7" i="9" s="1"/>
  <c r="Q8" i="9"/>
  <c r="R8" i="9" s="1"/>
  <c r="Q9" i="9"/>
  <c r="R9" i="9" s="1"/>
  <c r="Q13" i="9"/>
  <c r="R13" i="9" s="1"/>
  <c r="Q14" i="9"/>
  <c r="R14" i="9" s="1"/>
  <c r="Q15" i="9"/>
  <c r="R15" i="9" s="1"/>
  <c r="Q16" i="9"/>
  <c r="R16" i="9" s="1"/>
  <c r="Q17" i="9"/>
  <c r="R17" i="9" s="1"/>
  <c r="Q18" i="9"/>
  <c r="R18" i="9" s="1"/>
  <c r="Q19" i="9"/>
  <c r="R19" i="9" s="1"/>
  <c r="Q20" i="9"/>
  <c r="R20" i="9" s="1"/>
  <c r="Q21" i="9"/>
  <c r="R21" i="9" s="1"/>
  <c r="Q22" i="9"/>
  <c r="R22" i="9" s="1"/>
  <c r="Q23" i="9"/>
  <c r="R23" i="9" s="1"/>
  <c r="Q24" i="9"/>
  <c r="R24" i="9" s="1"/>
  <c r="Q25" i="9"/>
  <c r="R25" i="9" s="1"/>
  <c r="Q26" i="9"/>
  <c r="R26" i="9" s="1"/>
  <c r="Q27" i="9"/>
  <c r="R27" i="9" s="1"/>
  <c r="Q28" i="9"/>
  <c r="R28" i="9" s="1"/>
  <c r="Q29" i="9"/>
  <c r="R29" i="9" s="1"/>
  <c r="Q30" i="9"/>
  <c r="R30" i="9" s="1"/>
  <c r="Q31" i="9"/>
  <c r="R31" i="9" s="1"/>
  <c r="Q32" i="9"/>
  <c r="R32" i="9" s="1"/>
  <c r="Q33" i="9"/>
  <c r="R33" i="9" s="1"/>
  <c r="Q34" i="9"/>
  <c r="R34" i="9" s="1"/>
  <c r="Q35" i="9"/>
  <c r="R35" i="9" s="1"/>
  <c r="Q36" i="9"/>
  <c r="R36" i="9" s="1"/>
  <c r="Q37" i="9"/>
  <c r="R37" i="9" s="1"/>
  <c r="Q38" i="9"/>
  <c r="R38" i="9" s="1"/>
  <c r="Q39" i="9"/>
  <c r="R39" i="9" s="1"/>
  <c r="Q40" i="9"/>
  <c r="R40" i="9" s="1"/>
  <c r="Q41" i="9"/>
  <c r="R41" i="9" s="1"/>
  <c r="Q42" i="9"/>
  <c r="R42" i="9" s="1"/>
  <c r="Q43" i="9"/>
  <c r="R43" i="9" s="1"/>
  <c r="Q44" i="9"/>
  <c r="R44" i="9" s="1"/>
  <c r="Q45" i="9"/>
  <c r="R45" i="9" s="1"/>
  <c r="Q46" i="9"/>
  <c r="R46" i="9" s="1"/>
  <c r="Q47" i="9"/>
  <c r="R47" i="9" s="1"/>
  <c r="Q48" i="9"/>
  <c r="R48" i="9" s="1"/>
  <c r="Q49" i="9"/>
  <c r="R49" i="9" s="1"/>
  <c r="Q50" i="9"/>
  <c r="R50" i="9" s="1"/>
  <c r="Q51" i="9"/>
  <c r="R51" i="9" s="1"/>
  <c r="Q52" i="9"/>
  <c r="R52" i="9" s="1"/>
  <c r="Q53" i="9"/>
  <c r="R53" i="9" s="1"/>
  <c r="Q54" i="9"/>
  <c r="R54" i="9" s="1"/>
  <c r="Q55" i="9"/>
  <c r="R55" i="9" s="1"/>
  <c r="Q56" i="9"/>
  <c r="R56" i="9" s="1"/>
  <c r="Q57" i="9"/>
  <c r="R57" i="9" s="1"/>
  <c r="Q58" i="9"/>
  <c r="R58" i="9" s="1"/>
  <c r="Q59" i="9"/>
  <c r="R59" i="9" s="1"/>
  <c r="Q60" i="9"/>
  <c r="R60" i="9" s="1"/>
  <c r="Q61" i="9"/>
  <c r="R61" i="9" s="1"/>
  <c r="Q62" i="9"/>
  <c r="R62" i="9" s="1"/>
  <c r="Q63" i="9"/>
  <c r="R63" i="9" s="1"/>
  <c r="Q64" i="9"/>
  <c r="R64" i="9" s="1"/>
  <c r="Q65" i="9"/>
  <c r="R65" i="9" s="1"/>
  <c r="Q66" i="9"/>
  <c r="R66" i="9" s="1"/>
  <c r="Q67" i="9"/>
  <c r="R67" i="9" s="1"/>
  <c r="Q68" i="9"/>
  <c r="R68" i="9" s="1"/>
  <c r="Q72" i="9"/>
  <c r="R72" i="9" s="1"/>
  <c r="Q73" i="9"/>
  <c r="R73" i="9" s="1"/>
  <c r="Q74" i="9"/>
  <c r="R74" i="9" s="1"/>
  <c r="Q80" i="9"/>
  <c r="R80" i="9" s="1"/>
  <c r="Q90" i="9"/>
  <c r="R90" i="9" s="1"/>
  <c r="Q91" i="9"/>
  <c r="R91" i="9" s="1"/>
  <c r="Q92" i="9"/>
  <c r="R92" i="9" s="1"/>
  <c r="Q93" i="9"/>
  <c r="R93" i="9" s="1"/>
  <c r="Q94" i="9"/>
  <c r="R94" i="9" s="1"/>
  <c r="Q95" i="9"/>
  <c r="R95" i="9" s="1"/>
  <c r="Q96" i="9"/>
  <c r="R96" i="9" s="1"/>
  <c r="Q97" i="9"/>
  <c r="R97" i="9" s="1"/>
  <c r="Q98" i="9"/>
  <c r="R98" i="9" s="1"/>
  <c r="Q99" i="9"/>
  <c r="R99" i="9" s="1"/>
  <c r="Q100" i="9"/>
  <c r="R100" i="9" s="1"/>
  <c r="Q101" i="9"/>
  <c r="R101" i="9" s="1"/>
  <c r="Q103" i="9"/>
  <c r="R103" i="9" s="1"/>
  <c r="Q104" i="9"/>
  <c r="R104" i="9" s="1"/>
  <c r="Q105" i="9"/>
  <c r="R105" i="9" s="1"/>
  <c r="Q106" i="9"/>
  <c r="R106" i="9" s="1"/>
  <c r="Q107" i="9"/>
  <c r="R107" i="9" s="1"/>
  <c r="Q108" i="9"/>
  <c r="R108" i="9" s="1"/>
  <c r="Q109" i="9"/>
  <c r="R109" i="9" s="1"/>
  <c r="Q110" i="9"/>
  <c r="R110" i="9" s="1"/>
  <c r="Q111" i="9"/>
  <c r="R111" i="9" s="1"/>
  <c r="Q112" i="9"/>
  <c r="R112" i="9" s="1"/>
  <c r="Q113" i="9"/>
  <c r="R113" i="9" s="1"/>
  <c r="Q114" i="9"/>
  <c r="R114" i="9" s="1"/>
  <c r="Q115" i="9"/>
  <c r="R115" i="9" s="1"/>
  <c r="Q116" i="9"/>
  <c r="R116" i="9" s="1"/>
  <c r="Q117" i="9"/>
  <c r="R117" i="9" s="1"/>
  <c r="Q121" i="9"/>
  <c r="R121" i="9" s="1"/>
  <c r="Q122" i="9"/>
  <c r="R122" i="9" s="1"/>
  <c r="Q124" i="9"/>
  <c r="R124" i="9" s="1"/>
  <c r="Q125" i="9"/>
  <c r="R125" i="9" s="1"/>
  <c r="Q126" i="9"/>
  <c r="R126" i="9" s="1"/>
  <c r="Q127" i="9"/>
  <c r="R127" i="9" s="1"/>
  <c r="Q128" i="9"/>
  <c r="Q129" i="9"/>
  <c r="R129" i="9" s="1"/>
  <c r="Q130" i="9"/>
  <c r="R130" i="9" s="1"/>
  <c r="Q131" i="9"/>
  <c r="R131" i="9" s="1"/>
  <c r="Q132" i="9"/>
  <c r="R132" i="9" s="1"/>
  <c r="Q133" i="9"/>
  <c r="R133" i="9" s="1"/>
  <c r="Q134" i="9"/>
  <c r="R134" i="9" s="1"/>
  <c r="Q135" i="9"/>
  <c r="R135" i="9" s="1"/>
  <c r="Q136" i="9"/>
  <c r="R136" i="9" s="1"/>
  <c r="Q137" i="9"/>
  <c r="R137" i="9" s="1"/>
  <c r="Q138" i="9"/>
  <c r="R138" i="9" s="1"/>
  <c r="Q139" i="9"/>
  <c r="R139" i="9" s="1"/>
  <c r="Q140" i="9"/>
  <c r="R140" i="9" s="1"/>
  <c r="Q141" i="9"/>
  <c r="R141" i="9" s="1"/>
  <c r="Q142" i="9"/>
  <c r="R142" i="9" s="1"/>
  <c r="Q143" i="9"/>
  <c r="R143" i="9" s="1"/>
  <c r="Q144" i="9"/>
  <c r="R144" i="9" s="1"/>
  <c r="Q145" i="9"/>
  <c r="R145" i="9" s="1"/>
  <c r="Q146" i="9"/>
  <c r="R146" i="9" s="1"/>
  <c r="Q147" i="9"/>
  <c r="R147" i="9" s="1"/>
  <c r="Q148" i="9"/>
  <c r="R148" i="9" s="1"/>
  <c r="Q149" i="9"/>
  <c r="R149" i="9" s="1"/>
  <c r="Q150" i="9"/>
  <c r="R150" i="9" s="1"/>
  <c r="Q151" i="9"/>
  <c r="R151" i="9" s="1"/>
  <c r="Q152" i="9"/>
  <c r="R152" i="9" s="1"/>
  <c r="Q153" i="9"/>
  <c r="Q154" i="9"/>
  <c r="R154" i="9" s="1"/>
  <c r="Q155" i="9"/>
  <c r="R155" i="9" s="1"/>
  <c r="Q156" i="9"/>
  <c r="R156" i="9" s="1"/>
  <c r="Q157" i="9"/>
  <c r="R157" i="9" s="1"/>
  <c r="Q158" i="9"/>
  <c r="R158" i="9" s="1"/>
  <c r="Q159" i="9"/>
  <c r="R159" i="9" s="1"/>
  <c r="Q160" i="9"/>
  <c r="R160" i="9" s="1"/>
  <c r="Q161" i="9"/>
  <c r="R161" i="9" s="1"/>
  <c r="Q162" i="9"/>
  <c r="R162" i="9" s="1"/>
  <c r="Q163" i="9"/>
  <c r="R163" i="9" s="1"/>
  <c r="Q164" i="9"/>
  <c r="R164" i="9" s="1"/>
  <c r="Q165" i="9"/>
  <c r="R165" i="9" s="1"/>
  <c r="Q167" i="9"/>
  <c r="R167" i="9" s="1"/>
  <c r="Q168" i="9"/>
  <c r="R168" i="9" s="1"/>
  <c r="Q169" i="9"/>
  <c r="R169" i="9" s="1"/>
  <c r="Q170" i="9"/>
  <c r="R170" i="9" s="1"/>
  <c r="Q171" i="9"/>
  <c r="R171" i="9" s="1"/>
  <c r="Q172" i="9"/>
  <c r="R172" i="9" s="1"/>
  <c r="Q174" i="9"/>
  <c r="R174" i="9" s="1"/>
  <c r="Q176" i="9"/>
  <c r="R176" i="9" s="1"/>
  <c r="Q177" i="9"/>
  <c r="R177" i="9" s="1"/>
  <c r="Q178" i="9"/>
  <c r="R178" i="9" s="1"/>
  <c r="Q179" i="9"/>
  <c r="R179" i="9" s="1"/>
  <c r="Q180" i="9"/>
  <c r="R180" i="9" s="1"/>
  <c r="Q181" i="9"/>
  <c r="R181" i="9" s="1"/>
  <c r="Q182" i="9"/>
  <c r="R182" i="9" s="1"/>
  <c r="Q210" i="9"/>
  <c r="R210" i="9" s="1"/>
  <c r="Q211" i="9"/>
  <c r="R211" i="9" s="1"/>
  <c r="Q212" i="9"/>
  <c r="R212" i="9" s="1"/>
  <c r="Q213" i="9"/>
  <c r="R213" i="9" s="1"/>
  <c r="Q214" i="9"/>
  <c r="R214" i="9" s="1"/>
  <c r="Q215" i="9"/>
  <c r="R215" i="9" s="1"/>
  <c r="Q216" i="9"/>
  <c r="R216" i="9" s="1"/>
  <c r="Q217" i="9"/>
  <c r="R217" i="9" s="1"/>
  <c r="Q218" i="9"/>
  <c r="R218" i="9" s="1"/>
  <c r="Q219" i="9"/>
  <c r="R219" i="9" s="1"/>
  <c r="Q220" i="9"/>
  <c r="R220" i="9" s="1"/>
  <c r="Q221" i="9"/>
  <c r="R221" i="9" s="1"/>
  <c r="Q222" i="9"/>
  <c r="R222" i="9" s="1"/>
  <c r="Q223" i="9"/>
  <c r="R223" i="9" s="1"/>
  <c r="Q224" i="9"/>
  <c r="R224" i="9" s="1"/>
  <c r="Q225" i="9"/>
  <c r="R225" i="9" s="1"/>
  <c r="Q226" i="9"/>
  <c r="R226" i="9" s="1"/>
  <c r="Q227" i="9"/>
  <c r="R227" i="9" s="1"/>
  <c r="Q228" i="9"/>
  <c r="R228" i="9" s="1"/>
  <c r="Q229" i="9"/>
  <c r="R229" i="9" s="1"/>
  <c r="Q236" i="9"/>
  <c r="R236" i="9" s="1"/>
  <c r="Q237" i="9"/>
  <c r="R237" i="9" s="1"/>
  <c r="Q238" i="9"/>
  <c r="R238" i="9" s="1"/>
  <c r="Q239" i="9"/>
  <c r="R239" i="9" s="1"/>
  <c r="Q240" i="9"/>
  <c r="R240" i="9" s="1"/>
  <c r="Q241" i="9"/>
  <c r="R241" i="9" s="1"/>
  <c r="Q242" i="9"/>
  <c r="R242" i="9" s="1"/>
  <c r="Q243" i="9"/>
  <c r="R243" i="9" s="1"/>
  <c r="Q244" i="9"/>
  <c r="R244" i="9" s="1"/>
  <c r="Q245" i="9"/>
  <c r="R245" i="9" s="1"/>
  <c r="Q246" i="9"/>
  <c r="R246" i="9" s="1"/>
  <c r="Q247" i="9"/>
  <c r="R247" i="9" s="1"/>
  <c r="Q248" i="9"/>
  <c r="R248" i="9" s="1"/>
  <c r="Q249" i="9"/>
  <c r="R249" i="9" s="1"/>
  <c r="Q250" i="9"/>
  <c r="R250" i="9" s="1"/>
  <c r="Q251" i="9"/>
  <c r="R251" i="9" s="1"/>
  <c r="Q252" i="9"/>
  <c r="R252" i="9" s="1"/>
  <c r="Q253" i="9"/>
  <c r="R253" i="9" s="1"/>
  <c r="Q254" i="9"/>
  <c r="R254" i="9" s="1"/>
  <c r="Q255" i="9"/>
  <c r="R255" i="9" s="1"/>
  <c r="Q256" i="9"/>
  <c r="R256" i="9" s="1"/>
  <c r="Q257" i="9"/>
  <c r="R257" i="9" s="1"/>
  <c r="Q258" i="9"/>
  <c r="Q259" i="9"/>
  <c r="R259" i="9" s="1"/>
  <c r="Q260" i="9"/>
  <c r="R260" i="9" s="1"/>
  <c r="Q261" i="9"/>
  <c r="R261" i="9" s="1"/>
  <c r="Q262" i="9"/>
  <c r="R262" i="9" s="1"/>
  <c r="Q265" i="9"/>
  <c r="R265" i="9" s="1"/>
  <c r="Q266" i="9"/>
  <c r="R266" i="9" s="1"/>
  <c r="Q267" i="9"/>
  <c r="R267" i="9" s="1"/>
  <c r="Q268" i="9"/>
  <c r="R268" i="9" s="1"/>
  <c r="Q269" i="9"/>
  <c r="R269" i="9" s="1"/>
  <c r="Q270" i="9"/>
  <c r="Q271" i="9"/>
  <c r="R271" i="9" s="1"/>
  <c r="Q272" i="9"/>
  <c r="R272" i="9" s="1"/>
  <c r="Q273" i="9"/>
  <c r="R273" i="9" s="1"/>
  <c r="Q274" i="9"/>
  <c r="R274" i="9" s="1"/>
  <c r="Q275" i="9"/>
  <c r="R275" i="9" s="1"/>
  <c r="Q276" i="9"/>
  <c r="R276" i="9" s="1"/>
  <c r="Q277" i="9"/>
  <c r="R277" i="9" s="1"/>
  <c r="Q278" i="9"/>
  <c r="R278" i="9" s="1"/>
  <c r="Q279" i="9"/>
  <c r="R279" i="9" s="1"/>
  <c r="Q280" i="9"/>
  <c r="R280" i="9" s="1"/>
  <c r="Q281" i="9"/>
  <c r="R281" i="9" s="1"/>
  <c r="Q282" i="9"/>
  <c r="R282" i="9" s="1"/>
  <c r="Q283" i="9"/>
  <c r="R283" i="9" s="1"/>
  <c r="Q284" i="9"/>
  <c r="R284" i="9" s="1"/>
  <c r="Q285" i="9"/>
  <c r="R285" i="9" s="1"/>
  <c r="Q286" i="9"/>
  <c r="R286" i="9" s="1"/>
  <c r="Q287" i="9"/>
  <c r="R287" i="9" s="1"/>
  <c r="Q288" i="9"/>
  <c r="R288" i="9" s="1"/>
  <c r="Q289" i="9"/>
  <c r="R289" i="9" s="1"/>
  <c r="Q290" i="9"/>
  <c r="R290" i="9" s="1"/>
  <c r="Q291" i="9"/>
  <c r="R291" i="9" s="1"/>
  <c r="Q292" i="9"/>
  <c r="R292" i="9" s="1"/>
  <c r="Q293" i="9"/>
  <c r="R293" i="9" s="1"/>
  <c r="Q294" i="9"/>
  <c r="R294" i="9" s="1"/>
  <c r="Q295" i="9"/>
  <c r="R295" i="9" s="1"/>
  <c r="Q296" i="9"/>
  <c r="R296" i="9" s="1"/>
  <c r="Q297" i="9"/>
  <c r="R297" i="9" s="1"/>
  <c r="Q298" i="9"/>
  <c r="R298" i="9" s="1"/>
  <c r="Q299" i="9"/>
  <c r="R299" i="9" s="1"/>
  <c r="Q300" i="9"/>
  <c r="R300" i="9" s="1"/>
  <c r="Q301" i="9"/>
  <c r="R301" i="9" s="1"/>
  <c r="Q302" i="9"/>
  <c r="R302" i="9" s="1"/>
  <c r="Q303" i="9"/>
  <c r="R303" i="9" s="1"/>
  <c r="Q304" i="9"/>
  <c r="R304" i="9" s="1"/>
  <c r="Q305" i="9"/>
  <c r="R305" i="9" s="1"/>
  <c r="Q306" i="9"/>
  <c r="R306" i="9" s="1"/>
  <c r="Q307" i="9"/>
  <c r="R307" i="9" s="1"/>
  <c r="Q329" i="9"/>
  <c r="R329" i="9" s="1"/>
  <c r="Q330" i="9"/>
  <c r="R330" i="9" s="1"/>
  <c r="Q331" i="9"/>
  <c r="R331" i="9" s="1"/>
  <c r="Q332" i="9"/>
  <c r="R332" i="9" s="1"/>
  <c r="Q333" i="9"/>
  <c r="R333" i="9" s="1"/>
  <c r="Q334" i="9"/>
  <c r="R334" i="9" s="1"/>
  <c r="Q335" i="9"/>
  <c r="R335" i="9" s="1"/>
  <c r="J670" i="1"/>
  <c r="M670" i="1"/>
  <c r="Q191" i="1"/>
  <c r="R191" i="1" s="1"/>
  <c r="K670" i="1"/>
  <c r="N670" i="1"/>
  <c r="L670" i="1"/>
  <c r="O22" i="1"/>
  <c r="O102" i="1"/>
  <c r="O401" i="1"/>
  <c r="O649" i="1"/>
  <c r="O641" i="1"/>
  <c r="O633" i="1"/>
  <c r="O625" i="1"/>
  <c r="O617" i="1"/>
  <c r="O605" i="1"/>
  <c r="O594" i="1"/>
  <c r="O562" i="1"/>
  <c r="O546" i="1"/>
  <c r="O530" i="1"/>
  <c r="O514" i="1"/>
  <c r="O498" i="1"/>
  <c r="O482" i="1"/>
  <c r="O466" i="1"/>
  <c r="O450" i="1"/>
  <c r="O442" i="1"/>
  <c r="O426" i="1"/>
  <c r="O410" i="1"/>
  <c r="O402" i="1"/>
  <c r="O394" i="1"/>
  <c r="O386" i="1"/>
  <c r="O378" i="1"/>
  <c r="O370" i="1"/>
  <c r="O362" i="1"/>
  <c r="O294" i="1"/>
  <c r="O230" i="1"/>
  <c r="O166" i="1"/>
  <c r="O38" i="1"/>
  <c r="O668" i="1"/>
  <c r="O648" i="1"/>
  <c r="O644" i="1"/>
  <c r="O640" i="1"/>
  <c r="O636" i="1"/>
  <c r="O632" i="1"/>
  <c r="O628" i="1"/>
  <c r="O620" i="1"/>
  <c r="O616" i="1"/>
  <c r="O612" i="1"/>
  <c r="O608" i="1"/>
  <c r="O604" i="1"/>
  <c r="O600" i="1"/>
  <c r="O593" i="1"/>
  <c r="O585" i="1"/>
  <c r="O561" i="1"/>
  <c r="O553" i="1"/>
  <c r="O545" i="1"/>
  <c r="O537" i="1"/>
  <c r="O529" i="1"/>
  <c r="O521" i="1"/>
  <c r="O513" i="1"/>
  <c r="O505" i="1"/>
  <c r="O497" i="1"/>
  <c r="O489" i="1"/>
  <c r="O481" i="1"/>
  <c r="O465" i="1"/>
  <c r="O457" i="1"/>
  <c r="O449" i="1"/>
  <c r="O441" i="1"/>
  <c r="O425" i="1"/>
  <c r="O409" i="1"/>
  <c r="O393" i="1"/>
  <c r="O385" i="1"/>
  <c r="O377" i="1"/>
  <c r="O369" i="1"/>
  <c r="O361" i="1"/>
  <c r="O353" i="1"/>
  <c r="O290" i="1"/>
  <c r="O258" i="1"/>
  <c r="O226" i="1"/>
  <c r="O162" i="1"/>
  <c r="O130" i="1"/>
  <c r="O98" i="1"/>
  <c r="O66" i="1"/>
  <c r="O34" i="1"/>
  <c r="O667" i="1"/>
  <c r="O647" i="1"/>
  <c r="O643" i="1"/>
  <c r="O639" i="1"/>
  <c r="O635" i="1"/>
  <c r="O631" i="1"/>
  <c r="O627" i="1"/>
  <c r="O619" i="1"/>
  <c r="O615" i="1"/>
  <c r="O611" i="1"/>
  <c r="O607" i="1"/>
  <c r="O603" i="1"/>
  <c r="O598" i="1"/>
  <c r="O590" i="1"/>
  <c r="O582" i="1"/>
  <c r="O566" i="1"/>
  <c r="O550" i="1"/>
  <c r="O542" i="1"/>
  <c r="O534" i="1"/>
  <c r="O526" i="1"/>
  <c r="O518" i="1"/>
  <c r="O510" i="1"/>
  <c r="O494" i="1"/>
  <c r="O486" i="1"/>
  <c r="O470" i="1"/>
  <c r="O462" i="1"/>
  <c r="O454" i="1"/>
  <c r="O446" i="1"/>
  <c r="O438" i="1"/>
  <c r="O430" i="1"/>
  <c r="O422" i="1"/>
  <c r="O414" i="1"/>
  <c r="O406" i="1"/>
  <c r="O398" i="1"/>
  <c r="O390" i="1"/>
  <c r="O382" i="1"/>
  <c r="O374" i="1"/>
  <c r="O358" i="1"/>
  <c r="O341" i="1"/>
  <c r="O278" i="1"/>
  <c r="O246" i="1"/>
  <c r="O214" i="1"/>
  <c r="O182" i="1"/>
  <c r="O150" i="1"/>
  <c r="O118" i="1"/>
  <c r="O54" i="1"/>
  <c r="O645" i="1"/>
  <c r="O637" i="1"/>
  <c r="O629" i="1"/>
  <c r="O621" i="1"/>
  <c r="O613" i="1"/>
  <c r="O609" i="1"/>
  <c r="O601" i="1"/>
  <c r="O586" i="1"/>
  <c r="O538" i="1"/>
  <c r="O522" i="1"/>
  <c r="O506" i="1"/>
  <c r="O490" i="1"/>
  <c r="O458" i="1"/>
  <c r="O354" i="1"/>
  <c r="O262" i="1"/>
  <c r="O134" i="1"/>
  <c r="O4" i="1"/>
  <c r="Q4" i="1" s="1"/>
  <c r="R4" i="1" s="1"/>
  <c r="O8" i="1"/>
  <c r="O16" i="1"/>
  <c r="O20" i="1"/>
  <c r="O24" i="1"/>
  <c r="O28" i="1"/>
  <c r="O32" i="1"/>
  <c r="O36" i="1"/>
  <c r="O40" i="1"/>
  <c r="O44" i="1"/>
  <c r="O48" i="1"/>
  <c r="O52" i="1"/>
  <c r="O56" i="1"/>
  <c r="O60" i="1"/>
  <c r="O64" i="1"/>
  <c r="O68" i="1"/>
  <c r="O92" i="1"/>
  <c r="O96" i="1"/>
  <c r="O100" i="1"/>
  <c r="O104" i="1"/>
  <c r="O108" i="1"/>
  <c r="O112" i="1"/>
  <c r="O116" i="1"/>
  <c r="O128" i="1"/>
  <c r="O132" i="1"/>
  <c r="O136" i="1"/>
  <c r="O140" i="1"/>
  <c r="O144" i="1"/>
  <c r="O148" i="1"/>
  <c r="O152" i="1"/>
  <c r="O156" i="1"/>
  <c r="O160" i="1"/>
  <c r="O164" i="1"/>
  <c r="O168" i="1"/>
  <c r="O172" i="1"/>
  <c r="O180" i="1"/>
  <c r="O212" i="1"/>
  <c r="O216" i="1"/>
  <c r="O220" i="1"/>
  <c r="O224" i="1"/>
  <c r="O228" i="1"/>
  <c r="O240" i="1"/>
  <c r="O244" i="1"/>
  <c r="O248" i="1"/>
  <c r="O252" i="1"/>
  <c r="O256" i="1"/>
  <c r="O260" i="1"/>
  <c r="O268" i="1"/>
  <c r="O272" i="1"/>
  <c r="O276" i="1"/>
  <c r="O280" i="1"/>
  <c r="O284" i="1"/>
  <c r="O288" i="1"/>
  <c r="O292" i="1"/>
  <c r="O296" i="1"/>
  <c r="O300" i="1"/>
  <c r="O304" i="1"/>
  <c r="O308" i="1"/>
  <c r="O332" i="1"/>
  <c r="O336" i="1"/>
  <c r="O340" i="1"/>
  <c r="O5" i="1"/>
  <c r="O9" i="1"/>
  <c r="O17" i="1"/>
  <c r="O21" i="1"/>
  <c r="O25" i="1"/>
  <c r="O29" i="1"/>
  <c r="O33" i="1"/>
  <c r="O37" i="1"/>
  <c r="O41" i="1"/>
  <c r="O45" i="1"/>
  <c r="O49" i="1"/>
  <c r="O53" i="1"/>
  <c r="O57" i="1"/>
  <c r="O61" i="1"/>
  <c r="O65" i="1"/>
  <c r="O69" i="1"/>
  <c r="O73" i="1"/>
  <c r="O81" i="1"/>
  <c r="O93" i="1"/>
  <c r="O97" i="1"/>
  <c r="O101" i="1"/>
  <c r="O105" i="1"/>
  <c r="O109" i="1"/>
  <c r="O113" i="1"/>
  <c r="O117" i="1"/>
  <c r="O125" i="1"/>
  <c r="O129" i="1"/>
  <c r="O133" i="1"/>
  <c r="O137" i="1"/>
  <c r="O141" i="1"/>
  <c r="O145" i="1"/>
  <c r="O149" i="1"/>
  <c r="O153" i="1"/>
  <c r="O157" i="1"/>
  <c r="O161" i="1"/>
  <c r="O165" i="1"/>
  <c r="O169" i="1"/>
  <c r="O173" i="1"/>
  <c r="O177" i="1"/>
  <c r="O181" i="1"/>
  <c r="O213" i="1"/>
  <c r="O217" i="1"/>
  <c r="O221" i="1"/>
  <c r="O225" i="1"/>
  <c r="O229" i="1"/>
  <c r="O237" i="1"/>
  <c r="O241" i="1"/>
  <c r="O245" i="1"/>
  <c r="O249" i="1"/>
  <c r="O253" i="1"/>
  <c r="O257" i="1"/>
  <c r="O261" i="1"/>
  <c r="O269" i="1"/>
  <c r="O273" i="1"/>
  <c r="O277" i="1"/>
  <c r="O281" i="1"/>
  <c r="O285" i="1"/>
  <c r="O289" i="1"/>
  <c r="O293" i="1"/>
  <c r="O297" i="1"/>
  <c r="O301" i="1"/>
  <c r="O305" i="1"/>
  <c r="O333" i="1"/>
  <c r="O337" i="1"/>
  <c r="O6" i="1"/>
  <c r="O7" i="1"/>
  <c r="O15" i="1"/>
  <c r="O19" i="1"/>
  <c r="O23" i="1"/>
  <c r="O27" i="1"/>
  <c r="O31" i="1"/>
  <c r="O35" i="1"/>
  <c r="O39" i="1"/>
  <c r="O43" i="1"/>
  <c r="O47" i="1"/>
  <c r="O51" i="1"/>
  <c r="O55" i="1"/>
  <c r="O59" i="1"/>
  <c r="O63" i="1"/>
  <c r="O67" i="1"/>
  <c r="O75" i="1"/>
  <c r="O91" i="1"/>
  <c r="O95" i="1"/>
  <c r="O99" i="1"/>
  <c r="O107" i="1"/>
  <c r="O111" i="1"/>
  <c r="O115" i="1"/>
  <c r="O123" i="1"/>
  <c r="O127" i="1"/>
  <c r="O131" i="1"/>
  <c r="O135" i="1"/>
  <c r="O139" i="1"/>
  <c r="O143" i="1"/>
  <c r="O147" i="1"/>
  <c r="O151" i="1"/>
  <c r="O155" i="1"/>
  <c r="O159" i="1"/>
  <c r="O163" i="1"/>
  <c r="O171" i="1"/>
  <c r="O175" i="1"/>
  <c r="O179" i="1"/>
  <c r="O183" i="1"/>
  <c r="O211" i="1"/>
  <c r="O215" i="1"/>
  <c r="O219" i="1"/>
  <c r="O223" i="1"/>
  <c r="O227" i="1"/>
  <c r="O239" i="1"/>
  <c r="O243" i="1"/>
  <c r="O247" i="1"/>
  <c r="O251" i="1"/>
  <c r="O255" i="1"/>
  <c r="O259" i="1"/>
  <c r="O263" i="1"/>
  <c r="O267" i="1"/>
  <c r="O271" i="1"/>
  <c r="O275" i="1"/>
  <c r="O279" i="1"/>
  <c r="O283" i="1"/>
  <c r="O287" i="1"/>
  <c r="O291" i="1"/>
  <c r="O295" i="1"/>
  <c r="O299" i="1"/>
  <c r="O303" i="1"/>
  <c r="O307" i="1"/>
  <c r="O331" i="1"/>
  <c r="O335" i="1"/>
  <c r="O339" i="1"/>
  <c r="O343" i="1"/>
  <c r="O10" i="1"/>
  <c r="O26" i="1"/>
  <c r="O42" i="1"/>
  <c r="O58" i="1"/>
  <c r="O74" i="1"/>
  <c r="O106" i="1"/>
  <c r="O122" i="1"/>
  <c r="O138" i="1"/>
  <c r="O154" i="1"/>
  <c r="O170" i="1"/>
  <c r="O218" i="1"/>
  <c r="O250" i="1"/>
  <c r="O266" i="1"/>
  <c r="O282" i="1"/>
  <c r="O298" i="1"/>
  <c r="O330" i="1"/>
  <c r="O342" i="1"/>
  <c r="O355" i="1"/>
  <c r="O359" i="1"/>
  <c r="O363" i="1"/>
  <c r="O371" i="1"/>
  <c r="O375" i="1"/>
  <c r="O379" i="1"/>
  <c r="O383" i="1"/>
  <c r="O387" i="1"/>
  <c r="O391" i="1"/>
  <c r="O395" i="1"/>
  <c r="O399" i="1"/>
  <c r="O403" i="1"/>
  <c r="O407" i="1"/>
  <c r="O411" i="1"/>
  <c r="O423" i="1"/>
  <c r="O427" i="1"/>
  <c r="O439" i="1"/>
  <c r="O443" i="1"/>
  <c r="O447" i="1"/>
  <c r="O451" i="1"/>
  <c r="O455" i="1"/>
  <c r="O459" i="1"/>
  <c r="O463" i="1"/>
  <c r="O467" i="1"/>
  <c r="O471" i="1"/>
  <c r="O479" i="1"/>
  <c r="O483" i="1"/>
  <c r="O487" i="1"/>
  <c r="O491" i="1"/>
  <c r="O499" i="1"/>
  <c r="O507" i="1"/>
  <c r="O511" i="1"/>
  <c r="O515" i="1"/>
  <c r="O519" i="1"/>
  <c r="O523" i="1"/>
  <c r="O527" i="1"/>
  <c r="O531" i="1"/>
  <c r="O535" i="1"/>
  <c r="O539" i="1"/>
  <c r="O543" i="1"/>
  <c r="O547" i="1"/>
  <c r="O551" i="1"/>
  <c r="O559" i="1"/>
  <c r="O563" i="1"/>
  <c r="O567" i="1"/>
  <c r="O583" i="1"/>
  <c r="O587" i="1"/>
  <c r="O591" i="1"/>
  <c r="O595" i="1"/>
  <c r="O599" i="1"/>
  <c r="O14" i="1"/>
  <c r="O30" i="1"/>
  <c r="O46" i="1"/>
  <c r="O62" i="1"/>
  <c r="O94" i="1"/>
  <c r="O110" i="1"/>
  <c r="O126" i="1"/>
  <c r="O142" i="1"/>
  <c r="O158" i="1"/>
  <c r="O222" i="1"/>
  <c r="O238" i="1"/>
  <c r="O254" i="1"/>
  <c r="O270" i="1"/>
  <c r="O286" i="1"/>
  <c r="O302" i="1"/>
  <c r="O334" i="1"/>
  <c r="O344" i="1"/>
  <c r="O352" i="1"/>
  <c r="O356" i="1"/>
  <c r="O360" i="1"/>
  <c r="O364" i="1"/>
  <c r="O372" i="1"/>
  <c r="O376" i="1"/>
  <c r="O380" i="1"/>
  <c r="O384" i="1"/>
  <c r="O388" i="1"/>
  <c r="O392" i="1"/>
  <c r="O396" i="1"/>
  <c r="O400" i="1"/>
  <c r="O404" i="1"/>
  <c r="O408" i="1"/>
  <c r="O412" i="1"/>
  <c r="O424" i="1"/>
  <c r="O428" i="1"/>
  <c r="O440" i="1"/>
  <c r="O444" i="1"/>
  <c r="O448" i="1"/>
  <c r="O452" i="1"/>
  <c r="O456" i="1"/>
  <c r="O460" i="1"/>
  <c r="O464" i="1"/>
  <c r="O468" i="1"/>
  <c r="O480" i="1"/>
  <c r="O484" i="1"/>
  <c r="O488" i="1"/>
  <c r="O492" i="1"/>
  <c r="O496" i="1"/>
  <c r="O500" i="1"/>
  <c r="O508" i="1"/>
  <c r="O512" i="1"/>
  <c r="O516" i="1"/>
  <c r="O520" i="1"/>
  <c r="O524" i="1"/>
  <c r="O528" i="1"/>
  <c r="O532" i="1"/>
  <c r="O536" i="1"/>
  <c r="O540" i="1"/>
  <c r="O544" i="1"/>
  <c r="O548" i="1"/>
  <c r="O552" i="1"/>
  <c r="O560" i="1"/>
  <c r="O564" i="1"/>
  <c r="O584" i="1"/>
  <c r="O588" i="1"/>
  <c r="O592" i="1"/>
  <c r="O596" i="1"/>
  <c r="O3" i="1"/>
  <c r="O650" i="1"/>
  <c r="O646" i="1"/>
  <c r="O642" i="1"/>
  <c r="O638" i="1"/>
  <c r="O634" i="1"/>
  <c r="O630" i="1"/>
  <c r="O626" i="1"/>
  <c r="O622" i="1"/>
  <c r="O618" i="1"/>
  <c r="O614" i="1"/>
  <c r="O610" i="1"/>
  <c r="O606" i="1"/>
  <c r="O602" i="1"/>
  <c r="O597" i="1"/>
  <c r="O589" i="1"/>
  <c r="O565" i="1"/>
  <c r="O549" i="1"/>
  <c r="O541" i="1"/>
  <c r="O533" i="1"/>
  <c r="O525" i="1"/>
  <c r="O517" i="1"/>
  <c r="O509" i="1"/>
  <c r="O501" i="1"/>
  <c r="O493" i="1"/>
  <c r="O485" i="1"/>
  <c r="O469" i="1"/>
  <c r="O461" i="1"/>
  <c r="O453" i="1"/>
  <c r="O445" i="1"/>
  <c r="O437" i="1"/>
  <c r="O429" i="1"/>
  <c r="O421" i="1"/>
  <c r="O413" i="1"/>
  <c r="O405" i="1"/>
  <c r="O397" i="1"/>
  <c r="O389" i="1"/>
  <c r="O381" i="1"/>
  <c r="O373" i="1"/>
  <c r="O365" i="1"/>
  <c r="O357" i="1"/>
  <c r="O338" i="1"/>
  <c r="O306" i="1"/>
  <c r="O274" i="1"/>
  <c r="O242" i="1"/>
  <c r="O178" i="1"/>
  <c r="O146" i="1"/>
  <c r="O114" i="1"/>
  <c r="O50" i="1"/>
  <c r="O18" i="1"/>
  <c r="Q365" i="1" l="1"/>
  <c r="R365" i="1" s="1"/>
  <c r="Q461" i="1"/>
  <c r="R461" i="1" s="1"/>
  <c r="Q610" i="1"/>
  <c r="R610" i="1" s="1"/>
  <c r="Q564" i="1"/>
  <c r="R564" i="1" s="1"/>
  <c r="Q468" i="1"/>
  <c r="R468" i="1" s="1"/>
  <c r="Q388" i="1"/>
  <c r="R388" i="1" s="1"/>
  <c r="Q222" i="1"/>
  <c r="R222" i="1" s="1"/>
  <c r="Q567" i="1"/>
  <c r="R567" i="1" s="1"/>
  <c r="Q471" i="1"/>
  <c r="R471" i="1" s="1"/>
  <c r="Q391" i="1"/>
  <c r="R391" i="1" s="1"/>
  <c r="Q170" i="1"/>
  <c r="R170" i="1" s="1"/>
  <c r="Q335" i="1"/>
  <c r="R335" i="1" s="1"/>
  <c r="Q251" i="1"/>
  <c r="R251" i="1" s="1"/>
  <c r="Q155" i="1"/>
  <c r="R155" i="1" s="1"/>
  <c r="Q67" i="1"/>
  <c r="R67" i="1" s="1"/>
  <c r="Q337" i="1"/>
  <c r="R337" i="1" s="1"/>
  <c r="Q245" i="1"/>
  <c r="R245" i="1" s="1"/>
  <c r="Q149" i="1"/>
  <c r="R149" i="1" s="1"/>
  <c r="Q69" i="1"/>
  <c r="R69" i="1" s="1"/>
  <c r="Q340" i="1"/>
  <c r="R340" i="1" s="1"/>
  <c r="Q252" i="1"/>
  <c r="R252" i="1" s="1"/>
  <c r="Q156" i="1"/>
  <c r="R156" i="1" s="1"/>
  <c r="Q140" i="1"/>
  <c r="R140" i="1" s="1"/>
  <c r="Q116" i="1"/>
  <c r="R116" i="1" s="1"/>
  <c r="Q64" i="1"/>
  <c r="R64" i="1" s="1"/>
  <c r="Q16" i="1"/>
  <c r="R16" i="1" s="1"/>
  <c r="Q262" i="1"/>
  <c r="R262" i="1" s="1"/>
  <c r="Q506" i="1"/>
  <c r="R506" i="1" s="1"/>
  <c r="Q601" i="1"/>
  <c r="R601" i="1" s="1"/>
  <c r="Q629" i="1"/>
  <c r="R629" i="1" s="1"/>
  <c r="Q118" i="1"/>
  <c r="R118" i="1" s="1"/>
  <c r="Q246" i="1"/>
  <c r="R246" i="1" s="1"/>
  <c r="Q374" i="1"/>
  <c r="R374" i="1" s="1"/>
  <c r="Q406" i="1"/>
  <c r="R406" i="1" s="1"/>
  <c r="Q438" i="1"/>
  <c r="R438" i="1" s="1"/>
  <c r="Q470" i="1"/>
  <c r="R470" i="1" s="1"/>
  <c r="Q518" i="1"/>
  <c r="R518" i="1" s="1"/>
  <c r="Q550" i="1"/>
  <c r="R550" i="1" s="1"/>
  <c r="Q598" i="1"/>
  <c r="R598" i="1" s="1"/>
  <c r="Q615" i="1"/>
  <c r="R615" i="1" s="1"/>
  <c r="Q635" i="1"/>
  <c r="R635" i="1" s="1"/>
  <c r="Q667" i="1"/>
  <c r="R667" i="1" s="1"/>
  <c r="Q130" i="1"/>
  <c r="R130" i="1" s="1"/>
  <c r="Q290" i="1"/>
  <c r="R290" i="1" s="1"/>
  <c r="Q377" i="1"/>
  <c r="R377" i="1" s="1"/>
  <c r="Q425" i="1"/>
  <c r="R425" i="1" s="1"/>
  <c r="Q465" i="1"/>
  <c r="R465" i="1" s="1"/>
  <c r="Q505" i="1"/>
  <c r="R505" i="1" s="1"/>
  <c r="Q537" i="1"/>
  <c r="R537" i="1" s="1"/>
  <c r="Q585" i="1"/>
  <c r="R585" i="1" s="1"/>
  <c r="Q608" i="1"/>
  <c r="R608" i="1" s="1"/>
  <c r="Q628" i="1"/>
  <c r="R628" i="1" s="1"/>
  <c r="Q644" i="1"/>
  <c r="R644" i="1" s="1"/>
  <c r="Q166" i="1"/>
  <c r="R166" i="1" s="1"/>
  <c r="Q370" i="1"/>
  <c r="R370" i="1" s="1"/>
  <c r="Q402" i="1"/>
  <c r="R402" i="1" s="1"/>
  <c r="Q450" i="1"/>
  <c r="R450" i="1" s="1"/>
  <c r="Q514" i="1"/>
  <c r="R514" i="1" s="1"/>
  <c r="Q594" i="1"/>
  <c r="R594" i="1" s="1"/>
  <c r="Q633" i="1"/>
  <c r="R633" i="1" s="1"/>
  <c r="Q102" i="1"/>
  <c r="R102" i="1" s="1"/>
  <c r="Q114" i="1"/>
  <c r="R114" i="1" s="1"/>
  <c r="Q429" i="1"/>
  <c r="R429" i="1" s="1"/>
  <c r="Q589" i="1"/>
  <c r="R589" i="1" s="1"/>
  <c r="Q596" i="1"/>
  <c r="R596" i="1" s="1"/>
  <c r="Q512" i="1"/>
  <c r="R512" i="1" s="1"/>
  <c r="Q428" i="1"/>
  <c r="R428" i="1" s="1"/>
  <c r="Q352" i="1"/>
  <c r="R352" i="1" s="1"/>
  <c r="Q46" i="1"/>
  <c r="R46" i="1" s="1"/>
  <c r="Q531" i="1"/>
  <c r="R531" i="1" s="1"/>
  <c r="Q455" i="1"/>
  <c r="R455" i="1" s="1"/>
  <c r="Q375" i="1"/>
  <c r="R375" i="1" s="1"/>
  <c r="Q106" i="1"/>
  <c r="R106" i="1" s="1"/>
  <c r="Q283" i="1"/>
  <c r="R283" i="1" s="1"/>
  <c r="Q211" i="1"/>
  <c r="R211" i="1" s="1"/>
  <c r="Q123" i="1"/>
  <c r="R123" i="1" s="1"/>
  <c r="Q51" i="1"/>
  <c r="R51" i="1" s="1"/>
  <c r="Q297" i="1"/>
  <c r="R297" i="1" s="1"/>
  <c r="Q225" i="1"/>
  <c r="R225" i="1" s="1"/>
  <c r="Q113" i="1"/>
  <c r="R113" i="1" s="1"/>
  <c r="Q53" i="1"/>
  <c r="R53" i="1" s="1"/>
  <c r="Q288" i="1"/>
  <c r="R288" i="1" s="1"/>
  <c r="Q228" i="1"/>
  <c r="R228" i="1" s="1"/>
  <c r="Q212" i="1"/>
  <c r="R212" i="1" s="1"/>
  <c r="Q48" i="1"/>
  <c r="R48" i="1" s="1"/>
  <c r="Q306" i="1"/>
  <c r="R306" i="1" s="1"/>
  <c r="Q405" i="1"/>
  <c r="R405" i="1" s="1"/>
  <c r="Q437" i="1"/>
  <c r="R437" i="1" s="1"/>
  <c r="Q469" i="1"/>
  <c r="R469" i="1" s="1"/>
  <c r="Q509" i="1"/>
  <c r="R509" i="1" s="1"/>
  <c r="Q541" i="1"/>
  <c r="R541" i="1" s="1"/>
  <c r="Q597" i="1"/>
  <c r="R597" i="1" s="1"/>
  <c r="Q614" i="1"/>
  <c r="R614" i="1" s="1"/>
  <c r="Q630" i="1"/>
  <c r="R630" i="1" s="1"/>
  <c r="Q646" i="1"/>
  <c r="R646" i="1" s="1"/>
  <c r="Q592" i="1"/>
  <c r="R592" i="1" s="1"/>
  <c r="Q560" i="1"/>
  <c r="R560" i="1" s="1"/>
  <c r="Q540" i="1"/>
  <c r="R540" i="1" s="1"/>
  <c r="Q524" i="1"/>
  <c r="R524" i="1" s="1"/>
  <c r="Q508" i="1"/>
  <c r="R508" i="1" s="1"/>
  <c r="Q488" i="1"/>
  <c r="R488" i="1" s="1"/>
  <c r="Q464" i="1"/>
  <c r="R464" i="1" s="1"/>
  <c r="Q448" i="1"/>
  <c r="R448" i="1" s="1"/>
  <c r="Q424" i="1"/>
  <c r="R424" i="1" s="1"/>
  <c r="Q400" i="1"/>
  <c r="R400" i="1" s="1"/>
  <c r="Q384" i="1"/>
  <c r="R384" i="1" s="1"/>
  <c r="Q364" i="1"/>
  <c r="R364" i="1" s="1"/>
  <c r="Q344" i="1"/>
  <c r="R344" i="1" s="1"/>
  <c r="Q270" i="1"/>
  <c r="R270" i="1" s="1"/>
  <c r="Q174" i="1"/>
  <c r="R174" i="1" s="1"/>
  <c r="Q110" i="1"/>
  <c r="R110" i="1" s="1"/>
  <c r="Q30" i="1"/>
  <c r="R30" i="1" s="1"/>
  <c r="Q591" i="1"/>
  <c r="R591" i="1" s="1"/>
  <c r="Q563" i="1"/>
  <c r="R563" i="1" s="1"/>
  <c r="Q543" i="1"/>
  <c r="R543" i="1" s="1"/>
  <c r="Q527" i="1"/>
  <c r="R527" i="1" s="1"/>
  <c r="Q511" i="1"/>
  <c r="R511" i="1" s="1"/>
  <c r="Q487" i="1"/>
  <c r="R487" i="1" s="1"/>
  <c r="Q467" i="1"/>
  <c r="R467" i="1" s="1"/>
  <c r="Q451" i="1"/>
  <c r="R451" i="1" s="1"/>
  <c r="Q427" i="1"/>
  <c r="R427" i="1" s="1"/>
  <c r="Q403" i="1"/>
  <c r="R403" i="1" s="1"/>
  <c r="Q387" i="1"/>
  <c r="R387" i="1" s="1"/>
  <c r="Q371" i="1"/>
  <c r="R371" i="1" s="1"/>
  <c r="Q342" i="1"/>
  <c r="Q266" i="1"/>
  <c r="R266" i="1" s="1"/>
  <c r="Q154" i="1"/>
  <c r="Q74" i="1"/>
  <c r="R74" i="1" s="1"/>
  <c r="Q10" i="1"/>
  <c r="R10" i="1" s="1"/>
  <c r="Q331" i="1"/>
  <c r="R331" i="1" s="1"/>
  <c r="Q295" i="1"/>
  <c r="R295" i="1" s="1"/>
  <c r="Q279" i="1"/>
  <c r="R279" i="1" s="1"/>
  <c r="Q263" i="1"/>
  <c r="R263" i="1" s="1"/>
  <c r="Q247" i="1"/>
  <c r="R247" i="1" s="1"/>
  <c r="Q223" i="1"/>
  <c r="R223" i="1" s="1"/>
  <c r="Q183" i="1"/>
  <c r="R183" i="1" s="1"/>
  <c r="Q167" i="1"/>
  <c r="R167" i="1" s="1"/>
  <c r="Q151" i="1"/>
  <c r="R151" i="1" s="1"/>
  <c r="Q135" i="1"/>
  <c r="R135" i="1" s="1"/>
  <c r="Q115" i="1"/>
  <c r="R115" i="1" s="1"/>
  <c r="Q95" i="1"/>
  <c r="R95" i="1" s="1"/>
  <c r="Q63" i="1"/>
  <c r="R63" i="1" s="1"/>
  <c r="Q47" i="1"/>
  <c r="R47" i="1" s="1"/>
  <c r="Q31" i="1"/>
  <c r="R31" i="1" s="1"/>
  <c r="Q15" i="1"/>
  <c r="R15" i="1" s="1"/>
  <c r="Q333" i="1"/>
  <c r="R333" i="1" s="1"/>
  <c r="Q293" i="1"/>
  <c r="R293" i="1" s="1"/>
  <c r="Q277" i="1"/>
  <c r="R277" i="1" s="1"/>
  <c r="Q257" i="1"/>
  <c r="R257" i="1" s="1"/>
  <c r="Q241" i="1"/>
  <c r="R241" i="1" s="1"/>
  <c r="Q221" i="1"/>
  <c r="R221" i="1" s="1"/>
  <c r="Q177" i="1"/>
  <c r="R177" i="1" s="1"/>
  <c r="Q161" i="1"/>
  <c r="R161" i="1" s="1"/>
  <c r="Q145" i="1"/>
  <c r="R145" i="1" s="1"/>
  <c r="Q129" i="1"/>
  <c r="Q109" i="1"/>
  <c r="R109" i="1" s="1"/>
  <c r="Q93" i="1"/>
  <c r="R93" i="1" s="1"/>
  <c r="Q65" i="1"/>
  <c r="R65" i="1" s="1"/>
  <c r="Q49" i="1"/>
  <c r="R49" i="1" s="1"/>
  <c r="Q33" i="1"/>
  <c r="R33" i="1" s="1"/>
  <c r="Q17" i="1"/>
  <c r="R17" i="1" s="1"/>
  <c r="Q336" i="1"/>
  <c r="R336" i="1" s="1"/>
  <c r="Q300" i="1"/>
  <c r="R300" i="1" s="1"/>
  <c r="Q284" i="1"/>
  <c r="R284" i="1" s="1"/>
  <c r="Q268" i="1"/>
  <c r="R268" i="1" s="1"/>
  <c r="Q248" i="1"/>
  <c r="R248" i="1" s="1"/>
  <c r="Q224" i="1"/>
  <c r="R224" i="1" s="1"/>
  <c r="Q184" i="1"/>
  <c r="R184" i="1" s="1"/>
  <c r="Q168" i="1"/>
  <c r="R168" i="1" s="1"/>
  <c r="Q152" i="1"/>
  <c r="R152" i="1" s="1"/>
  <c r="Q136" i="1"/>
  <c r="R136" i="1" s="1"/>
  <c r="Q112" i="1"/>
  <c r="R112" i="1" s="1"/>
  <c r="Q96" i="1"/>
  <c r="R96" i="1" s="1"/>
  <c r="Q60" i="1"/>
  <c r="R60" i="1" s="1"/>
  <c r="Q44" i="1"/>
  <c r="R44" i="1" s="1"/>
  <c r="Q28" i="1"/>
  <c r="R28" i="1" s="1"/>
  <c r="Q8" i="1"/>
  <c r="R8" i="1" s="1"/>
  <c r="Q354" i="1"/>
  <c r="R354" i="1" s="1"/>
  <c r="Q522" i="1"/>
  <c r="R522" i="1" s="1"/>
  <c r="Q609" i="1"/>
  <c r="R609" i="1" s="1"/>
  <c r="Q637" i="1"/>
  <c r="R637" i="1" s="1"/>
  <c r="Q150" i="1"/>
  <c r="R150" i="1" s="1"/>
  <c r="Q278" i="1"/>
  <c r="R278" i="1" s="1"/>
  <c r="Q382" i="1"/>
  <c r="R382" i="1" s="1"/>
  <c r="Q414" i="1"/>
  <c r="R414" i="1" s="1"/>
  <c r="Q446" i="1"/>
  <c r="R446" i="1" s="1"/>
  <c r="Q486" i="1"/>
  <c r="R486" i="1" s="1"/>
  <c r="Q526" i="1"/>
  <c r="R526" i="1" s="1"/>
  <c r="Q566" i="1"/>
  <c r="R566" i="1" s="1"/>
  <c r="Q603" i="1"/>
  <c r="R603" i="1" s="1"/>
  <c r="Q619" i="1"/>
  <c r="R619" i="1" s="1"/>
  <c r="Q639" i="1"/>
  <c r="R639" i="1" s="1"/>
  <c r="Q34" i="1"/>
  <c r="R34" i="1" s="1"/>
  <c r="Q162" i="1"/>
  <c r="R162" i="1" s="1"/>
  <c r="Q353" i="1"/>
  <c r="R353" i="1" s="1"/>
  <c r="Q385" i="1"/>
  <c r="R385" i="1" s="1"/>
  <c r="Q441" i="1"/>
  <c r="R441" i="1" s="1"/>
  <c r="Q481" i="1"/>
  <c r="R481" i="1" s="1"/>
  <c r="Q513" i="1"/>
  <c r="R513" i="1" s="1"/>
  <c r="Q545" i="1"/>
  <c r="R545" i="1" s="1"/>
  <c r="Q593" i="1"/>
  <c r="R593" i="1" s="1"/>
  <c r="Q612" i="1"/>
  <c r="R612" i="1" s="1"/>
  <c r="Q632" i="1"/>
  <c r="R632" i="1" s="1"/>
  <c r="Q648" i="1"/>
  <c r="R648" i="1" s="1"/>
  <c r="Q230" i="1"/>
  <c r="R230" i="1" s="1"/>
  <c r="Q378" i="1"/>
  <c r="R378" i="1" s="1"/>
  <c r="Q410" i="1"/>
  <c r="R410" i="1" s="1"/>
  <c r="Q466" i="1"/>
  <c r="R466" i="1" s="1"/>
  <c r="Q530" i="1"/>
  <c r="R530" i="1" s="1"/>
  <c r="Q605" i="1"/>
  <c r="R605" i="1" s="1"/>
  <c r="Q641" i="1"/>
  <c r="R641" i="1" s="1"/>
  <c r="Q22" i="1"/>
  <c r="R22" i="1" s="1"/>
  <c r="Q397" i="1"/>
  <c r="R397" i="1" s="1"/>
  <c r="Q533" i="1"/>
  <c r="R533" i="1" s="1"/>
  <c r="Q642" i="1"/>
  <c r="R642" i="1" s="1"/>
  <c r="Q528" i="1"/>
  <c r="R528" i="1" s="1"/>
  <c r="Q452" i="1"/>
  <c r="R452" i="1" s="1"/>
  <c r="Q372" i="1"/>
  <c r="R372" i="1" s="1"/>
  <c r="Q126" i="1"/>
  <c r="R126" i="1" s="1"/>
  <c r="Q547" i="1"/>
  <c r="R547" i="1" s="1"/>
  <c r="Q491" i="1"/>
  <c r="R491" i="1" s="1"/>
  <c r="Q407" i="1"/>
  <c r="R407" i="1" s="1"/>
  <c r="Q282" i="1"/>
  <c r="R282" i="1" s="1"/>
  <c r="Q299" i="1"/>
  <c r="R299" i="1" s="1"/>
  <c r="Q227" i="1"/>
  <c r="R227" i="1" s="1"/>
  <c r="Q139" i="1"/>
  <c r="R139" i="1" s="1"/>
  <c r="Q35" i="1"/>
  <c r="R35" i="1" s="1"/>
  <c r="Q281" i="1"/>
  <c r="R281" i="1" s="1"/>
  <c r="Q181" i="1"/>
  <c r="R181" i="1" s="1"/>
  <c r="Q133" i="1"/>
  <c r="R133" i="1" s="1"/>
  <c r="Q37" i="1"/>
  <c r="R37" i="1" s="1"/>
  <c r="Q304" i="1"/>
  <c r="R304" i="1" s="1"/>
  <c r="Q272" i="1"/>
  <c r="R272" i="1" s="1"/>
  <c r="Q172" i="1"/>
  <c r="R172" i="1" s="1"/>
  <c r="Q32" i="1"/>
  <c r="R32" i="1" s="1"/>
  <c r="Q18" i="1"/>
  <c r="R18" i="1" s="1"/>
  <c r="Q338" i="1"/>
  <c r="R338" i="1" s="1"/>
  <c r="Q413" i="1"/>
  <c r="R413" i="1" s="1"/>
  <c r="Q445" i="1"/>
  <c r="R445" i="1" s="1"/>
  <c r="Q517" i="1"/>
  <c r="R517" i="1" s="1"/>
  <c r="Q602" i="1"/>
  <c r="R602" i="1" s="1"/>
  <c r="Q618" i="1"/>
  <c r="R618" i="1" s="1"/>
  <c r="Q634" i="1"/>
  <c r="R634" i="1" s="1"/>
  <c r="Q650" i="1"/>
  <c r="R650" i="1" s="1"/>
  <c r="Q588" i="1"/>
  <c r="R588" i="1" s="1"/>
  <c r="Q552" i="1"/>
  <c r="R552" i="1" s="1"/>
  <c r="Q536" i="1"/>
  <c r="R536" i="1" s="1"/>
  <c r="Q520" i="1"/>
  <c r="R520" i="1" s="1"/>
  <c r="Q500" i="1"/>
  <c r="R500" i="1" s="1"/>
  <c r="Q484" i="1"/>
  <c r="R484" i="1" s="1"/>
  <c r="Q460" i="1"/>
  <c r="R460" i="1" s="1"/>
  <c r="Q444" i="1"/>
  <c r="R444" i="1" s="1"/>
  <c r="Q412" i="1"/>
  <c r="R412" i="1" s="1"/>
  <c r="Q396" i="1"/>
  <c r="R396" i="1" s="1"/>
  <c r="Q380" i="1"/>
  <c r="R380" i="1" s="1"/>
  <c r="Q360" i="1"/>
  <c r="R360" i="1" s="1"/>
  <c r="Q334" i="1"/>
  <c r="R334" i="1" s="1"/>
  <c r="Q254" i="1"/>
  <c r="R254" i="1" s="1"/>
  <c r="Q158" i="1"/>
  <c r="R158" i="1" s="1"/>
  <c r="Q94" i="1"/>
  <c r="R94" i="1" s="1"/>
  <c r="Q14" i="1"/>
  <c r="R14" i="1" s="1"/>
  <c r="Q587" i="1"/>
  <c r="Q559" i="1"/>
  <c r="R559" i="1" s="1"/>
  <c r="Q539" i="1"/>
  <c r="R539" i="1" s="1"/>
  <c r="Q523" i="1"/>
  <c r="R523" i="1" s="1"/>
  <c r="Q507" i="1"/>
  <c r="R507" i="1" s="1"/>
  <c r="Q483" i="1"/>
  <c r="R483" i="1" s="1"/>
  <c r="Q463" i="1"/>
  <c r="R463" i="1" s="1"/>
  <c r="Q447" i="1"/>
  <c r="R447" i="1" s="1"/>
  <c r="Q423" i="1"/>
  <c r="R423" i="1" s="1"/>
  <c r="Q399" i="1"/>
  <c r="R399" i="1" s="1"/>
  <c r="Q383" i="1"/>
  <c r="R383" i="1" s="1"/>
  <c r="Q363" i="1"/>
  <c r="R363" i="1" s="1"/>
  <c r="Q330" i="1"/>
  <c r="R330" i="1" s="1"/>
  <c r="Q250" i="1"/>
  <c r="R250" i="1" s="1"/>
  <c r="Q138" i="1"/>
  <c r="R138" i="1" s="1"/>
  <c r="Q58" i="1"/>
  <c r="R58" i="1" s="1"/>
  <c r="Q343" i="1"/>
  <c r="R343" i="1" s="1"/>
  <c r="Q307" i="1"/>
  <c r="R307" i="1" s="1"/>
  <c r="Q291" i="1"/>
  <c r="R291" i="1" s="1"/>
  <c r="Q275" i="1"/>
  <c r="R275" i="1" s="1"/>
  <c r="Q259" i="1"/>
  <c r="Q243" i="1"/>
  <c r="R243" i="1" s="1"/>
  <c r="Q219" i="1"/>
  <c r="R219" i="1" s="1"/>
  <c r="Q179" i="1"/>
  <c r="R179" i="1" s="1"/>
  <c r="Q163" i="1"/>
  <c r="R163" i="1" s="1"/>
  <c r="Q147" i="1"/>
  <c r="R147" i="1" s="1"/>
  <c r="Q131" i="1"/>
  <c r="R131" i="1" s="1"/>
  <c r="Q111" i="1"/>
  <c r="R111" i="1" s="1"/>
  <c r="Q91" i="1"/>
  <c r="R91" i="1" s="1"/>
  <c r="Q59" i="1"/>
  <c r="R59" i="1" s="1"/>
  <c r="Q43" i="1"/>
  <c r="R43" i="1" s="1"/>
  <c r="Q27" i="1"/>
  <c r="R27" i="1" s="1"/>
  <c r="Q7" i="1"/>
  <c r="R7" i="1" s="1"/>
  <c r="Q305" i="1"/>
  <c r="R305" i="1" s="1"/>
  <c r="Q289" i="1"/>
  <c r="R289" i="1" s="1"/>
  <c r="Q273" i="1"/>
  <c r="R273" i="1" s="1"/>
  <c r="Q253" i="1"/>
  <c r="R253" i="1" s="1"/>
  <c r="Q237" i="1"/>
  <c r="R237" i="1" s="1"/>
  <c r="Q217" i="1"/>
  <c r="R217" i="1" s="1"/>
  <c r="Q173" i="1"/>
  <c r="R173" i="1" s="1"/>
  <c r="Q157" i="1"/>
  <c r="R157" i="1" s="1"/>
  <c r="Q141" i="1"/>
  <c r="R141" i="1" s="1"/>
  <c r="Q125" i="1"/>
  <c r="R125" i="1" s="1"/>
  <c r="Q105" i="1"/>
  <c r="R105" i="1" s="1"/>
  <c r="Q81" i="1"/>
  <c r="R81" i="1" s="1"/>
  <c r="Q61" i="1"/>
  <c r="R61" i="1" s="1"/>
  <c r="Q45" i="1"/>
  <c r="R45" i="1" s="1"/>
  <c r="Q29" i="1"/>
  <c r="R29" i="1" s="1"/>
  <c r="Q9" i="1"/>
  <c r="R9" i="1" s="1"/>
  <c r="Q332" i="1"/>
  <c r="R332" i="1" s="1"/>
  <c r="Q296" i="1"/>
  <c r="R296" i="1" s="1"/>
  <c r="Q280" i="1"/>
  <c r="R280" i="1" s="1"/>
  <c r="Q260" i="1"/>
  <c r="R260" i="1" s="1"/>
  <c r="Q244" i="1"/>
  <c r="R244" i="1" s="1"/>
  <c r="Q220" i="1"/>
  <c r="R220" i="1" s="1"/>
  <c r="Q180" i="1"/>
  <c r="R180" i="1" s="1"/>
  <c r="Q164" i="1"/>
  <c r="R164" i="1" s="1"/>
  <c r="Q148" i="1"/>
  <c r="R148" i="1" s="1"/>
  <c r="Q132" i="1"/>
  <c r="R132" i="1" s="1"/>
  <c r="Q108" i="1"/>
  <c r="R108" i="1" s="1"/>
  <c r="Q92" i="1"/>
  <c r="R92" i="1" s="1"/>
  <c r="Q56" i="1"/>
  <c r="R56" i="1" s="1"/>
  <c r="Q40" i="1"/>
  <c r="R40" i="1" s="1"/>
  <c r="Q24" i="1"/>
  <c r="R24" i="1" s="1"/>
  <c r="Q458" i="1"/>
  <c r="R458" i="1" s="1"/>
  <c r="Q538" i="1"/>
  <c r="R538" i="1" s="1"/>
  <c r="Q613" i="1"/>
  <c r="R613" i="1" s="1"/>
  <c r="Q645" i="1"/>
  <c r="R645" i="1" s="1"/>
  <c r="Q182" i="1"/>
  <c r="R182" i="1" s="1"/>
  <c r="Q341" i="1"/>
  <c r="R341" i="1" s="1"/>
  <c r="Q390" i="1"/>
  <c r="R390" i="1" s="1"/>
  <c r="Q422" i="1"/>
  <c r="R422" i="1" s="1"/>
  <c r="Q454" i="1"/>
  <c r="R454" i="1" s="1"/>
  <c r="Q494" i="1"/>
  <c r="R494" i="1" s="1"/>
  <c r="Q534" i="1"/>
  <c r="R534" i="1" s="1"/>
  <c r="Q582" i="1"/>
  <c r="R582" i="1" s="1"/>
  <c r="Q607" i="1"/>
  <c r="R607" i="1" s="1"/>
  <c r="Q627" i="1"/>
  <c r="R627" i="1" s="1"/>
  <c r="Q643" i="1"/>
  <c r="R643" i="1" s="1"/>
  <c r="Q66" i="1"/>
  <c r="R66" i="1" s="1"/>
  <c r="Q226" i="1"/>
  <c r="R226" i="1" s="1"/>
  <c r="Q361" i="1"/>
  <c r="R361" i="1" s="1"/>
  <c r="Q393" i="1"/>
  <c r="R393" i="1" s="1"/>
  <c r="Q449" i="1"/>
  <c r="R449" i="1" s="1"/>
  <c r="Q489" i="1"/>
  <c r="R489" i="1" s="1"/>
  <c r="Q521" i="1"/>
  <c r="R521" i="1" s="1"/>
  <c r="Q553" i="1"/>
  <c r="R553" i="1" s="1"/>
  <c r="Q600" i="1"/>
  <c r="R600" i="1" s="1"/>
  <c r="Q616" i="1"/>
  <c r="R616" i="1" s="1"/>
  <c r="Q636" i="1"/>
  <c r="R636" i="1" s="1"/>
  <c r="Q668" i="1"/>
  <c r="R668" i="1" s="1"/>
  <c r="Q294" i="1"/>
  <c r="R294" i="1" s="1"/>
  <c r="Q386" i="1"/>
  <c r="R386" i="1" s="1"/>
  <c r="Q426" i="1"/>
  <c r="R426" i="1" s="1"/>
  <c r="Q482" i="1"/>
  <c r="R482" i="1" s="1"/>
  <c r="Q546" i="1"/>
  <c r="R546" i="1" s="1"/>
  <c r="Q617" i="1"/>
  <c r="R617" i="1" s="1"/>
  <c r="Q649" i="1"/>
  <c r="R649" i="1" s="1"/>
  <c r="Q274" i="1"/>
  <c r="R274" i="1" s="1"/>
  <c r="Q501" i="1"/>
  <c r="R501" i="1" s="1"/>
  <c r="Q626" i="1"/>
  <c r="R626" i="1" s="1"/>
  <c r="Q544" i="1"/>
  <c r="R544" i="1" s="1"/>
  <c r="Q492" i="1"/>
  <c r="R492" i="1" s="1"/>
  <c r="Q404" i="1"/>
  <c r="R404" i="1" s="1"/>
  <c r="Q286" i="1"/>
  <c r="R286" i="1" s="1"/>
  <c r="Q595" i="1"/>
  <c r="R595" i="1" s="1"/>
  <c r="Q515" i="1"/>
  <c r="R515" i="1" s="1"/>
  <c r="Q439" i="1"/>
  <c r="R439" i="1" s="1"/>
  <c r="Q355" i="1"/>
  <c r="R355" i="1" s="1"/>
  <c r="Q26" i="1"/>
  <c r="R26" i="1" s="1"/>
  <c r="Q267" i="1"/>
  <c r="R267" i="1" s="1"/>
  <c r="Q171" i="1"/>
  <c r="R171" i="1" s="1"/>
  <c r="Q99" i="1"/>
  <c r="R99" i="1" s="1"/>
  <c r="Q19" i="1"/>
  <c r="R19" i="1" s="1"/>
  <c r="Q261" i="1"/>
  <c r="R261" i="1" s="1"/>
  <c r="Q165" i="1"/>
  <c r="R165" i="1" s="1"/>
  <c r="Q97" i="1"/>
  <c r="R97" i="1" s="1"/>
  <c r="Q21" i="1"/>
  <c r="R21" i="1" s="1"/>
  <c r="Q100" i="1"/>
  <c r="R100" i="1" s="1"/>
  <c r="Q146" i="1"/>
  <c r="R146" i="1" s="1"/>
  <c r="Q373" i="1"/>
  <c r="R373" i="1" s="1"/>
  <c r="Q178" i="1"/>
  <c r="R178" i="1" s="1"/>
  <c r="Q381" i="1"/>
  <c r="R381" i="1" s="1"/>
  <c r="Q485" i="1"/>
  <c r="R485" i="1" s="1"/>
  <c r="Q549" i="1"/>
  <c r="R549" i="1" s="1"/>
  <c r="Q50" i="1"/>
  <c r="R50" i="1" s="1"/>
  <c r="Q242" i="1"/>
  <c r="R242" i="1" s="1"/>
  <c r="Q357" i="1"/>
  <c r="R357" i="1" s="1"/>
  <c r="Q389" i="1"/>
  <c r="R389" i="1" s="1"/>
  <c r="Q421" i="1"/>
  <c r="R421" i="1" s="1"/>
  <c r="Q453" i="1"/>
  <c r="R453" i="1" s="1"/>
  <c r="Q493" i="1"/>
  <c r="R493" i="1" s="1"/>
  <c r="Q525" i="1"/>
  <c r="R525" i="1" s="1"/>
  <c r="Q565" i="1"/>
  <c r="R565" i="1" s="1"/>
  <c r="Q606" i="1"/>
  <c r="R606" i="1" s="1"/>
  <c r="Q622" i="1"/>
  <c r="R622" i="1" s="1"/>
  <c r="Q638" i="1"/>
  <c r="R638" i="1" s="1"/>
  <c r="Q584" i="1"/>
  <c r="R584" i="1" s="1"/>
  <c r="Q548" i="1"/>
  <c r="R548" i="1" s="1"/>
  <c r="Q532" i="1"/>
  <c r="R532" i="1" s="1"/>
  <c r="Q516" i="1"/>
  <c r="R516" i="1" s="1"/>
  <c r="Q496" i="1"/>
  <c r="R496" i="1" s="1"/>
  <c r="Q480" i="1"/>
  <c r="R480" i="1" s="1"/>
  <c r="Q456" i="1"/>
  <c r="R456" i="1" s="1"/>
  <c r="Q440" i="1"/>
  <c r="R440" i="1" s="1"/>
  <c r="Q408" i="1"/>
  <c r="R408" i="1" s="1"/>
  <c r="Q392" i="1"/>
  <c r="R392" i="1" s="1"/>
  <c r="Q376" i="1"/>
  <c r="R376" i="1" s="1"/>
  <c r="Q356" i="1"/>
  <c r="R356" i="1" s="1"/>
  <c r="Q302" i="1"/>
  <c r="R302" i="1" s="1"/>
  <c r="Q238" i="1"/>
  <c r="R238" i="1" s="1"/>
  <c r="Q142" i="1"/>
  <c r="R142" i="1" s="1"/>
  <c r="Q62" i="1"/>
  <c r="R62" i="1" s="1"/>
  <c r="Q599" i="1"/>
  <c r="R599" i="1" s="1"/>
  <c r="Q583" i="1"/>
  <c r="R583" i="1" s="1"/>
  <c r="Q551" i="1"/>
  <c r="R551" i="1" s="1"/>
  <c r="Q535" i="1"/>
  <c r="R535" i="1" s="1"/>
  <c r="Q519" i="1"/>
  <c r="R519" i="1" s="1"/>
  <c r="Q499" i="1"/>
  <c r="R499" i="1" s="1"/>
  <c r="Q479" i="1"/>
  <c r="R479" i="1" s="1"/>
  <c r="Q459" i="1"/>
  <c r="R459" i="1" s="1"/>
  <c r="Q443" i="1"/>
  <c r="R443" i="1" s="1"/>
  <c r="Q411" i="1"/>
  <c r="R411" i="1" s="1"/>
  <c r="Q395" i="1"/>
  <c r="R395" i="1" s="1"/>
  <c r="Q379" i="1"/>
  <c r="R379" i="1" s="1"/>
  <c r="Q359" i="1"/>
  <c r="R359" i="1" s="1"/>
  <c r="Q298" i="1"/>
  <c r="R298" i="1" s="1"/>
  <c r="Q218" i="1"/>
  <c r="R218" i="1" s="1"/>
  <c r="Q122" i="1"/>
  <c r="R122" i="1" s="1"/>
  <c r="Q42" i="1"/>
  <c r="R42" i="1" s="1"/>
  <c r="Q339" i="1"/>
  <c r="R339" i="1" s="1"/>
  <c r="Q303" i="1"/>
  <c r="R303" i="1" s="1"/>
  <c r="Q287" i="1"/>
  <c r="R287" i="1" s="1"/>
  <c r="Q271" i="1"/>
  <c r="Q255" i="1"/>
  <c r="R255" i="1" s="1"/>
  <c r="Q239" i="1"/>
  <c r="R239" i="1" s="1"/>
  <c r="Q215" i="1"/>
  <c r="R215" i="1" s="1"/>
  <c r="Q175" i="1"/>
  <c r="R175" i="1" s="1"/>
  <c r="Q159" i="1"/>
  <c r="R159" i="1" s="1"/>
  <c r="Q143" i="1"/>
  <c r="R143" i="1" s="1"/>
  <c r="Q127" i="1"/>
  <c r="R127" i="1" s="1"/>
  <c r="Q107" i="1"/>
  <c r="R107" i="1" s="1"/>
  <c r="Q75" i="1"/>
  <c r="R75" i="1" s="1"/>
  <c r="Q55" i="1"/>
  <c r="R55" i="1" s="1"/>
  <c r="Q39" i="1"/>
  <c r="R39" i="1" s="1"/>
  <c r="Q23" i="1"/>
  <c r="R23" i="1" s="1"/>
  <c r="Q6" i="1"/>
  <c r="R6" i="1" s="1"/>
  <c r="Q301" i="1"/>
  <c r="R301" i="1" s="1"/>
  <c r="Q285" i="1"/>
  <c r="R285" i="1" s="1"/>
  <c r="Q269" i="1"/>
  <c r="R269" i="1" s="1"/>
  <c r="Q249" i="1"/>
  <c r="R249" i="1" s="1"/>
  <c r="Q229" i="1"/>
  <c r="R229" i="1" s="1"/>
  <c r="Q213" i="1"/>
  <c r="R213" i="1" s="1"/>
  <c r="Q169" i="1"/>
  <c r="R169" i="1" s="1"/>
  <c r="Q153" i="1"/>
  <c r="R153" i="1" s="1"/>
  <c r="Q137" i="1"/>
  <c r="R137" i="1" s="1"/>
  <c r="Q117" i="1"/>
  <c r="R117" i="1" s="1"/>
  <c r="Q101" i="1"/>
  <c r="R101" i="1" s="1"/>
  <c r="Q73" i="1"/>
  <c r="R73" i="1" s="1"/>
  <c r="Q57" i="1"/>
  <c r="R57" i="1" s="1"/>
  <c r="Q41" i="1"/>
  <c r="R41" i="1" s="1"/>
  <c r="Q25" i="1"/>
  <c r="R25" i="1" s="1"/>
  <c r="Q5" i="1"/>
  <c r="R5" i="1" s="1"/>
  <c r="Q308" i="1"/>
  <c r="R308" i="1" s="1"/>
  <c r="Q292" i="1"/>
  <c r="R292" i="1" s="1"/>
  <c r="Q276" i="1"/>
  <c r="R276" i="1" s="1"/>
  <c r="Q256" i="1"/>
  <c r="R256" i="1" s="1"/>
  <c r="Q240" i="1"/>
  <c r="R240" i="1" s="1"/>
  <c r="Q216" i="1"/>
  <c r="R216" i="1" s="1"/>
  <c r="Q176" i="1"/>
  <c r="R176" i="1" s="1"/>
  <c r="Q160" i="1"/>
  <c r="R160" i="1" s="1"/>
  <c r="Q144" i="1"/>
  <c r="R144" i="1" s="1"/>
  <c r="Q128" i="1"/>
  <c r="R128" i="1" s="1"/>
  <c r="Q104" i="1"/>
  <c r="R104" i="1" s="1"/>
  <c r="Q68" i="1"/>
  <c r="R68" i="1" s="1"/>
  <c r="Q52" i="1"/>
  <c r="R52" i="1" s="1"/>
  <c r="Q36" i="1"/>
  <c r="R36" i="1" s="1"/>
  <c r="Q20" i="1"/>
  <c r="R20" i="1" s="1"/>
  <c r="Q134" i="1"/>
  <c r="R134" i="1" s="1"/>
  <c r="Q490" i="1"/>
  <c r="R490" i="1" s="1"/>
  <c r="Q586" i="1"/>
  <c r="R586" i="1" s="1"/>
  <c r="Q621" i="1"/>
  <c r="R621" i="1" s="1"/>
  <c r="Q54" i="1"/>
  <c r="R54" i="1" s="1"/>
  <c r="Q214" i="1"/>
  <c r="R214" i="1" s="1"/>
  <c r="Q358" i="1"/>
  <c r="R358" i="1" s="1"/>
  <c r="Q398" i="1"/>
  <c r="R398" i="1" s="1"/>
  <c r="Q430" i="1"/>
  <c r="R430" i="1" s="1"/>
  <c r="Q462" i="1"/>
  <c r="R462" i="1" s="1"/>
  <c r="Q510" i="1"/>
  <c r="R510" i="1" s="1"/>
  <c r="Q542" i="1"/>
  <c r="R542" i="1" s="1"/>
  <c r="Q590" i="1"/>
  <c r="R590" i="1" s="1"/>
  <c r="Q611" i="1"/>
  <c r="R611" i="1" s="1"/>
  <c r="Q631" i="1"/>
  <c r="R631" i="1" s="1"/>
  <c r="Q647" i="1"/>
  <c r="R647" i="1" s="1"/>
  <c r="Q98" i="1"/>
  <c r="R98" i="1" s="1"/>
  <c r="Q258" i="1"/>
  <c r="R258" i="1" s="1"/>
  <c r="Q369" i="1"/>
  <c r="R369" i="1" s="1"/>
  <c r="Q409" i="1"/>
  <c r="R409" i="1" s="1"/>
  <c r="Q457" i="1"/>
  <c r="R457" i="1" s="1"/>
  <c r="Q497" i="1"/>
  <c r="R497" i="1" s="1"/>
  <c r="Q529" i="1"/>
  <c r="R529" i="1" s="1"/>
  <c r="Q561" i="1"/>
  <c r="R561" i="1" s="1"/>
  <c r="Q604" i="1"/>
  <c r="R604" i="1" s="1"/>
  <c r="Q620" i="1"/>
  <c r="R620" i="1" s="1"/>
  <c r="Q640" i="1"/>
  <c r="R640" i="1" s="1"/>
  <c r="Q38" i="1"/>
  <c r="R38" i="1" s="1"/>
  <c r="Q362" i="1"/>
  <c r="R362" i="1" s="1"/>
  <c r="Q394" i="1"/>
  <c r="R394" i="1" s="1"/>
  <c r="Q442" i="1"/>
  <c r="R442" i="1" s="1"/>
  <c r="Q498" i="1"/>
  <c r="R498" i="1" s="1"/>
  <c r="Q562" i="1"/>
  <c r="R562" i="1" s="1"/>
  <c r="Q625" i="1"/>
  <c r="R625" i="1" s="1"/>
  <c r="Q401" i="1"/>
  <c r="R401" i="1" s="1"/>
  <c r="Q3" i="1"/>
  <c r="R3" i="1" s="1"/>
  <c r="O67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Z3" authorId="0" shapeId="0" xr:uid="{84A7B133-6735-4B43-837D-964310474F10}">
      <text>
        <r>
          <rPr>
            <sz val="10"/>
            <color rgb="FF000000"/>
            <rFont val="Calibri"/>
            <family val="2"/>
            <scheme val="minor"/>
          </rPr>
          <t>ผู้ตอบอัปเดตค่านี้</t>
        </r>
      </text>
    </comment>
  </commentList>
</comments>
</file>

<file path=xl/sharedStrings.xml><?xml version="1.0" encoding="utf-8"?>
<sst xmlns="http://schemas.openxmlformats.org/spreadsheetml/2006/main" count="18662" uniqueCount="3737">
  <si>
    <t>ที่</t>
  </si>
  <si>
    <t>คำนำหน้า</t>
  </si>
  <si>
    <t>ชื่อ</t>
  </si>
  <si>
    <t>นามสกุล</t>
  </si>
  <si>
    <t>ชื่อเล่น</t>
  </si>
  <si>
    <t>คณะ</t>
  </si>
  <si>
    <t>สาขา</t>
  </si>
  <si>
    <t>ชั้นปี</t>
  </si>
  <si>
    <t>บังคับ</t>
  </si>
  <si>
    <t>ผลกิจกรรมชมรม</t>
  </si>
  <si>
    <t>หมายเหตุ</t>
  </si>
  <si>
    <t>ประชุม 1</t>
  </si>
  <si>
    <t>ส่งของ 1</t>
  </si>
  <si>
    <t>ค่ายเล็ก</t>
  </si>
  <si>
    <t>ส่งของ2</t>
  </si>
  <si>
    <t>ค่ายใหญ่</t>
  </si>
  <si>
    <t>ตักบาตร</t>
  </si>
  <si>
    <t>ประชุม2</t>
  </si>
  <si>
    <t>กิจกรรมชมรม</t>
  </si>
  <si>
    <t>สรุปกิจกรรม</t>
  </si>
  <si>
    <t>ประชุม1</t>
  </si>
  <si>
    <t>ส่งของ1</t>
  </si>
  <si>
    <t>นาย</t>
  </si>
  <si>
    <t>อนันต์</t>
  </si>
  <si>
    <t>สายแก้ว</t>
  </si>
  <si>
    <t>แก๊ป</t>
  </si>
  <si>
    <t>BAAC คณะบริหารธุรกิจและการบัญชี</t>
  </si>
  <si>
    <t>สาขาวิชาการจัดการ</t>
  </si>
  <si>
    <t>KSFC_ฅนสร้างฝัน</t>
  </si>
  <si>
    <t>นางสาว</t>
  </si>
  <si>
    <t>ปาลิตา</t>
  </si>
  <si>
    <t>มาลี</t>
  </si>
  <si>
    <t>แพร</t>
  </si>
  <si>
    <t>เพชรน้ำหนึ่ง</t>
  </si>
  <si>
    <t>ต้นวงศ์</t>
  </si>
  <si>
    <t>ถุงเงิน</t>
  </si>
  <si>
    <t>หทัยกาญจน์</t>
  </si>
  <si>
    <t>จังอินทร์</t>
  </si>
  <si>
    <t>พิม</t>
  </si>
  <si>
    <t>มณฑิตา</t>
  </si>
  <si>
    <t>ศรีแก้ว</t>
  </si>
  <si>
    <t>อุ้ม</t>
  </si>
  <si>
    <t>เหมือนฝัน</t>
  </si>
  <si>
    <t>กำพลรัตน์</t>
  </si>
  <si>
    <t>วาวา</t>
  </si>
  <si>
    <t>จีระพล</t>
  </si>
  <si>
    <t>ดวงนิล</t>
  </si>
  <si>
    <t>โอน</t>
  </si>
  <si>
    <t>จิรนันท์</t>
  </si>
  <si>
    <t>ก้อนทอง</t>
  </si>
  <si>
    <t>จิว</t>
  </si>
  <si>
    <t>จุฬาลักษณ์</t>
  </si>
  <si>
    <t>เปรมกมล</t>
  </si>
  <si>
    <t>ตูน</t>
  </si>
  <si>
    <t>เบญจธิดา</t>
  </si>
  <si>
    <t>ลาลุน</t>
  </si>
  <si>
    <t>เนอส</t>
  </si>
  <si>
    <t>ธารินรัตน์</t>
  </si>
  <si>
    <t>คำพันธ์</t>
  </si>
  <si>
    <t>ไอซ์</t>
  </si>
  <si>
    <t>รสริน</t>
  </si>
  <si>
    <t>หัวเสือ</t>
  </si>
  <si>
    <t>ดาว</t>
  </si>
  <si>
    <t>กนกอร</t>
  </si>
  <si>
    <t>บุกทะเล</t>
  </si>
  <si>
    <t>ออม</t>
  </si>
  <si>
    <t>สาขาวิชาการตลาด</t>
  </si>
  <si>
    <t>กานต์พิชชา</t>
  </si>
  <si>
    <t>ปิยะรุ่งบัณฑิต</t>
  </si>
  <si>
    <t>จิณนี่</t>
  </si>
  <si>
    <t>ณัฏฐกมล</t>
  </si>
  <si>
    <t>ชำนาญ</t>
  </si>
  <si>
    <t>กาฟิว</t>
  </si>
  <si>
    <t>ธวัลพร</t>
  </si>
  <si>
    <t>วังดอกไม้</t>
  </si>
  <si>
    <t>เเพรว</t>
  </si>
  <si>
    <t>ศิรประภา</t>
  </si>
  <si>
    <t>พิจารณ์</t>
  </si>
  <si>
    <t>แบม</t>
  </si>
  <si>
    <t>สิริยากร</t>
  </si>
  <si>
    <t>แก้วละมุน</t>
  </si>
  <si>
    <t>สุธิดา</t>
  </si>
  <si>
    <t>ดวงมณี</t>
  </si>
  <si>
    <t>อู๋</t>
  </si>
  <si>
    <t>สุภาวดี</t>
  </si>
  <si>
    <t>สะอาด</t>
  </si>
  <si>
    <t>สุ</t>
  </si>
  <si>
    <t>อลิชา</t>
  </si>
  <si>
    <t>สีนอคำ</t>
  </si>
  <si>
    <t>แอน</t>
  </si>
  <si>
    <t>ศุภกิตติ์</t>
  </si>
  <si>
    <t>เกษรักษา</t>
  </si>
  <si>
    <t>หลิว</t>
  </si>
  <si>
    <t>ขวัญมณี</t>
  </si>
  <si>
    <t>มีพันธ์</t>
  </si>
  <si>
    <t>ป๊อป</t>
  </si>
  <si>
    <t>ดรุณี</t>
  </si>
  <si>
    <t>แตงอยู่</t>
  </si>
  <si>
    <t>ฟีล์ม</t>
  </si>
  <si>
    <t>ธวัลรัตน์</t>
  </si>
  <si>
    <t>ศรีเเก้ว</t>
  </si>
  <si>
    <t>ตุ้ม</t>
  </si>
  <si>
    <t>ภาสินี</t>
  </si>
  <si>
    <t>แว่นวิไล</t>
  </si>
  <si>
    <t>พลอย</t>
  </si>
  <si>
    <t>มณีรัตน์</t>
  </si>
  <si>
    <t>ศรีเมือง</t>
  </si>
  <si>
    <t>เอ</t>
  </si>
  <si>
    <t>สุนันทา</t>
  </si>
  <si>
    <t>บุญขาว</t>
  </si>
  <si>
    <t>กระต่าย</t>
  </si>
  <si>
    <t>สาฐิณีย์</t>
  </si>
  <si>
    <t>มัคสมาน</t>
  </si>
  <si>
    <t>ศุภชัย</t>
  </si>
  <si>
    <t>เรไร</t>
  </si>
  <si>
    <t>ออย</t>
  </si>
  <si>
    <t>สาขาวิชาการท่องเที่ยวและการโรงแรม</t>
  </si>
  <si>
    <t>พิมพ์พกา</t>
  </si>
  <si>
    <t>บึกโบก</t>
  </si>
  <si>
    <t>ภาณี</t>
  </si>
  <si>
    <t>ชัยนาเลียง</t>
  </si>
  <si>
    <t>มิน</t>
  </si>
  <si>
    <t>ศิริวิดา</t>
  </si>
  <si>
    <t>บึงไกร</t>
  </si>
  <si>
    <t>มิ้น</t>
  </si>
  <si>
    <t>สุภาพร</t>
  </si>
  <si>
    <t>สระทอง</t>
  </si>
  <si>
    <t>มายด์</t>
  </si>
  <si>
    <t>หทัยรัตน์</t>
  </si>
  <si>
    <t>เหล่าเลิศ</t>
  </si>
  <si>
    <t>ปลิว</t>
  </si>
  <si>
    <t>จุรีรัตน์</t>
  </si>
  <si>
    <t>สงใส</t>
  </si>
  <si>
    <t>เท็นเท็น</t>
  </si>
  <si>
    <t>สาขาวิชาการบัญชี</t>
  </si>
  <si>
    <t>นันทิกานต์</t>
  </si>
  <si>
    <t>ครองชัย</t>
  </si>
  <si>
    <t>เหมย</t>
  </si>
  <si>
    <t>เพ็ญพักตร์</t>
  </si>
  <si>
    <t>พิทักษา</t>
  </si>
  <si>
    <t>ใหม่</t>
  </si>
  <si>
    <t>รุจิรา</t>
  </si>
  <si>
    <t>เยรัมย์</t>
  </si>
  <si>
    <t>จ๋า</t>
  </si>
  <si>
    <t>กัลยกร</t>
  </si>
  <si>
    <t>เถื่อนสุข</t>
  </si>
  <si>
    <t>กัน</t>
  </si>
  <si>
    <t>ชนิสรา</t>
  </si>
  <si>
    <t>อุปทุม</t>
  </si>
  <si>
    <t>วรัญญา</t>
  </si>
  <si>
    <t>จำปาใด</t>
  </si>
  <si>
    <t>ปะแป้ง</t>
  </si>
  <si>
    <t>กันยาวดี</t>
  </si>
  <si>
    <t>ปกป้อง</t>
  </si>
  <si>
    <t>ต่าย</t>
  </si>
  <si>
    <t>เพียงฤทัย</t>
  </si>
  <si>
    <t>การสนธิ์</t>
  </si>
  <si>
    <t>ไหม</t>
  </si>
  <si>
    <t>สระ</t>
  </si>
  <si>
    <t>โสภิตยา</t>
  </si>
  <si>
    <t>จันทร์ละออ</t>
  </si>
  <si>
    <t>ปราง</t>
  </si>
  <si>
    <t>อาภัสรา</t>
  </si>
  <si>
    <t>ทิพบำรุง</t>
  </si>
  <si>
    <t>เปีย</t>
  </si>
  <si>
    <t>กัลยา</t>
  </si>
  <si>
    <t>โยธา</t>
  </si>
  <si>
    <t>ครีม</t>
  </si>
  <si>
    <t>จารุวรรณ</t>
  </si>
  <si>
    <t>บุญศรี</t>
  </si>
  <si>
    <t>การ์ตูน</t>
  </si>
  <si>
    <t>จุรีนุช</t>
  </si>
  <si>
    <t>พานจันทร์</t>
  </si>
  <si>
    <t>จุ๊</t>
  </si>
  <si>
    <t>ชนนิกานต์</t>
  </si>
  <si>
    <t>เพิ่มพร</t>
  </si>
  <si>
    <t>นิ</t>
  </si>
  <si>
    <t>ธารทิพย์</t>
  </si>
  <si>
    <t>เชื้อหอม</t>
  </si>
  <si>
    <t>ปลา</t>
  </si>
  <si>
    <t>ภัทรกุล</t>
  </si>
  <si>
    <t>บุญมา</t>
  </si>
  <si>
    <t>ไข่</t>
  </si>
  <si>
    <t>รัตติยา</t>
  </si>
  <si>
    <t>เดชนะภากร</t>
  </si>
  <si>
    <t>ซาร่า</t>
  </si>
  <si>
    <t>สุกัญญา</t>
  </si>
  <si>
    <t>จำปารัตน์</t>
  </si>
  <si>
    <t>อรอุมา</t>
  </si>
  <si>
    <t>วิลัยเกษ</t>
  </si>
  <si>
    <t>โบว์</t>
  </si>
  <si>
    <t>จิตสุภา</t>
  </si>
  <si>
    <t>โคษา</t>
  </si>
  <si>
    <t>แป้ง</t>
  </si>
  <si>
    <t>ประภัสรา</t>
  </si>
  <si>
    <t>สารจันทร์</t>
  </si>
  <si>
    <t>เอม</t>
  </si>
  <si>
    <t>เกศราภรณ์</t>
  </si>
  <si>
    <t>จันทร์ก้อน</t>
  </si>
  <si>
    <t>เจน</t>
  </si>
  <si>
    <t>ชลลดา</t>
  </si>
  <si>
    <t>สุขส่ง</t>
  </si>
  <si>
    <t>ประภาศิริ</t>
  </si>
  <si>
    <t>บุรขันธ์</t>
  </si>
  <si>
    <t>ปิ่น</t>
  </si>
  <si>
    <t>วาสนา</t>
  </si>
  <si>
    <t>การะเกษ</t>
  </si>
  <si>
    <t>ปุยเมฆ</t>
  </si>
  <si>
    <t>ศศิวรรณ</t>
  </si>
  <si>
    <t>ฝอยทอง</t>
  </si>
  <si>
    <t>บิว</t>
  </si>
  <si>
    <t>ศิริวรรณ</t>
  </si>
  <si>
    <t>คำลุน</t>
  </si>
  <si>
    <t>เดียร์</t>
  </si>
  <si>
    <t>สุทธิดา</t>
  </si>
  <si>
    <t>ลำเฟือย</t>
  </si>
  <si>
    <t>ก้อย</t>
  </si>
  <si>
    <t>สุนิสา</t>
  </si>
  <si>
    <t>เชื้อพันธ์</t>
  </si>
  <si>
    <t>ตุ๊กตา</t>
  </si>
  <si>
    <t>สุทาพร</t>
  </si>
  <si>
    <t>ตองอบ</t>
  </si>
  <si>
    <t>ใบเฟิร์น</t>
  </si>
  <si>
    <t>จุฑามาศ</t>
  </si>
  <si>
    <t>ด่านกระโทก</t>
  </si>
  <si>
    <t>วชิรญา</t>
  </si>
  <si>
    <t>บุญประสพ</t>
  </si>
  <si>
    <t>หมิว</t>
  </si>
  <si>
    <t>หนึ่งฤทัย</t>
  </si>
  <si>
    <t>อิ่มวิเศษ</t>
  </si>
  <si>
    <t>หญิง</t>
  </si>
  <si>
    <t>อัญชิสา</t>
  </si>
  <si>
    <t>ใยอาจ</t>
  </si>
  <si>
    <t>จอย</t>
  </si>
  <si>
    <t>พัชราภรณ์</t>
  </si>
  <si>
    <t>เกษศิริ</t>
  </si>
  <si>
    <t>แพท</t>
  </si>
  <si>
    <t>กานดารัตน์</t>
  </si>
  <si>
    <t>สีเลิศ</t>
  </si>
  <si>
    <t>แพน</t>
  </si>
  <si>
    <t>ทิพะระดา</t>
  </si>
  <si>
    <t>วงษ์มณี</t>
  </si>
  <si>
    <t>เอิร์น</t>
  </si>
  <si>
    <t>ธิดารัตน์</t>
  </si>
  <si>
    <t>คำอุดม</t>
  </si>
  <si>
    <t>นุ่มนิ่ม</t>
  </si>
  <si>
    <t>ภัทราภรณ์</t>
  </si>
  <si>
    <t>จูงวงศ์</t>
  </si>
  <si>
    <t>เนิร์ส</t>
  </si>
  <si>
    <t>ธันยพัฒน์</t>
  </si>
  <si>
    <t>จัตตุพีนธ์</t>
  </si>
  <si>
    <t>เอิน</t>
  </si>
  <si>
    <t>รุ่งทิวา</t>
  </si>
  <si>
    <t>นนตะพันธ์</t>
  </si>
  <si>
    <t>เกอร์</t>
  </si>
  <si>
    <t>สาขาวิชาคอมพิวเตอร์ธุรกิจ</t>
  </si>
  <si>
    <t>ปิ่นแก้ว</t>
  </si>
  <si>
    <t>เลขสุข</t>
  </si>
  <si>
    <t>ปูเป้</t>
  </si>
  <si>
    <t>สาขาวิชาคอมพิวเตอร์ธุรกิจดิจิทัล</t>
  </si>
  <si>
    <t>นพคุณ</t>
  </si>
  <si>
    <t>กองมะเริง</t>
  </si>
  <si>
    <t>แชมป์</t>
  </si>
  <si>
    <t>พีร์นิธิ</t>
  </si>
  <si>
    <t>เสนาคำ</t>
  </si>
  <si>
    <t>Cell</t>
  </si>
  <si>
    <t>วชินะกร</t>
  </si>
  <si>
    <t>เพชรเสนา</t>
  </si>
  <si>
    <t>วิทวัส</t>
  </si>
  <si>
    <t>มีเดช</t>
  </si>
  <si>
    <t>ริว</t>
  </si>
  <si>
    <t>กมลลักษณ์</t>
  </si>
  <si>
    <t>ลาวัลย์</t>
  </si>
  <si>
    <t>ปัด</t>
  </si>
  <si>
    <t>ณัฐสุดา</t>
  </si>
  <si>
    <t>อยู่แท้กูล</t>
  </si>
  <si>
    <t>จา</t>
  </si>
  <si>
    <t>โสรยา</t>
  </si>
  <si>
    <t>ยอดผา</t>
  </si>
  <si>
    <t>ปอย</t>
  </si>
  <si>
    <t>อภิสิทธิ์</t>
  </si>
  <si>
    <t>ผาพันธ์</t>
  </si>
  <si>
    <t>โด่ง</t>
  </si>
  <si>
    <t>สิทธิพล</t>
  </si>
  <si>
    <t>ครองงาม</t>
  </si>
  <si>
    <t>เรียว</t>
  </si>
  <si>
    <t>ดีเลิศ</t>
  </si>
  <si>
    <t>EDUC คณะครุศาสตร์</t>
  </si>
  <si>
    <t>สาขาวิชาการประถมศึกษา</t>
  </si>
  <si>
    <t>รัชนก</t>
  </si>
  <si>
    <t>ศักดิวงค์</t>
  </si>
  <si>
    <t>โยโย้</t>
  </si>
  <si>
    <t>ศิริพร</t>
  </si>
  <si>
    <t>จันทรา</t>
  </si>
  <si>
    <t>ปุ้ย</t>
  </si>
  <si>
    <t>อารยา</t>
  </si>
  <si>
    <t>คำแสน</t>
  </si>
  <si>
    <t>ฝน</t>
  </si>
  <si>
    <t>ธมลวรรณ</t>
  </si>
  <si>
    <t>หิรัญพันธ์</t>
  </si>
  <si>
    <t>ฟ้า</t>
  </si>
  <si>
    <t>ศศิธร</t>
  </si>
  <si>
    <t>กันทอง</t>
  </si>
  <si>
    <t>ธนิตา</t>
  </si>
  <si>
    <t>วงษ์แสง</t>
  </si>
  <si>
    <t>หนูหม่ำ</t>
  </si>
  <si>
    <t>สโรชา</t>
  </si>
  <si>
    <t>สิงห์สวัสดิ์</t>
  </si>
  <si>
    <t>ปาม</t>
  </si>
  <si>
    <t>เกตวลี</t>
  </si>
  <si>
    <t>ไกรษี</t>
  </si>
  <si>
    <t>รถเกต</t>
  </si>
  <si>
    <t>รุ้งลาวัลย์</t>
  </si>
  <si>
    <t>สร้อยเสนา</t>
  </si>
  <si>
    <t>นฤมล</t>
  </si>
  <si>
    <t>สืบสิมมา</t>
  </si>
  <si>
    <t>ไนท์</t>
  </si>
  <si>
    <t>6412236230​</t>
  </si>
  <si>
    <t>อุไรวรรณ​</t>
  </si>
  <si>
    <t>สารเดช</t>
  </si>
  <si>
    <t>สิริลาวรรณ</t>
  </si>
  <si>
    <t>จันทร์หอม</t>
  </si>
  <si>
    <t>ตาล</t>
  </si>
  <si>
    <t>ณัฐมล</t>
  </si>
  <si>
    <t>รุ่งเรือง</t>
  </si>
  <si>
    <t>ต้นข้าว</t>
  </si>
  <si>
    <t>สาขาวิชาการศึกษาปฐมวัย</t>
  </si>
  <si>
    <t>นิตติยา</t>
  </si>
  <si>
    <t>ประเทือง</t>
  </si>
  <si>
    <t>หงษ์หยก</t>
  </si>
  <si>
    <t>สุปรียา</t>
  </si>
  <si>
    <t>เพชรดี</t>
  </si>
  <si>
    <t>น้ำหวาน</t>
  </si>
  <si>
    <t>ฐานิกา</t>
  </si>
  <si>
    <t>เผ่าพันธ์</t>
  </si>
  <si>
    <t>วิชญ์พล</t>
  </si>
  <si>
    <t>สมานรัตน์</t>
  </si>
  <si>
    <t>เหิน</t>
  </si>
  <si>
    <t>สาขาวิชาการสอนภาษาจีน</t>
  </si>
  <si>
    <t>ณชา</t>
  </si>
  <si>
    <t>วรรณทวี</t>
  </si>
  <si>
    <t>เเคป</t>
  </si>
  <si>
    <t>รัตนา</t>
  </si>
  <si>
    <t>บุตรช่วง</t>
  </si>
  <si>
    <t>รินรดา</t>
  </si>
  <si>
    <t>นิลสุข</t>
  </si>
  <si>
    <t>อิงดาว</t>
  </si>
  <si>
    <t>วิไลพร</t>
  </si>
  <si>
    <t>ธรรมพร</t>
  </si>
  <si>
    <t>สุมาลี</t>
  </si>
  <si>
    <t>สุชาติ</t>
  </si>
  <si>
    <t>ภราดร</t>
  </si>
  <si>
    <t>ปานประชาติ</t>
  </si>
  <si>
    <t>แท่ง</t>
  </si>
  <si>
    <t>ณัฐวิภา</t>
  </si>
  <si>
    <t>ธดานิล</t>
  </si>
  <si>
    <t>ปาย</t>
  </si>
  <si>
    <t>นลินทิพย์</t>
  </si>
  <si>
    <t>สายไหม</t>
  </si>
  <si>
    <t>ลูกแพร</t>
  </si>
  <si>
    <t>สุวดี</t>
  </si>
  <si>
    <t>สุมาจิตร</t>
  </si>
  <si>
    <t>ทิม</t>
  </si>
  <si>
    <t>อริสรา</t>
  </si>
  <si>
    <t>ชัยพิทักษ์สมบัติ</t>
  </si>
  <si>
    <t>เบลล์</t>
  </si>
  <si>
    <t>ภควดี</t>
  </si>
  <si>
    <t>ทวี</t>
  </si>
  <si>
    <t>มนัสนันท์</t>
  </si>
  <si>
    <t>สุมา</t>
  </si>
  <si>
    <t>แนน</t>
  </si>
  <si>
    <t>วิไลลักษณ์</t>
  </si>
  <si>
    <t>นาภูเงิน</t>
  </si>
  <si>
    <t>ลักษณ์</t>
  </si>
  <si>
    <t>อุ่นทรวง</t>
  </si>
  <si>
    <t>พุทธรักษา</t>
  </si>
  <si>
    <t>อภัยศิลา</t>
  </si>
  <si>
    <t>กานต์</t>
  </si>
  <si>
    <t>สุดารัตน์</t>
  </si>
  <si>
    <t>ดวงรัตน์</t>
  </si>
  <si>
    <t>กั้ง</t>
  </si>
  <si>
    <t>ธนวัฒน์</t>
  </si>
  <si>
    <t>โสดาพัฒน์</t>
  </si>
  <si>
    <t>เติ้ล</t>
  </si>
  <si>
    <t>สาขาวิชาคณิตศาสตร์</t>
  </si>
  <si>
    <t>พงศกร</t>
  </si>
  <si>
    <t>บัวลาด</t>
  </si>
  <si>
    <t>พีระเดช</t>
  </si>
  <si>
    <t>บุญเนตร</t>
  </si>
  <si>
    <t>เอิร์ท</t>
  </si>
  <si>
    <t>ศรีบริบูรณ์</t>
  </si>
  <si>
    <t>เนย</t>
  </si>
  <si>
    <t>สุรชัย</t>
  </si>
  <si>
    <t>สิทธิศร</t>
  </si>
  <si>
    <t>ปุ้ม</t>
  </si>
  <si>
    <t>ผ่าน</t>
  </si>
  <si>
    <t>อภิชาติ</t>
  </si>
  <si>
    <t>สาลี</t>
  </si>
  <si>
    <t>ทอง</t>
  </si>
  <si>
    <t>อาชัน</t>
  </si>
  <si>
    <t>นนทวงค์</t>
  </si>
  <si>
    <t>อั้ม</t>
  </si>
  <si>
    <t>ธัญสุดา</t>
  </si>
  <si>
    <t>ทาโสม</t>
  </si>
  <si>
    <t>พิจิตรา</t>
  </si>
  <si>
    <t>กันนิกา</t>
  </si>
  <si>
    <t>สมายด์</t>
  </si>
  <si>
    <t>กมลฉัตร</t>
  </si>
  <si>
    <t>คำทา</t>
  </si>
  <si>
    <t>มาย</t>
  </si>
  <si>
    <t>ชัยบดินทร์</t>
  </si>
  <si>
    <t>ภาษารี</t>
  </si>
  <si>
    <t>เกรพ</t>
  </si>
  <si>
    <t>ธนเดช</t>
  </si>
  <si>
    <t>บุญจริง</t>
  </si>
  <si>
    <t>เดช</t>
  </si>
  <si>
    <t>ธีระวัตร</t>
  </si>
  <si>
    <t>เกษสุพรรณ์</t>
  </si>
  <si>
    <t>ตั้ม</t>
  </si>
  <si>
    <t>ชลิตา</t>
  </si>
  <si>
    <t>นามบุญเรือง</t>
  </si>
  <si>
    <t>เอื้อง</t>
  </si>
  <si>
    <t>นัยนา</t>
  </si>
  <si>
    <t>สร้อยสน</t>
  </si>
  <si>
    <t>เอ๋</t>
  </si>
  <si>
    <t>พินทุสร</t>
  </si>
  <si>
    <t>ศรีระษา</t>
  </si>
  <si>
    <t>เพลง</t>
  </si>
  <si>
    <t xml:space="preserve">         6412236230​</t>
  </si>
  <si>
    <t>เจษฎา</t>
  </si>
  <si>
    <t>ประจวบสุข</t>
  </si>
  <si>
    <t>เจษ</t>
  </si>
  <si>
    <t>มงคล</t>
  </si>
  <si>
    <t>สุภะโกศล</t>
  </si>
  <si>
    <t>กำนันติ๊ก</t>
  </si>
  <si>
    <t>วิทยา</t>
  </si>
  <si>
    <t>ลันดา</t>
  </si>
  <si>
    <t>กชพร</t>
  </si>
  <si>
    <t>โคตะทันธ์</t>
  </si>
  <si>
    <t>จิราภา</t>
  </si>
  <si>
    <t>วงษ์ภักดี</t>
  </si>
  <si>
    <t>กอหญ้า</t>
  </si>
  <si>
    <t>นัฐชลิดา</t>
  </si>
  <si>
    <t>สุระชาติ</t>
  </si>
  <si>
    <t>เบญจรัตน์</t>
  </si>
  <si>
    <t>ลาวเมือง</t>
  </si>
  <si>
    <t>หมู</t>
  </si>
  <si>
    <t>ปนัดดา</t>
  </si>
  <si>
    <t>พาเจริญ</t>
  </si>
  <si>
    <t>ปุณยนุช</t>
  </si>
  <si>
    <t>บุญรอง</t>
  </si>
  <si>
    <t>ระพีพรรณ</t>
  </si>
  <si>
    <t>ศิริเทศ</t>
  </si>
  <si>
    <t>บีม</t>
  </si>
  <si>
    <t>วราภรณ์</t>
  </si>
  <si>
    <t>ฤทธิเดช</t>
  </si>
  <si>
    <t>เบียร์</t>
  </si>
  <si>
    <t>สิริกัญญา</t>
  </si>
  <si>
    <t>มงคุณพล</t>
  </si>
  <si>
    <t>น้ำหนึ่ง</t>
  </si>
  <si>
    <t>อุราวดี</t>
  </si>
  <si>
    <t>ธาตุทอง</t>
  </si>
  <si>
    <t>ปูกี้</t>
  </si>
  <si>
    <t>พรชัย</t>
  </si>
  <si>
    <t>วงศ์มอม</t>
  </si>
  <si>
    <t>เอฟ</t>
  </si>
  <si>
    <t>ศุภวิชญ์​</t>
  </si>
  <si>
    <t>ภาคคำ</t>
  </si>
  <si>
    <t>แมกค์</t>
  </si>
  <si>
    <t>ชลธิชา</t>
  </si>
  <si>
    <t>พวงจำปา</t>
  </si>
  <si>
    <t>สุปราณี</t>
  </si>
  <si>
    <t>แสงมาศ</t>
  </si>
  <si>
    <t>เฟิร์น</t>
  </si>
  <si>
    <t>พงษ์สิน</t>
  </si>
  <si>
    <t>เหนือ</t>
  </si>
  <si>
    <t>ศลิษา</t>
  </si>
  <si>
    <t>ศรสำแดง</t>
  </si>
  <si>
    <t>สุวรรณา</t>
  </si>
  <si>
    <t>ฟาย</t>
  </si>
  <si>
    <t>ธิติมา</t>
  </si>
  <si>
    <t>กฤษฎา</t>
  </si>
  <si>
    <t>โสภากันต์</t>
  </si>
  <si>
    <t>อะตอม</t>
  </si>
  <si>
    <t>ก้องภพ</t>
  </si>
  <si>
    <t>ทองก่ำ</t>
  </si>
  <si>
    <t>ก้อง</t>
  </si>
  <si>
    <t>เทพอมร</t>
  </si>
  <si>
    <t>คุณสอน</t>
  </si>
  <si>
    <t>ฟิล์ม</t>
  </si>
  <si>
    <t>นราธิป</t>
  </si>
  <si>
    <t>เกตุพงษ์</t>
  </si>
  <si>
    <t>หนึ่ง</t>
  </si>
  <si>
    <t>ปภังกร</t>
  </si>
  <si>
    <t>พรมกอง</t>
  </si>
  <si>
    <t>แมททิว</t>
  </si>
  <si>
    <t>พีรพงศ์</t>
  </si>
  <si>
    <t>มีทรัพย์</t>
  </si>
  <si>
    <t>เต้ย</t>
  </si>
  <si>
    <t>ศราวุธ</t>
  </si>
  <si>
    <t>สุพรรณ์</t>
  </si>
  <si>
    <t>แพ็ค</t>
  </si>
  <si>
    <t>กัตติกา</t>
  </si>
  <si>
    <t>สีมาขันธ์</t>
  </si>
  <si>
    <t>กัตติ</t>
  </si>
  <si>
    <t>จุฑามณี</t>
  </si>
  <si>
    <t>กุนรา</t>
  </si>
  <si>
    <t>นุ่น</t>
  </si>
  <si>
    <t>นิตยา</t>
  </si>
  <si>
    <t>สิงห์เชื้อ</t>
  </si>
  <si>
    <t>หนูนิด</t>
  </si>
  <si>
    <t>สุภาพ</t>
  </si>
  <si>
    <t>น้ำตาล</t>
  </si>
  <si>
    <t>ลลนา</t>
  </si>
  <si>
    <t>จิตรแสวง</t>
  </si>
  <si>
    <t>ฟ้าใส</t>
  </si>
  <si>
    <t>กฤษณะ</t>
  </si>
  <si>
    <t>พรมรักษ์</t>
  </si>
  <si>
    <t>ยอด</t>
  </si>
  <si>
    <t>ทีปกร</t>
  </si>
  <si>
    <t>สอนสา</t>
  </si>
  <si>
    <t>ธนันชัย</t>
  </si>
  <si>
    <t>ใจเป็น</t>
  </si>
  <si>
    <t>พชรพล</t>
  </si>
  <si>
    <t>เชิดรัมย์</t>
  </si>
  <si>
    <t>ฟลุค</t>
  </si>
  <si>
    <t>ภควัฒน์</t>
  </si>
  <si>
    <t>ชื่นชาย</t>
  </si>
  <si>
    <t>เฟรม</t>
  </si>
  <si>
    <t>ภาณุพงศ์</t>
  </si>
  <si>
    <t>เบส</t>
  </si>
  <si>
    <t>เอกอนันต์</t>
  </si>
  <si>
    <t>วราพุฒ</t>
  </si>
  <si>
    <t>ภัทรธิดา</t>
  </si>
  <si>
    <t>บุญเลิศ</t>
  </si>
  <si>
    <t>อีฟ</t>
  </si>
  <si>
    <t>สุพรรษา</t>
  </si>
  <si>
    <t>ถะเกิงสุข</t>
  </si>
  <si>
    <t>จำเนียร</t>
  </si>
  <si>
    <t>ชนาทิพย์</t>
  </si>
  <si>
    <t>แหวนนิล</t>
  </si>
  <si>
    <t>ธนวันต์</t>
  </si>
  <si>
    <t>ศรีเสมอบุญฤทธิ์</t>
  </si>
  <si>
    <t>ออโต้</t>
  </si>
  <si>
    <t>ปัญญา</t>
  </si>
  <si>
    <t>คำมรรค</t>
  </si>
  <si>
    <t>เจมส์</t>
  </si>
  <si>
    <t>อนุชา</t>
  </si>
  <si>
    <t>เมืองจันทร์</t>
  </si>
  <si>
    <t>น็อต</t>
  </si>
  <si>
    <t>จิรภัทร์</t>
  </si>
  <si>
    <t>พรหมจักร</t>
  </si>
  <si>
    <t>อังกอ</t>
  </si>
  <si>
    <t>สารพล</t>
  </si>
  <si>
    <t>เตยเตย</t>
  </si>
  <si>
    <t>นิติลักษณ์</t>
  </si>
  <si>
    <t>บุ๋มบิ๋ม</t>
  </si>
  <si>
    <t>พรชิตา</t>
  </si>
  <si>
    <t>ทองมา</t>
  </si>
  <si>
    <t>ตงตง</t>
  </si>
  <si>
    <t>พิชญา</t>
  </si>
  <si>
    <t>ปุลา</t>
  </si>
  <si>
    <t>พิก</t>
  </si>
  <si>
    <t>พิมพ์มาดา</t>
  </si>
  <si>
    <t>วันทะวงษ์</t>
  </si>
  <si>
    <t>กิว</t>
  </si>
  <si>
    <t>มณฑกานต์</t>
  </si>
  <si>
    <t>ทองมนต์</t>
  </si>
  <si>
    <t>ปาล์ม</t>
  </si>
  <si>
    <t>วรรัตน์</t>
  </si>
  <si>
    <t>โอ</t>
  </si>
  <si>
    <t>มาสอาด</t>
  </si>
  <si>
    <t>วาส</t>
  </si>
  <si>
    <t>สมฤดี</t>
  </si>
  <si>
    <t>ชุ่มพรมราช</t>
  </si>
  <si>
    <t>เป๊กกี้</t>
  </si>
  <si>
    <t>สิตานัน</t>
  </si>
  <si>
    <t>กงแก้ว</t>
  </si>
  <si>
    <t>สุนิสสา</t>
  </si>
  <si>
    <t>ภาษี</t>
  </si>
  <si>
    <t>อรอนงค์</t>
  </si>
  <si>
    <t>ศรีมาลา</t>
  </si>
  <si>
    <t>กฤษณพล</t>
  </si>
  <si>
    <t>ศรีอินทร์</t>
  </si>
  <si>
    <t>ตาต้า</t>
  </si>
  <si>
    <t>ธีรภัทร</t>
  </si>
  <si>
    <t>ใจดี</t>
  </si>
  <si>
    <t>นิรมานสกุลพงศ์</t>
  </si>
  <si>
    <t>ดิว</t>
  </si>
  <si>
    <t>อิทธิพัทธ์</t>
  </si>
  <si>
    <t>ชูชื่น</t>
  </si>
  <si>
    <t>แฮ่ม</t>
  </si>
  <si>
    <t>ณัฐกมล</t>
  </si>
  <si>
    <t>แสงสว่าง</t>
  </si>
  <si>
    <t>ณัฐ</t>
  </si>
  <si>
    <t>จารุแพทย์</t>
  </si>
  <si>
    <t>ทิพย์</t>
  </si>
  <si>
    <t>พิชดา</t>
  </si>
  <si>
    <t>ดีเสมอ</t>
  </si>
  <si>
    <t>นาง</t>
  </si>
  <si>
    <t>วิรัลยุพา</t>
  </si>
  <si>
    <t>ช้อนสุข</t>
  </si>
  <si>
    <t>อุ้ยอ้าย</t>
  </si>
  <si>
    <t>ศิริรัตน์</t>
  </si>
  <si>
    <t>เถาว์ทุมมา</t>
  </si>
  <si>
    <t>แต๋ม</t>
  </si>
  <si>
    <t>สุทธิตา</t>
  </si>
  <si>
    <t>ชูเลิศ</t>
  </si>
  <si>
    <t>โบ</t>
  </si>
  <si>
    <t>บอส</t>
  </si>
  <si>
    <t>สาขาวิชาคอมพิวเตอร์ศึกษา</t>
  </si>
  <si>
    <t>ชูเกียรติ</t>
  </si>
  <si>
    <t>วงศ์นิล</t>
  </si>
  <si>
    <t>แกน</t>
  </si>
  <si>
    <t>พีระชัย</t>
  </si>
  <si>
    <t>เตมิยะ</t>
  </si>
  <si>
    <t>พี</t>
  </si>
  <si>
    <t>มะเดื่อ</t>
  </si>
  <si>
    <t>พืช</t>
  </si>
  <si>
    <t>กมลพรรณ</t>
  </si>
  <si>
    <t>ลาภสาร</t>
  </si>
  <si>
    <t>มิ่งขวัญ</t>
  </si>
  <si>
    <t>พฤกษชาติ</t>
  </si>
  <si>
    <t>บ๊วย</t>
  </si>
  <si>
    <t>วริศรา</t>
  </si>
  <si>
    <t>อินทร์ตา</t>
  </si>
  <si>
    <t>ป๋องแป้ง</t>
  </si>
  <si>
    <t>ชินภัทร</t>
  </si>
  <si>
    <t>คำเสียง</t>
  </si>
  <si>
    <t>เบล</t>
  </si>
  <si>
    <t>สิรภพ</t>
  </si>
  <si>
    <t>บุญเชิด</t>
  </si>
  <si>
    <t>อินทัช</t>
  </si>
  <si>
    <t>เลิศศรี</t>
  </si>
  <si>
    <t>ใจ๋ๆ</t>
  </si>
  <si>
    <t>รัตนาพร</t>
  </si>
  <si>
    <t>อุวรากุล</t>
  </si>
  <si>
    <t>วัลภา</t>
  </si>
  <si>
    <t>แสนสุข</t>
  </si>
  <si>
    <t>การเกต</t>
  </si>
  <si>
    <t>ศรีสัจจา</t>
  </si>
  <si>
    <t>เกต</t>
  </si>
  <si>
    <t>ขวัญฤดี</t>
  </si>
  <si>
    <t>ศิริเวช</t>
  </si>
  <si>
    <t>ขวัญ</t>
  </si>
  <si>
    <t>พิชญธิดา</t>
  </si>
  <si>
    <t>กุลสุวรรณ</t>
  </si>
  <si>
    <t>เเคท</t>
  </si>
  <si>
    <t>สุภาชินี</t>
  </si>
  <si>
    <t>พันธ์งาม</t>
  </si>
  <si>
    <t>กรรณิการ์</t>
  </si>
  <si>
    <t>บุญยัง</t>
  </si>
  <si>
    <t>น้ำฝน</t>
  </si>
  <si>
    <t>ธัญญาภรณ์</t>
  </si>
  <si>
    <t>พูนพัฒนาทรัพย์</t>
  </si>
  <si>
    <t>ณภัทร</t>
  </si>
  <si>
    <t>บุญเฟรือง</t>
  </si>
  <si>
    <t>กิด</t>
  </si>
  <si>
    <t>ปราณชนน์</t>
  </si>
  <si>
    <t>ทองนำ</t>
  </si>
  <si>
    <t>ปลาย</t>
  </si>
  <si>
    <t>ชัชวาล</t>
  </si>
  <si>
    <t>มาหา</t>
  </si>
  <si>
    <t>ตะวัน</t>
  </si>
  <si>
    <t>ทศพร</t>
  </si>
  <si>
    <t>แก้วสว่าง</t>
  </si>
  <si>
    <t>ฟอร์ซ</t>
  </si>
  <si>
    <t>ธีรพงษ์</t>
  </si>
  <si>
    <t>ดวนใหญ่</t>
  </si>
  <si>
    <t>หิน</t>
  </si>
  <si>
    <t>ธันย์ธำรง</t>
  </si>
  <si>
    <t>เอกสมภู</t>
  </si>
  <si>
    <t>หยก</t>
  </si>
  <si>
    <t>วรวุธ</t>
  </si>
  <si>
    <t>ทุมมนตรี</t>
  </si>
  <si>
    <t>วุธ</t>
  </si>
  <si>
    <t>ศักดิ์สิทธิ์</t>
  </si>
  <si>
    <t>โกฮวด</t>
  </si>
  <si>
    <t>กิตติพร</t>
  </si>
  <si>
    <t>ประสานพันธ์</t>
  </si>
  <si>
    <t>แม็ก</t>
  </si>
  <si>
    <t>สาขาวิชาดนตรีศึกษา</t>
  </si>
  <si>
    <t>วราวุฒิ</t>
  </si>
  <si>
    <t>บัวแย้ม</t>
  </si>
  <si>
    <t>บีน</t>
  </si>
  <si>
    <t>วาสิษฐ์</t>
  </si>
  <si>
    <t>สาระบุตร</t>
  </si>
  <si>
    <t>โอม</t>
  </si>
  <si>
    <t>สถิตย์</t>
  </si>
  <si>
    <t>บุญมาตย์</t>
  </si>
  <si>
    <t>ติ๊ก</t>
  </si>
  <si>
    <t>กฤษณพงษ์</t>
  </si>
  <si>
    <t>สิมสรี</t>
  </si>
  <si>
    <t>ปังปอนด์</t>
  </si>
  <si>
    <t>ธารานิวัฒน์</t>
  </si>
  <si>
    <t>สุริเตอร์</t>
  </si>
  <si>
    <t>เบสท์</t>
  </si>
  <si>
    <t>พรรษา</t>
  </si>
  <si>
    <t>เนส</t>
  </si>
  <si>
    <t>ธนากร</t>
  </si>
  <si>
    <t>มูลวงษ์</t>
  </si>
  <si>
    <t>คิม</t>
  </si>
  <si>
    <t>จิตรณรงค์</t>
  </si>
  <si>
    <t>กลิ่นหอม</t>
  </si>
  <si>
    <t>บาส</t>
  </si>
  <si>
    <t>สาขาวิชาพลศึกษา</t>
  </si>
  <si>
    <t>ธัชพล</t>
  </si>
  <si>
    <t>ต้นปาล์ม</t>
  </si>
  <si>
    <t>บุรินทร์</t>
  </si>
  <si>
    <t>บุญรินทร์</t>
  </si>
  <si>
    <t>ยูโร</t>
  </si>
  <si>
    <t>เศรษฐพงศ์</t>
  </si>
  <si>
    <t>สมหมาย</t>
  </si>
  <si>
    <t>สิริพงศ์</t>
  </si>
  <si>
    <t>อุราแก้ว</t>
  </si>
  <si>
    <t>หนุ่ม</t>
  </si>
  <si>
    <t>สิทธิชัย</t>
  </si>
  <si>
    <t>จบไตรเภท</t>
  </si>
  <si>
    <t>ต่อ</t>
  </si>
  <si>
    <t>ภัทรชนน</t>
  </si>
  <si>
    <t>ประพานศรี</t>
  </si>
  <si>
    <t>เอ้ก</t>
  </si>
  <si>
    <t>ช่ออ่อน</t>
  </si>
  <si>
    <t>สถิตคุณ</t>
  </si>
  <si>
    <t>บุญประกอบ</t>
  </si>
  <si>
    <t>เชน</t>
  </si>
  <si>
    <t>จิรวัฒน์</t>
  </si>
  <si>
    <t>พิมา</t>
  </si>
  <si>
    <t>แดนประหาร</t>
  </si>
  <si>
    <t>ณัฐฐากรณ์</t>
  </si>
  <si>
    <t>พิมพ์จันทร์</t>
  </si>
  <si>
    <t>เบิ้ล</t>
  </si>
  <si>
    <t>จิดาภา</t>
  </si>
  <si>
    <t>อ่อนอัฐ</t>
  </si>
  <si>
    <t>จูน</t>
  </si>
  <si>
    <t>สาขาวิชาภาษาจีน</t>
  </si>
  <si>
    <t>จันทรวดี</t>
  </si>
  <si>
    <t>สายสิน</t>
  </si>
  <si>
    <t>แพรวา</t>
  </si>
  <si>
    <t>สาขาวิชาภาษาไทย</t>
  </si>
  <si>
    <t>นรินทร</t>
  </si>
  <si>
    <t>ไชยสาร</t>
  </si>
  <si>
    <t>เบ๊นซ์</t>
  </si>
  <si>
    <t>รัตดาวรรณ</t>
  </si>
  <si>
    <t>นาคูณ</t>
  </si>
  <si>
    <t>บีบี</t>
  </si>
  <si>
    <t>สหฤทัย</t>
  </si>
  <si>
    <t>เบ้าทอง</t>
  </si>
  <si>
    <t>สุพัฒน์ตรา</t>
  </si>
  <si>
    <t>วงศ์สูง</t>
  </si>
  <si>
    <t>เมษา</t>
  </si>
  <si>
    <t>ธัญญารัตน์</t>
  </si>
  <si>
    <t>อ้อน</t>
  </si>
  <si>
    <t>วิลาวรรณ</t>
  </si>
  <si>
    <t>ลัดดา</t>
  </si>
  <si>
    <t>พิมพ์</t>
  </si>
  <si>
    <t>โอ้เอ้</t>
  </si>
  <si>
    <t>เสนสอน</t>
  </si>
  <si>
    <t>กิตตินันท์</t>
  </si>
  <si>
    <t>บุษดี</t>
  </si>
  <si>
    <t>ปอน</t>
  </si>
  <si>
    <t>สาขาวิชาภาษาอังกฤษ</t>
  </si>
  <si>
    <t>วันชัย</t>
  </si>
  <si>
    <t>บัวเมืองเพีย</t>
  </si>
  <si>
    <t>ฟอร์ด</t>
  </si>
  <si>
    <t>ศิรวิทย์</t>
  </si>
  <si>
    <t>นามวงค์</t>
  </si>
  <si>
    <t>โอ๊ด</t>
  </si>
  <si>
    <t>กัญญาพัชร</t>
  </si>
  <si>
    <t>แสนวัง</t>
  </si>
  <si>
    <t>การัน</t>
  </si>
  <si>
    <t>ขนิษฐาป์กร</t>
  </si>
  <si>
    <t>เจริญศริรัฎถกร</t>
  </si>
  <si>
    <t>จ่อม</t>
  </si>
  <si>
    <t>จิราพร</t>
  </si>
  <si>
    <t>กุลโชติ</t>
  </si>
  <si>
    <t>ไอฝน</t>
  </si>
  <si>
    <t>ธนานันท์</t>
  </si>
  <si>
    <t>พงษ์ธนู</t>
  </si>
  <si>
    <t>ข้าวจ้าว</t>
  </si>
  <si>
    <t>วรรณพร</t>
  </si>
  <si>
    <t>พรีม</t>
  </si>
  <si>
    <t>วิชญาดา</t>
  </si>
  <si>
    <t>บุญต่อ</t>
  </si>
  <si>
    <t>น้ำขิง</t>
  </si>
  <si>
    <t>ศิรินทิพย์</t>
  </si>
  <si>
    <t>ศรีทอง</t>
  </si>
  <si>
    <t>ออมสิน</t>
  </si>
  <si>
    <t>สาวภา</t>
  </si>
  <si>
    <t>ศรีละพันธ์</t>
  </si>
  <si>
    <t>ฉัตรดนัย</t>
  </si>
  <si>
    <t>พันโท</t>
  </si>
  <si>
    <t>สายหมอก</t>
  </si>
  <si>
    <t>วุฒิชัย</t>
  </si>
  <si>
    <t>ใหญ่ผา</t>
  </si>
  <si>
    <t>วุฒิ</t>
  </si>
  <si>
    <t>คำเหลา</t>
  </si>
  <si>
    <t>หวาน</t>
  </si>
  <si>
    <t>ขวัญจิรา</t>
  </si>
  <si>
    <t>ปัทมจิรายุวัฒน์</t>
  </si>
  <si>
    <t>บัวชมพู</t>
  </si>
  <si>
    <t>พันธุ์สุข</t>
  </si>
  <si>
    <t>เบญญาภา</t>
  </si>
  <si>
    <t>นามวงศ์</t>
  </si>
  <si>
    <t>เบญ</t>
  </si>
  <si>
    <t>วรัญชลี</t>
  </si>
  <si>
    <t>ศรีเสน</t>
  </si>
  <si>
    <t>กล้วยไข่</t>
  </si>
  <si>
    <t>ณภัทร์</t>
  </si>
  <si>
    <t>ภัทรพงษ์กุล</t>
  </si>
  <si>
    <t>ภูผา</t>
  </si>
  <si>
    <t>นภดล</t>
  </si>
  <si>
    <t>เอส</t>
  </si>
  <si>
    <t>ธณกฤษณ์</t>
  </si>
  <si>
    <t>สาโสม</t>
  </si>
  <si>
    <t>ศิรินภา</t>
  </si>
  <si>
    <t>แพรว</t>
  </si>
  <si>
    <t>กิตฏิพิชัย</t>
  </si>
  <si>
    <t>จันทร์ทง</t>
  </si>
  <si>
    <t>ชัยพร</t>
  </si>
  <si>
    <t>เจเจ</t>
  </si>
  <si>
    <t>ทิชานนท์</t>
  </si>
  <si>
    <t>สารีบุตร</t>
  </si>
  <si>
    <t>ทิชา</t>
  </si>
  <si>
    <t>พิพัฒน์</t>
  </si>
  <si>
    <t>ดวงอินทร์</t>
  </si>
  <si>
    <t>บั้ม</t>
  </si>
  <si>
    <t>รัชชานนท์</t>
  </si>
  <si>
    <t>บรรดาตั้ง</t>
  </si>
  <si>
    <t>อาม</t>
  </si>
  <si>
    <t>จำเริญ</t>
  </si>
  <si>
    <t>เมฆ</t>
  </si>
  <si>
    <t>บุศรากรณ์</t>
  </si>
  <si>
    <t>ชูรัตน์</t>
  </si>
  <si>
    <t>บุศ</t>
  </si>
  <si>
    <t>มยุรฉัตร</t>
  </si>
  <si>
    <t>ระยอง</t>
  </si>
  <si>
    <t>มานิตา</t>
  </si>
  <si>
    <t>คำลอย</t>
  </si>
  <si>
    <t>มาริก</t>
  </si>
  <si>
    <t>รักษณาลี</t>
  </si>
  <si>
    <t>ปัสสี</t>
  </si>
  <si>
    <t>กันตินันท์</t>
  </si>
  <si>
    <t>สุภาทิพย์</t>
  </si>
  <si>
    <t>กันต์</t>
  </si>
  <si>
    <t>ณรงค์ฤทธิ์</t>
  </si>
  <si>
    <t>อาจพันธ์</t>
  </si>
  <si>
    <t>เเม็กซ์</t>
  </si>
  <si>
    <t>เฉลิมพง</t>
  </si>
  <si>
    <t>โกฎแสน</t>
  </si>
  <si>
    <t>ทิว</t>
  </si>
  <si>
    <t>ชาญยุทธ</t>
  </si>
  <si>
    <t>ศรีเลิศ</t>
  </si>
  <si>
    <t>รัฐพล</t>
  </si>
  <si>
    <t>บุญบรรจง</t>
  </si>
  <si>
    <t>กอล์ฟ</t>
  </si>
  <si>
    <t>สันติ</t>
  </si>
  <si>
    <t>ปะกิคา</t>
  </si>
  <si>
    <t>โอโม่</t>
  </si>
  <si>
    <t>จันทิมา</t>
  </si>
  <si>
    <t>ศรีรักษา</t>
  </si>
  <si>
    <t>กิ่งจัน</t>
  </si>
  <si>
    <t>นภัสสร</t>
  </si>
  <si>
    <t>ศรีวิลัย</t>
  </si>
  <si>
    <t>ขมพู่</t>
  </si>
  <si>
    <t>มนตรี</t>
  </si>
  <si>
    <t>ปั้นแป้ง</t>
  </si>
  <si>
    <t>เพ็ญนภา</t>
  </si>
  <si>
    <t>สารุณา</t>
  </si>
  <si>
    <t>หมวย</t>
  </si>
  <si>
    <t>เมธาวรินทร์</t>
  </si>
  <si>
    <t>บุญฉวี</t>
  </si>
  <si>
    <t>เมธา</t>
  </si>
  <si>
    <t>กีรติกร</t>
  </si>
  <si>
    <t>ทิพมาตย์</t>
  </si>
  <si>
    <t>แอ๊คชั่น</t>
  </si>
  <si>
    <t>คาเชนทร์</t>
  </si>
  <si>
    <t>อรรคบุตร</t>
  </si>
  <si>
    <t>เชนทร์</t>
  </si>
  <si>
    <t>วัชรศักดิ์</t>
  </si>
  <si>
    <t>สาสังข์</t>
  </si>
  <si>
    <t>แซ็ท</t>
  </si>
  <si>
    <t>แสนแก้ว</t>
  </si>
  <si>
    <t>ซินเธีย</t>
  </si>
  <si>
    <t>ชมพูนุช</t>
  </si>
  <si>
    <t>ตองอ่อน</t>
  </si>
  <si>
    <t>ญาณิกานต์</t>
  </si>
  <si>
    <t>ทองทับ</t>
  </si>
  <si>
    <t>ชมพู่</t>
  </si>
  <si>
    <t>นัฏฐนิชา</t>
  </si>
  <si>
    <t>สังขาว</t>
  </si>
  <si>
    <t>ผิงผิง</t>
  </si>
  <si>
    <t>ปณิตา</t>
  </si>
  <si>
    <t>ยงกุล</t>
  </si>
  <si>
    <t>น้อง</t>
  </si>
  <si>
    <t>เซ่งตระกูล</t>
  </si>
  <si>
    <t>สุทัตตา</t>
  </si>
  <si>
    <t>สารพัฒน์</t>
  </si>
  <si>
    <t>อ้อม</t>
  </si>
  <si>
    <t>โสรญา</t>
  </si>
  <si>
    <t>ทับทิมหิน</t>
  </si>
  <si>
    <t>ยสินทร</t>
  </si>
  <si>
    <t>ชินทอง</t>
  </si>
  <si>
    <t>แป๊ก</t>
  </si>
  <si>
    <t>วรกฤศ</t>
  </si>
  <si>
    <t>โพธิ์ธรรม</t>
  </si>
  <si>
    <t>พล</t>
  </si>
  <si>
    <t>จุราพร</t>
  </si>
  <si>
    <t>ดอกพอง</t>
  </si>
  <si>
    <t>ต้า</t>
  </si>
  <si>
    <t>ฉันท์สินี</t>
  </si>
  <si>
    <t>ถือทอง</t>
  </si>
  <si>
    <t>แอม</t>
  </si>
  <si>
    <t>นลพร</t>
  </si>
  <si>
    <t>เลิศกาญจนกนก</t>
  </si>
  <si>
    <t>น้ำ</t>
  </si>
  <si>
    <t>เนตรนฤมล</t>
  </si>
  <si>
    <t>นารี</t>
  </si>
  <si>
    <t>ซีซี่</t>
  </si>
  <si>
    <t>ปพิชญา</t>
  </si>
  <si>
    <t>บุญมาศ</t>
  </si>
  <si>
    <t>สาม</t>
  </si>
  <si>
    <t>เพชรลดา</t>
  </si>
  <si>
    <t>ดอกดวน</t>
  </si>
  <si>
    <t>ตอง</t>
  </si>
  <si>
    <t>ศิริวรรณ​</t>
  </si>
  <si>
    <t>วงศ์จันทร์</t>
  </si>
  <si>
    <t>กิ๊ฟ</t>
  </si>
  <si>
    <t>ธัญ​ลักษณ์​</t>
  </si>
  <si>
    <t>ร่องวารี</t>
  </si>
  <si>
    <t>สาขาวิชาวิทยาศาสตร์ทั่วไป</t>
  </si>
  <si>
    <t>คำโสภา</t>
  </si>
  <si>
    <t>ฉัตรภูมินทร์</t>
  </si>
  <si>
    <t>ปุคคละนันทน์</t>
  </si>
  <si>
    <t>คอม</t>
  </si>
  <si>
    <t>วิรุณพันธ์</t>
  </si>
  <si>
    <t>อ๋อมแอ๋ม</t>
  </si>
  <si>
    <t>บุตรกูล</t>
  </si>
  <si>
    <t>ดรีม</t>
  </si>
  <si>
    <t>รัตนวรรณ</t>
  </si>
  <si>
    <t>สานุสันต์</t>
  </si>
  <si>
    <t>ทราย</t>
  </si>
  <si>
    <t>ดำริสม</t>
  </si>
  <si>
    <t>บุ๋ม</t>
  </si>
  <si>
    <t>กรองแก้ว</t>
  </si>
  <si>
    <t>สุดดี</t>
  </si>
  <si>
    <t>แก้ว</t>
  </si>
  <si>
    <t>รุ่งนภา</t>
  </si>
  <si>
    <t>มีทองแสน</t>
  </si>
  <si>
    <t>แพม</t>
  </si>
  <si>
    <t>ธนพัฒน์</t>
  </si>
  <si>
    <t>สุทธิโสม</t>
  </si>
  <si>
    <t>แทน</t>
  </si>
  <si>
    <t>พิกุล</t>
  </si>
  <si>
    <t>ทองอินทร์</t>
  </si>
  <si>
    <t>กิ้ป</t>
  </si>
  <si>
    <t>ฉายแสง</t>
  </si>
  <si>
    <t>ธนิดา</t>
  </si>
  <si>
    <t>จรรยากรณ์</t>
  </si>
  <si>
    <t>นุ้ย</t>
  </si>
  <si>
    <t>ศิรพร</t>
  </si>
  <si>
    <t>แก้วเชียงทอง</t>
  </si>
  <si>
    <t>ชา</t>
  </si>
  <si>
    <t>ชลธิดา</t>
  </si>
  <si>
    <t>จำปากุล</t>
  </si>
  <si>
    <t>นวิสรา</t>
  </si>
  <si>
    <t>แก้วพวง</t>
  </si>
  <si>
    <t>เกรซ</t>
  </si>
  <si>
    <t>พิมพ์ชนก</t>
  </si>
  <si>
    <t>พลบุญ</t>
  </si>
  <si>
    <t>ข้าวฟ่าง</t>
  </si>
  <si>
    <t>ศิริประภา</t>
  </si>
  <si>
    <t>อินทร์โสม</t>
  </si>
  <si>
    <t>ส่วงเมา</t>
  </si>
  <si>
    <t>รุ้ง</t>
  </si>
  <si>
    <t>ชนิตา</t>
  </si>
  <si>
    <t>โสตินัย</t>
  </si>
  <si>
    <t>อ้อ</t>
  </si>
  <si>
    <t>บุณยวีร์</t>
  </si>
  <si>
    <t>กล้วย</t>
  </si>
  <si>
    <t>ณรงค์ศักดิ์</t>
  </si>
  <si>
    <t>บริสุทธิ์</t>
  </si>
  <si>
    <t>บิ๊ก</t>
  </si>
  <si>
    <t>สาขาวิชาสังคมศึกษา</t>
  </si>
  <si>
    <t>ประดู่</t>
  </si>
  <si>
    <t>เอนก</t>
  </si>
  <si>
    <t>ศรีภพ</t>
  </si>
  <si>
    <t>นิค</t>
  </si>
  <si>
    <t>ภัชรินทร์</t>
  </si>
  <si>
    <t>ปรางมาศ</t>
  </si>
  <si>
    <t>ส้ม</t>
  </si>
  <si>
    <t>ญาตาชา</t>
  </si>
  <si>
    <t>พรหมชาติ</t>
  </si>
  <si>
    <t>โฟม</t>
  </si>
  <si>
    <t>โสระญา</t>
  </si>
  <si>
    <t>หนองหิน</t>
  </si>
  <si>
    <t>วา</t>
  </si>
  <si>
    <t>ชมพูนิกข์</t>
  </si>
  <si>
    <t>เกษรสร้อย</t>
  </si>
  <si>
    <t>HUSO คณะมนุษยศาสตร์และสังคมศาสตร์</t>
  </si>
  <si>
    <t>ภาษาไทยเพื่อการสื่อสาร</t>
  </si>
  <si>
    <t>ฐิดาภา</t>
  </si>
  <si>
    <t>พรหมคุณ</t>
  </si>
  <si>
    <t>เป๋าตังค์</t>
  </si>
  <si>
    <t>พุทธธิดา</t>
  </si>
  <si>
    <t>ระโส</t>
  </si>
  <si>
    <t>มุธิตา</t>
  </si>
  <si>
    <t>ครองเมือง</t>
  </si>
  <si>
    <t>ถาวรพงษ์</t>
  </si>
  <si>
    <t>ธิญดา</t>
  </si>
  <si>
    <t>บุญจอง</t>
  </si>
  <si>
    <t>เนตรปรียา</t>
  </si>
  <si>
    <t>หลอมทอง</t>
  </si>
  <si>
    <t>พรนภา</t>
  </si>
  <si>
    <t>ระหาร</t>
  </si>
  <si>
    <t>บุษ</t>
  </si>
  <si>
    <t>จิรายุ</t>
  </si>
  <si>
    <t>มีวงษ์</t>
  </si>
  <si>
    <t>สุภาภรณ์</t>
  </si>
  <si>
    <t>อินทะรังษี</t>
  </si>
  <si>
    <t>หยู</t>
  </si>
  <si>
    <t>ภัทราวดี</t>
  </si>
  <si>
    <t>ไชยปัญญา</t>
  </si>
  <si>
    <t>เชอร์รี่</t>
  </si>
  <si>
    <t>สาขาภาษาไทยเพื่อการสื่อสาร</t>
  </si>
  <si>
    <t>อภิศักดิ์</t>
  </si>
  <si>
    <t>ชื่นตา</t>
  </si>
  <si>
    <t>บอย</t>
  </si>
  <si>
    <t>ณัฐวดี</t>
  </si>
  <si>
    <t>วัตถาภรณ์</t>
  </si>
  <si>
    <t>นครชัย</t>
  </si>
  <si>
    <t>สุวรรณี</t>
  </si>
  <si>
    <t>บุญนำ</t>
  </si>
  <si>
    <t>สัมพันธวงศ์</t>
  </si>
  <si>
    <t>โอ๋เอ๋</t>
  </si>
  <si>
    <t>ชฎารัตน์</t>
  </si>
  <si>
    <t>จันทา</t>
  </si>
  <si>
    <t>พลอยไพรรินทร์</t>
  </si>
  <si>
    <t>อายุวงศ์</t>
  </si>
  <si>
    <t>สุวรรณเพชร</t>
  </si>
  <si>
    <t>ม่อน</t>
  </si>
  <si>
    <t>สาขาวิชานิเทศศาสตร์</t>
  </si>
  <si>
    <t>ดุจดา</t>
  </si>
  <si>
    <t>เอเปค</t>
  </si>
  <si>
    <t>วัชรพงษ์</t>
  </si>
  <si>
    <t>กุฎีพันธ์</t>
  </si>
  <si>
    <t>เดี่ยว</t>
  </si>
  <si>
    <t>สุจิตรา</t>
  </si>
  <si>
    <t>รัตนะ</t>
  </si>
  <si>
    <t>มะลิ</t>
  </si>
  <si>
    <t>สาขาวิชาประวัติศาสตร์</t>
  </si>
  <si>
    <t>กรรณิกานต์</t>
  </si>
  <si>
    <t>จันทร์ซ้าย</t>
  </si>
  <si>
    <t>นิดา</t>
  </si>
  <si>
    <t>จิตติพัชร</t>
  </si>
  <si>
    <t>โสมะเกษตริน</t>
  </si>
  <si>
    <t>ปริม</t>
  </si>
  <si>
    <t>ฐาปนี</t>
  </si>
  <si>
    <t>แห่งสมัย</t>
  </si>
  <si>
    <t>อิม</t>
  </si>
  <si>
    <t>บุณยานุช</t>
  </si>
  <si>
    <t>โสชะดา</t>
  </si>
  <si>
    <t>แคท</t>
  </si>
  <si>
    <t>สูงยาง</t>
  </si>
  <si>
    <t>ริ้วดำ</t>
  </si>
  <si>
    <t>วิว</t>
  </si>
  <si>
    <t>ธรรมจักร์</t>
  </si>
  <si>
    <t>เค้ก</t>
  </si>
  <si>
    <t>อัญฑิมา</t>
  </si>
  <si>
    <t>วัฒนะสงค์</t>
  </si>
  <si>
    <t>อันอัน</t>
  </si>
  <si>
    <t>ธัชศกรณ์</t>
  </si>
  <si>
    <t>ศรีมันตะ</t>
  </si>
  <si>
    <t>ปอนด์</t>
  </si>
  <si>
    <t>พรพิพัฒน์</t>
  </si>
  <si>
    <t>ไพรบึง</t>
  </si>
  <si>
    <t>โดม</t>
  </si>
  <si>
    <t>ทองพูล</t>
  </si>
  <si>
    <t>นิว</t>
  </si>
  <si>
    <t>กิตติยาพร​</t>
  </si>
  <si>
    <t>ศิลาคำ</t>
  </si>
  <si>
    <t>ไข่มุก</t>
  </si>
  <si>
    <t>เขมินทรา</t>
  </si>
  <si>
    <t>รัตพันธ์</t>
  </si>
  <si>
    <t>แคลร์</t>
  </si>
  <si>
    <t>จันทร์จิรา</t>
  </si>
  <si>
    <t>มหาโภชน์</t>
  </si>
  <si>
    <t>นิด</t>
  </si>
  <si>
    <t>จิระประภาพร</t>
  </si>
  <si>
    <t>พิลาดี</t>
  </si>
  <si>
    <t>แก้ม</t>
  </si>
  <si>
    <t>ชนธิชา</t>
  </si>
  <si>
    <t>มูลธาร์</t>
  </si>
  <si>
    <t>ณัฐณิชา</t>
  </si>
  <si>
    <t>ไชยอุดม</t>
  </si>
  <si>
    <t>สิงห์ทอง</t>
  </si>
  <si>
    <t>แยม</t>
  </si>
  <si>
    <t>ภิรมยา</t>
  </si>
  <si>
    <t>กิ่งเกษ</t>
  </si>
  <si>
    <t>วรรณภา</t>
  </si>
  <si>
    <t>กาสา</t>
  </si>
  <si>
    <t>อารียา</t>
  </si>
  <si>
    <t>มรดก</t>
  </si>
  <si>
    <t>มายด์มิ้นท์</t>
  </si>
  <si>
    <t>ยุทนา</t>
  </si>
  <si>
    <t>บุญช่วย</t>
  </si>
  <si>
    <t>เเตง</t>
  </si>
  <si>
    <t>สรวิศ</t>
  </si>
  <si>
    <t>สามารถ</t>
  </si>
  <si>
    <t>สุธิราช</t>
  </si>
  <si>
    <t>ตุ้ย</t>
  </si>
  <si>
    <t>กมลชนก</t>
  </si>
  <si>
    <t>มีดี</t>
  </si>
  <si>
    <t>นัฐนันท์</t>
  </si>
  <si>
    <t>แสงจันทร์</t>
  </si>
  <si>
    <t>นา</t>
  </si>
  <si>
    <t>นันทิดา</t>
  </si>
  <si>
    <t>ใยจิต</t>
  </si>
  <si>
    <t>ปาณมินท์</t>
  </si>
  <si>
    <t>นรดี</t>
  </si>
  <si>
    <t>มีน</t>
  </si>
  <si>
    <t>พรทิพา</t>
  </si>
  <si>
    <t>พิมพ์นิภา</t>
  </si>
  <si>
    <t>มณีวงค์</t>
  </si>
  <si>
    <t>ไตรศรี</t>
  </si>
  <si>
    <t>มด</t>
  </si>
  <si>
    <t>ศรีสุดา</t>
  </si>
  <si>
    <t>รู้รอบ</t>
  </si>
  <si>
    <t>เก๋</t>
  </si>
  <si>
    <t>ปรือปรัง</t>
  </si>
  <si>
    <t>แจ็คกี้</t>
  </si>
  <si>
    <t>วิปุละ</t>
  </si>
  <si>
    <t>เมย์</t>
  </si>
  <si>
    <t>บุสดี</t>
  </si>
  <si>
    <t>พิยดา</t>
  </si>
  <si>
    <t>ภัทรา</t>
  </si>
  <si>
    <t>ลีลากุล</t>
  </si>
  <si>
    <t>ละอองดาว</t>
  </si>
  <si>
    <t>จันทะพม</t>
  </si>
  <si>
    <t>อ้วนใหญ่</t>
  </si>
  <si>
    <t>Mr</t>
  </si>
  <si>
    <t>Xuan</t>
  </si>
  <si>
    <t>Rio (ลีโอ)</t>
  </si>
  <si>
    <t>สาขาวิชาภาษาไทยเพื่อการสื่อสาร</t>
  </si>
  <si>
    <t>กฤษฎากรณ์</t>
  </si>
  <si>
    <t>นิลจันทร์</t>
  </si>
  <si>
    <t>เกษหอม</t>
  </si>
  <si>
    <t>จุ๊บแจง</t>
  </si>
  <si>
    <t>เพชรดา</t>
  </si>
  <si>
    <t>พรทิพย์</t>
  </si>
  <si>
    <t>แกชวดดง</t>
  </si>
  <si>
    <t>บ๋อมแบ๋ม</t>
  </si>
  <si>
    <t>พัตรพิมล</t>
  </si>
  <si>
    <t>บานชื่น</t>
  </si>
  <si>
    <t>เจี๊ยบ</t>
  </si>
  <si>
    <t>ธรรมวัตร</t>
  </si>
  <si>
    <t>ณัฏฐากร</t>
  </si>
  <si>
    <t>ช่างสลัก</t>
  </si>
  <si>
    <t>รองเมือง</t>
  </si>
  <si>
    <t>ไชยชาญ</t>
  </si>
  <si>
    <t>ชาญชิตร</t>
  </si>
  <si>
    <t>คุณิตา</t>
  </si>
  <si>
    <t>บุตะเคียน</t>
  </si>
  <si>
    <t>ทองปาน</t>
  </si>
  <si>
    <t>ฤทธิ์</t>
  </si>
  <si>
    <t>สุธาสินี</t>
  </si>
  <si>
    <t>ตั้งใจสุข</t>
  </si>
  <si>
    <t>กรรณิกา</t>
  </si>
  <si>
    <t xml:space="preserve">แวว </t>
  </si>
  <si>
    <t xml:space="preserve">สาขาวิชาภาษาไทยเพื่อการสื่อสาร </t>
  </si>
  <si>
    <t>กนกวรรณ</t>
  </si>
  <si>
    <t>งอนสวรรค์</t>
  </si>
  <si>
    <t>นุ๊ก</t>
  </si>
  <si>
    <t>ดวงพร</t>
  </si>
  <si>
    <t>ธรรมสา</t>
  </si>
  <si>
    <t>สาขาวิชาภาษาอังกฤษธุรกิจ</t>
  </si>
  <si>
    <t>วริศราภรณ์</t>
  </si>
  <si>
    <t>ม่วงศรี</t>
  </si>
  <si>
    <t>บุญทน</t>
  </si>
  <si>
    <t>ศิรินทรา</t>
  </si>
  <si>
    <t>มีเพชร</t>
  </si>
  <si>
    <t>ศักดิ์ชัย</t>
  </si>
  <si>
    <t>ผาสุข</t>
  </si>
  <si>
    <t>หรรษกรณ์</t>
  </si>
  <si>
    <t>หาญกล้า</t>
  </si>
  <si>
    <t>วารุณี</t>
  </si>
  <si>
    <t>โทแก้ว</t>
  </si>
  <si>
    <t>หลิน</t>
  </si>
  <si>
    <t>นริสร</t>
  </si>
  <si>
    <t>สัตยารังสรรค์</t>
  </si>
  <si>
    <t>วิมลสิริ</t>
  </si>
  <si>
    <t>บุตรเกต</t>
  </si>
  <si>
    <t>คะนิ้ง</t>
  </si>
  <si>
    <t>ทุมแถว</t>
  </si>
  <si>
    <t>กัญญารัตน์</t>
  </si>
  <si>
    <t>มีแก้ว</t>
  </si>
  <si>
    <t>มะเฟือง</t>
  </si>
  <si>
    <t>คำสร้อย</t>
  </si>
  <si>
    <t>แสงสกุล</t>
  </si>
  <si>
    <t>นุชจรี</t>
  </si>
  <si>
    <t>อุดหนุน</t>
  </si>
  <si>
    <t>จิ๋ว</t>
  </si>
  <si>
    <t>ปาริชาติ</t>
  </si>
  <si>
    <t>พันธุ์ดี</t>
  </si>
  <si>
    <t>เหมียว</t>
  </si>
  <si>
    <t>รัตนมน</t>
  </si>
  <si>
    <t>สีทานอก</t>
  </si>
  <si>
    <t>ลัดดาวรรณ</t>
  </si>
  <si>
    <t>โยโพธิ์</t>
  </si>
  <si>
    <t>จันทร์พราว</t>
  </si>
  <si>
    <t>ผักกาด</t>
  </si>
  <si>
    <t>จันทร์ดัด</t>
  </si>
  <si>
    <t>อรวรรณ</t>
  </si>
  <si>
    <t>ขันที</t>
  </si>
  <si>
    <t>ดับเบิ้ลแอล</t>
  </si>
  <si>
    <t>หิรัญมูล</t>
  </si>
  <si>
    <t>ดรีมดรีม</t>
  </si>
  <si>
    <t>สิทธินนท์</t>
  </si>
  <si>
    <t>คงบัว</t>
  </si>
  <si>
    <t>บอล</t>
  </si>
  <si>
    <t>ชินดนัย</t>
  </si>
  <si>
    <t>พิมพกุล</t>
  </si>
  <si>
    <t>แฟร์</t>
  </si>
  <si>
    <t>นนทพัทธ์</t>
  </si>
  <si>
    <t>แสงอรุณ</t>
  </si>
  <si>
    <t>ต๊อบ</t>
  </si>
  <si>
    <t>ปฏิภาณ</t>
  </si>
  <si>
    <t>ไชยธรรมมา</t>
  </si>
  <si>
    <t>กีกี้</t>
  </si>
  <si>
    <t>ภัทรนันท์</t>
  </si>
  <si>
    <t>โพธิ์ศรี</t>
  </si>
  <si>
    <t>ปาร์ค</t>
  </si>
  <si>
    <t>ญาธิณี</t>
  </si>
  <si>
    <t>จันทร์พินิช</t>
  </si>
  <si>
    <t>กี้</t>
  </si>
  <si>
    <t>ธนพร</t>
  </si>
  <si>
    <t>แก้วดอนไพร</t>
  </si>
  <si>
    <t>พรรณวษา</t>
  </si>
  <si>
    <t>เผื่อแผ่</t>
  </si>
  <si>
    <t>พิยะดา</t>
  </si>
  <si>
    <t>ขันติวงค์</t>
  </si>
  <si>
    <t>ภัคจิรา</t>
  </si>
  <si>
    <t>สุขสบาย</t>
  </si>
  <si>
    <t>พีม</t>
  </si>
  <si>
    <t>วรรณิภา</t>
  </si>
  <si>
    <t>แดนรัก</t>
  </si>
  <si>
    <t>สุพิชชา</t>
  </si>
  <si>
    <t>จิตรโชติ</t>
  </si>
  <si>
    <t>เสาวภรณ์</t>
  </si>
  <si>
    <t>คุณุรัตน์</t>
  </si>
  <si>
    <t>มะปราง</t>
  </si>
  <si>
    <t>อรนุช</t>
  </si>
  <si>
    <t>ฝ้าย</t>
  </si>
  <si>
    <t>แก้วชะอุ่ม</t>
  </si>
  <si>
    <t>จุ๋ม</t>
  </si>
  <si>
    <t>กรรชฬิกาญจน์</t>
  </si>
  <si>
    <t>ชินบุตร</t>
  </si>
  <si>
    <t>ข้าวตัง</t>
  </si>
  <si>
    <t>นภาพร</t>
  </si>
  <si>
    <t>มาคะวงค์</t>
  </si>
  <si>
    <t>ปีใหม่</t>
  </si>
  <si>
    <t>ปณิดา</t>
  </si>
  <si>
    <t>นิลทัย</t>
  </si>
  <si>
    <t>รัสรินทร์</t>
  </si>
  <si>
    <t>บุญลีเลิศวงศ์</t>
  </si>
  <si>
    <t>อภิญญา</t>
  </si>
  <si>
    <t>ทำทวี</t>
  </si>
  <si>
    <t>ปอปลา</t>
  </si>
  <si>
    <t>สมรัตน์</t>
  </si>
  <si>
    <t>กุลวิภาวดี</t>
  </si>
  <si>
    <t>สุวนัน</t>
  </si>
  <si>
    <t>ศิริมาศ</t>
  </si>
  <si>
    <t>แนท</t>
  </si>
  <si>
    <t>สาขาวิชาศิลปะและการออกแบบ</t>
  </si>
  <si>
    <t>ปานตะวัน</t>
  </si>
  <si>
    <t>เอี่ยมสะอาด</t>
  </si>
  <si>
    <t>มิตรสินี</t>
  </si>
  <si>
    <t>สมบรรณ์</t>
  </si>
  <si>
    <t>โฟโมส</t>
  </si>
  <si>
    <t>กฤตภาส</t>
  </si>
  <si>
    <t>หันประดิษฐ์</t>
  </si>
  <si>
    <t>แคน</t>
  </si>
  <si>
    <t>กัมพล</t>
  </si>
  <si>
    <t>โสภี</t>
  </si>
  <si>
    <t>เรืองศรี</t>
  </si>
  <si>
    <t>บริวัตร</t>
  </si>
  <si>
    <t>รัตนวัน</t>
  </si>
  <si>
    <t>ฟีฟ่า</t>
  </si>
  <si>
    <t>บัญชา</t>
  </si>
  <si>
    <t>ไชยจักร</t>
  </si>
  <si>
    <t xml:space="preserve"> - </t>
  </si>
  <si>
    <t>เวียงคำ</t>
  </si>
  <si>
    <t>ใจกว้าง</t>
  </si>
  <si>
    <t>ภาพิล</t>
  </si>
  <si>
    <t>ภาเภา</t>
  </si>
  <si>
    <t>บัว</t>
  </si>
  <si>
    <t>สุพิชญา</t>
  </si>
  <si>
    <t>เครือคุณ</t>
  </si>
  <si>
    <t>ธรรมดวง</t>
  </si>
  <si>
    <t>LAGO วิทยาลัยกฎหมายและการปกครอง</t>
  </si>
  <si>
    <t>สาขาวิชานิติศาสตร์</t>
  </si>
  <si>
    <t>วันทวี</t>
  </si>
  <si>
    <t>รัชฎาภรณ์</t>
  </si>
  <si>
    <t>ขันชัย</t>
  </si>
  <si>
    <t>เกี้ยมอี๋</t>
  </si>
  <si>
    <t>เจษฎาภรณ์</t>
  </si>
  <si>
    <t>อินตะนัย</t>
  </si>
  <si>
    <t>เเตงโม</t>
  </si>
  <si>
    <t>พิชญวรรณ</t>
  </si>
  <si>
    <t>ผักไหม</t>
  </si>
  <si>
    <t>โอปอล์</t>
  </si>
  <si>
    <t>ธนาภา</t>
  </si>
  <si>
    <t>สายพิน</t>
  </si>
  <si>
    <t>สาขาวิชารัฐประศาสนศาสตร์</t>
  </si>
  <si>
    <t>วรรณรัตน์</t>
  </si>
  <si>
    <t>พงษ์วิเศษ</t>
  </si>
  <si>
    <t>ภัครมัย</t>
  </si>
  <si>
    <t>ทองพันชั่ง</t>
  </si>
  <si>
    <t>สาริณี</t>
  </si>
  <si>
    <t>ทองพิละ</t>
  </si>
  <si>
    <t>สกุณา</t>
  </si>
  <si>
    <t>คำเผือ</t>
  </si>
  <si>
    <t>วัชรพร</t>
  </si>
  <si>
    <t>อังกาบขาว</t>
  </si>
  <si>
    <t>หนุงหนิง</t>
  </si>
  <si>
    <t>ทองลือ</t>
  </si>
  <si>
    <t>อ้อแอ้</t>
  </si>
  <si>
    <t>นครินทร์</t>
  </si>
  <si>
    <t>จิกหาญ</t>
  </si>
  <si>
    <t>มาร์ช</t>
  </si>
  <si>
    <t>สาขาวิชารัฐศาสตร์</t>
  </si>
  <si>
    <t>ภัชราวรรณ</t>
  </si>
  <si>
    <t>จันทร์ธรรม</t>
  </si>
  <si>
    <t>พัด</t>
  </si>
  <si>
    <t>LASC คณะศิลปศาสตร์และวิทยาศาสตร์</t>
  </si>
  <si>
    <t>วิทยาศาสตร์สิ่งแวดล้อม</t>
  </si>
  <si>
    <t>วรรณอุบล</t>
  </si>
  <si>
    <t>มิ้ม</t>
  </si>
  <si>
    <t>จตุรงค์</t>
  </si>
  <si>
    <t>สกาย</t>
  </si>
  <si>
    <t>สาขาวิชาเทคโนโลยีการเกษตร</t>
  </si>
  <si>
    <t>ไชยคำ</t>
  </si>
  <si>
    <t>โก้</t>
  </si>
  <si>
    <t>พงศ์พิพัฒน์</t>
  </si>
  <si>
    <t>น้อยใส</t>
  </si>
  <si>
    <t>ลัทธพล</t>
  </si>
  <si>
    <t>ปานท่าไม้</t>
  </si>
  <si>
    <t>วรัญญู</t>
  </si>
  <si>
    <t>ข้าว</t>
  </si>
  <si>
    <t>ศุภวัฒน์</t>
  </si>
  <si>
    <t>อินทศรีนนท์</t>
  </si>
  <si>
    <t>เพียวริคุ</t>
  </si>
  <si>
    <t>อภิวิชญ์</t>
  </si>
  <si>
    <t>เนียมจันทร์</t>
  </si>
  <si>
    <t>ภรณ์ระวี</t>
  </si>
  <si>
    <t>สกุลนามรัตน์</t>
  </si>
  <si>
    <t>ก้าว</t>
  </si>
  <si>
    <t>วิรากานต์</t>
  </si>
  <si>
    <t>เกษี</t>
  </si>
  <si>
    <t>เฟรช</t>
  </si>
  <si>
    <t>ศศิมาพร</t>
  </si>
  <si>
    <t>อินทะวงศ์</t>
  </si>
  <si>
    <t>บวรกิจดำรงเลิศ</t>
  </si>
  <si>
    <t>อดิชัย</t>
  </si>
  <si>
    <t>แรงดี</t>
  </si>
  <si>
    <t>อาร์ม</t>
  </si>
  <si>
    <t>เนตรอัปสร</t>
  </si>
  <si>
    <t>จงคง</t>
  </si>
  <si>
    <t>กิติชัย</t>
  </si>
  <si>
    <t>เจียงวงค์</t>
  </si>
  <si>
    <t>ชัยณรงค์</t>
  </si>
  <si>
    <t>ธิติวุฒิ</t>
  </si>
  <si>
    <t>เนตรสาร</t>
  </si>
  <si>
    <t>ไชยมั่น</t>
  </si>
  <si>
    <t>เอ็ม</t>
  </si>
  <si>
    <t>วิศวะ</t>
  </si>
  <si>
    <t>ภาชู</t>
  </si>
  <si>
    <t>เฟิร์ส</t>
  </si>
  <si>
    <t>วีระวัฒน์</t>
  </si>
  <si>
    <t>สิทธิพงษ์</t>
  </si>
  <si>
    <t>มะลิต้น</t>
  </si>
  <si>
    <t>เกม</t>
  </si>
  <si>
    <t>กันทะสระ</t>
  </si>
  <si>
    <t>แฟ้ม</t>
  </si>
  <si>
    <t>จริยา</t>
  </si>
  <si>
    <t>แพทย์กลาง</t>
  </si>
  <si>
    <t>มิกบ</t>
  </si>
  <si>
    <t>จิราภรณ์</t>
  </si>
  <si>
    <t>จันทอง</t>
  </si>
  <si>
    <t>ทวีแสง</t>
  </si>
  <si>
    <t>เหมือนมาตย์</t>
  </si>
  <si>
    <t>ยุภา</t>
  </si>
  <si>
    <t>จันทเสน</t>
  </si>
  <si>
    <t>สรวงสุดา</t>
  </si>
  <si>
    <t>สีหาบุตร</t>
  </si>
  <si>
    <t>อุไรพร</t>
  </si>
  <si>
    <t>สุโข</t>
  </si>
  <si>
    <t>อิ๋ม</t>
  </si>
  <si>
    <t>โคตรคำ</t>
  </si>
  <si>
    <t>คุณากร</t>
  </si>
  <si>
    <t>สอนสุข</t>
  </si>
  <si>
    <t>กฤษฎาวัฒน์</t>
  </si>
  <si>
    <t>มังษา</t>
  </si>
  <si>
    <t>กิต</t>
  </si>
  <si>
    <t>วัชรพล</t>
  </si>
  <si>
    <t>บุญธรรม</t>
  </si>
  <si>
    <t>บุญส่ง</t>
  </si>
  <si>
    <t>บี</t>
  </si>
  <si>
    <t>จุฬารัตน์</t>
  </si>
  <si>
    <t>ทิพพรม</t>
  </si>
  <si>
    <t>วุฒิชา</t>
  </si>
  <si>
    <t>พาดี</t>
  </si>
  <si>
    <t>เป้</t>
  </si>
  <si>
    <t>เสาวลักษณ์</t>
  </si>
  <si>
    <t>อินทะ</t>
  </si>
  <si>
    <t>สิริลักษณ์</t>
  </si>
  <si>
    <t>ปฐมาวงค์</t>
  </si>
  <si>
    <t>เฟิน</t>
  </si>
  <si>
    <t>สาขาวิชาเทคโนโลยีคอมพิวเตอร์และดิจิทัล</t>
  </si>
  <si>
    <t>ภูมิพงศ์</t>
  </si>
  <si>
    <t>ศุภกร</t>
  </si>
  <si>
    <t>เถาว์คูณ</t>
  </si>
  <si>
    <t>ภูมิหรือพิ้ง</t>
  </si>
  <si>
    <t>ธรรมนูญ</t>
  </si>
  <si>
    <t>สิงห์หร่าย</t>
  </si>
  <si>
    <t>โจ้</t>
  </si>
  <si>
    <t>นายสิทธิพล</t>
  </si>
  <si>
    <t>สุคตะ</t>
  </si>
  <si>
    <t>ต๊ะ</t>
  </si>
  <si>
    <t>สุวิจักขณ์</t>
  </si>
  <si>
    <t>สีทาดี</t>
  </si>
  <si>
    <t>สุวิชชาบูรณ์</t>
  </si>
  <si>
    <t>เพชร</t>
  </si>
  <si>
    <t>ฤทธิไกร</t>
  </si>
  <si>
    <t>พวงเพ็ชร์</t>
  </si>
  <si>
    <t>มาคร์</t>
  </si>
  <si>
    <t>กิตติศักดิ์</t>
  </si>
  <si>
    <t>สร้อยสันเทศ</t>
  </si>
  <si>
    <t>ทินกร</t>
  </si>
  <si>
    <t>โพธิโสภา</t>
  </si>
  <si>
    <t>ปรัชญา</t>
  </si>
  <si>
    <t>ปะทิรัมย์</t>
  </si>
  <si>
    <t>เทียน</t>
  </si>
  <si>
    <t>พิมพ์สอน</t>
  </si>
  <si>
    <t>อมร</t>
  </si>
  <si>
    <t>ขานชัย</t>
  </si>
  <si>
    <t>เตอร์</t>
  </si>
  <si>
    <t>วรพล</t>
  </si>
  <si>
    <t>พรหมทอง</t>
  </si>
  <si>
    <t>สาขาวิชาเทคโนโลยีโยธาและสถาปัตยกรรม</t>
  </si>
  <si>
    <t>นันทะสิงห์</t>
  </si>
  <si>
    <t>เจ</t>
  </si>
  <si>
    <t>ประวิทธิ์</t>
  </si>
  <si>
    <t>ลาอำ</t>
  </si>
  <si>
    <t>วิท</t>
  </si>
  <si>
    <t>ยุทธชัย</t>
  </si>
  <si>
    <t>คณะนา</t>
  </si>
  <si>
    <t>ภูมิ</t>
  </si>
  <si>
    <t>วชิระ</t>
  </si>
  <si>
    <t>สีหะวงษ์</t>
  </si>
  <si>
    <t>เบท</t>
  </si>
  <si>
    <t>อัษฎา</t>
  </si>
  <si>
    <t>หาจักร์</t>
  </si>
  <si>
    <t>ธัญชนก</t>
  </si>
  <si>
    <t>จันทร์ศรี</t>
  </si>
  <si>
    <t>เบนซ์</t>
  </si>
  <si>
    <t>มะลิวัลย์</t>
  </si>
  <si>
    <t>เสมศรี</t>
  </si>
  <si>
    <t>ณัฐพร</t>
  </si>
  <si>
    <t>เกษร</t>
  </si>
  <si>
    <t>กรวิชญ์</t>
  </si>
  <si>
    <t>ชวดโท</t>
  </si>
  <si>
    <t>โต้ง</t>
  </si>
  <si>
    <t>กฤต</t>
  </si>
  <si>
    <t>บุตรเทวินทร์</t>
  </si>
  <si>
    <t>ชัยวัฒน์</t>
  </si>
  <si>
    <t>สอิ้งทอง</t>
  </si>
  <si>
    <t>ตี๋</t>
  </si>
  <si>
    <t>ณัฏฐกรณ์</t>
  </si>
  <si>
    <t>พิลา</t>
  </si>
  <si>
    <t>เจมส์ลี่</t>
  </si>
  <si>
    <t>ทวีชัย</t>
  </si>
  <si>
    <t>ดวงสีมา</t>
  </si>
  <si>
    <t>มอส</t>
  </si>
  <si>
    <t>แทนไท</t>
  </si>
  <si>
    <t>ปาชา</t>
  </si>
  <si>
    <t>ธีเร็กซ์</t>
  </si>
  <si>
    <t>พัฒนากร</t>
  </si>
  <si>
    <t>เสชัง</t>
  </si>
  <si>
    <t>มุ้ย</t>
  </si>
  <si>
    <t>ภูวศิษฐ์</t>
  </si>
  <si>
    <t>สรสุภพงศ์</t>
  </si>
  <si>
    <t>โฟล์ค</t>
  </si>
  <si>
    <t>อภิวัฒน์</t>
  </si>
  <si>
    <t>คำเก่ง</t>
  </si>
  <si>
    <t>ปัทนาวรรณ</t>
  </si>
  <si>
    <t>เทพขันธ์</t>
  </si>
  <si>
    <t>จิรังดา</t>
  </si>
  <si>
    <t>ภานุวัฒน์</t>
  </si>
  <si>
    <t>สอนมังคะละ</t>
  </si>
  <si>
    <t>ชานนท์</t>
  </si>
  <si>
    <t>รูปคุ้ม</t>
  </si>
  <si>
    <t>สาขาวิชาวิทยาการคอมพิวเตอร์</t>
  </si>
  <si>
    <t>ประสพผล</t>
  </si>
  <si>
    <t>ตาลหอม</t>
  </si>
  <si>
    <t>พีรพัฒน์</t>
  </si>
  <si>
    <t>สุทธปัญญา</t>
  </si>
  <si>
    <t>ตอนศรี</t>
  </si>
  <si>
    <t>ชนะไชย์</t>
  </si>
  <si>
    <t>เลิศสงคราม</t>
  </si>
  <si>
    <t>สายทอง</t>
  </si>
  <si>
    <t>ยุ</t>
  </si>
  <si>
    <t>สรยุทธ</t>
  </si>
  <si>
    <t>จันทร์สิทธิ์</t>
  </si>
  <si>
    <t>เชียร์</t>
  </si>
  <si>
    <t>สาขาวิชาวิทยาศาสตร์การกีฬา</t>
  </si>
  <si>
    <t>กัมปนาท</t>
  </si>
  <si>
    <t>บุ้งทอง</t>
  </si>
  <si>
    <t>กิตติพศ</t>
  </si>
  <si>
    <t>วงศ์ไชยา</t>
  </si>
  <si>
    <t>โบ๊ท</t>
  </si>
  <si>
    <t>คงอธิป</t>
  </si>
  <si>
    <t>ศรีทะรัง</t>
  </si>
  <si>
    <t>ณัฐพงษ์</t>
  </si>
  <si>
    <t>คงสง</t>
  </si>
  <si>
    <t>เน็ท</t>
  </si>
  <si>
    <t>ทศพล</t>
  </si>
  <si>
    <t>พรมมา</t>
  </si>
  <si>
    <t>ทศ</t>
  </si>
  <si>
    <t>ธนวิชญ์</t>
  </si>
  <si>
    <t>พี่เต้ย</t>
  </si>
  <si>
    <t>นิติรัตน์</t>
  </si>
  <si>
    <t>พิมสาร</t>
  </si>
  <si>
    <t>พิชัย</t>
  </si>
  <si>
    <t>เพ็งจันทร์</t>
  </si>
  <si>
    <t>ภัทรพล</t>
  </si>
  <si>
    <t>กำจร</t>
  </si>
  <si>
    <t>ภูมินทร</t>
  </si>
  <si>
    <t>ไกรสูรย์</t>
  </si>
  <si>
    <t>กัปตัน</t>
  </si>
  <si>
    <t>ศุภณัฐ</t>
  </si>
  <si>
    <t>ริมทอง</t>
  </si>
  <si>
    <t>เท็ดดี้</t>
  </si>
  <si>
    <t>สิทธิโชติ</t>
  </si>
  <si>
    <t>ราษเจริญ</t>
  </si>
  <si>
    <t>เบ็คเเฮ่ม</t>
  </si>
  <si>
    <t>เสฎฐวุฒิ</t>
  </si>
  <si>
    <t>สายบุญ</t>
  </si>
  <si>
    <t>อาร์ต</t>
  </si>
  <si>
    <t>อดิศร</t>
  </si>
  <si>
    <t>บรรทุมพร</t>
  </si>
  <si>
    <t>มิว</t>
  </si>
  <si>
    <t>เจนจิราภรณ์</t>
  </si>
  <si>
    <t>วิเชียร</t>
  </si>
  <si>
    <t>ป้าย</t>
  </si>
  <si>
    <t>ธิรารัตน์</t>
  </si>
  <si>
    <t>นิ่ม</t>
  </si>
  <si>
    <t>บุษบา</t>
  </si>
  <si>
    <t>ยอดพงษา</t>
  </si>
  <si>
    <t>มลฑิรา</t>
  </si>
  <si>
    <t>พอชาลี</t>
  </si>
  <si>
    <t>หลิง</t>
  </si>
  <si>
    <t>วรรณิษา</t>
  </si>
  <si>
    <t>วรีภรณ์</t>
  </si>
  <si>
    <t>แพงบุญ</t>
  </si>
  <si>
    <t>สุชาดา</t>
  </si>
  <si>
    <t>นามดี</t>
  </si>
  <si>
    <t>น้ำแข็ง</t>
  </si>
  <si>
    <t>สุนิษา</t>
  </si>
  <si>
    <t>บัวพันธ์</t>
  </si>
  <si>
    <t>นาคอ่อน</t>
  </si>
  <si>
    <t>แจ๋ม</t>
  </si>
  <si>
    <t>ห่อคำ</t>
  </si>
  <si>
    <t>จันทำ</t>
  </si>
  <si>
    <t>เซฟ</t>
  </si>
  <si>
    <t>ณัฐตพงษ์</t>
  </si>
  <si>
    <t>นรินทร์</t>
  </si>
  <si>
    <t>โบ้</t>
  </si>
  <si>
    <t>เนื้อขาว</t>
  </si>
  <si>
    <t>แก๊ปเปอร์</t>
  </si>
  <si>
    <t>ภานุภาส</t>
  </si>
  <si>
    <t>แพงภูงา</t>
  </si>
  <si>
    <t>เม่น</t>
  </si>
  <si>
    <t>วัชรินทร์</t>
  </si>
  <si>
    <t>บัวเจริญ</t>
  </si>
  <si>
    <t>ปู</t>
  </si>
  <si>
    <t>สุริยะ</t>
  </si>
  <si>
    <t>ไชยรัตน์</t>
  </si>
  <si>
    <t xml:space="preserve"> เข่ง</t>
  </si>
  <si>
    <t>เสฏฐวุฒิ</t>
  </si>
  <si>
    <t>ศรีกุดตุ้ม</t>
  </si>
  <si>
    <t>โปรเจค</t>
  </si>
  <si>
    <t>สุภลักษณ์</t>
  </si>
  <si>
    <t>ศรีมณี</t>
  </si>
  <si>
    <t>ปีโป้</t>
  </si>
  <si>
    <t>อรุณรัตน์</t>
  </si>
  <si>
    <t>ปัญญาวรรณ</t>
  </si>
  <si>
    <t>กร</t>
  </si>
  <si>
    <t>กิตติกร</t>
  </si>
  <si>
    <t>ขันแก้ว</t>
  </si>
  <si>
    <t>บ๋อม</t>
  </si>
  <si>
    <t>จิณห์นิภาโพธิ์ทอง</t>
  </si>
  <si>
    <t>จิน</t>
  </si>
  <si>
    <t>ฤทธิพงศ์</t>
  </si>
  <si>
    <t>จินดารัตน์</t>
  </si>
  <si>
    <t>ใจตรง</t>
  </si>
  <si>
    <t>สาขาวิชาวิทยาศาสตร์และเทคโนโลยีการอาหาร</t>
  </si>
  <si>
    <t>โชติมณี</t>
  </si>
  <si>
    <t>โพธิสาร</t>
  </si>
  <si>
    <t>ศิริกานดา</t>
  </si>
  <si>
    <t>จันทะแจ่ม</t>
  </si>
  <si>
    <t>แอนจี้</t>
  </si>
  <si>
    <t>สุจิรา</t>
  </si>
  <si>
    <t>ศรีดาชาติ</t>
  </si>
  <si>
    <t>ชัยอนันต์</t>
  </si>
  <si>
    <t>นัยนิตย์</t>
  </si>
  <si>
    <t>ถ้ง</t>
  </si>
  <si>
    <t>สาขาวิชาวิศวกรรมซอฟต์แวร์</t>
  </si>
  <si>
    <t>วันตะโคตร</t>
  </si>
  <si>
    <t>ภานุพงษ์</t>
  </si>
  <si>
    <t>วงศ์มั่น</t>
  </si>
  <si>
    <t>ต้น</t>
  </si>
  <si>
    <t>วาณิชยา</t>
  </si>
  <si>
    <t>คงเจริญ</t>
  </si>
  <si>
    <t>วิชญาพร</t>
  </si>
  <si>
    <t>กาละเมฆ</t>
  </si>
  <si>
    <t>มิ้นท์</t>
  </si>
  <si>
    <t>ประสงค์ทรัพย์</t>
  </si>
  <si>
    <t>สาขาวิชาสาธารณสุขชุมชน</t>
  </si>
  <si>
    <t>พิลาสลักษณ์</t>
  </si>
  <si>
    <t>จันทคาต</t>
  </si>
  <si>
    <t>นริศรา</t>
  </si>
  <si>
    <t>ไชยสน</t>
  </si>
  <si>
    <t>จันทร</t>
  </si>
  <si>
    <t>ธีรดา</t>
  </si>
  <si>
    <t>วิเศษสังข์</t>
  </si>
  <si>
    <t>นริสา</t>
  </si>
  <si>
    <t>กวาง</t>
  </si>
  <si>
    <t>ปัทมพร</t>
  </si>
  <si>
    <t>จริตรัมย์</t>
  </si>
  <si>
    <t>สมตาเต๊ะ</t>
  </si>
  <si>
    <t>ส้มโอ</t>
  </si>
  <si>
    <t>สามิลา</t>
  </si>
  <si>
    <t>กุ๊ก</t>
  </si>
  <si>
    <t>เจริญจิตร</t>
  </si>
  <si>
    <t>ป๊อบ</t>
  </si>
  <si>
    <t>รัตติกาล</t>
  </si>
  <si>
    <t>ทองแดง</t>
  </si>
  <si>
    <t>กาล</t>
  </si>
  <si>
    <t>ญาดา</t>
  </si>
  <si>
    <t>ดาแก้ว</t>
  </si>
  <si>
    <t>โอปอ</t>
  </si>
  <si>
    <t>ทาทอง</t>
  </si>
  <si>
    <t>ริน</t>
  </si>
  <si>
    <t>อรฤทัย</t>
  </si>
  <si>
    <t>ยอดสิงห์</t>
  </si>
  <si>
    <t>กิ๊ก</t>
  </si>
  <si>
    <t>ปิยมาภรณ์</t>
  </si>
  <si>
    <t>คงศรี</t>
  </si>
  <si>
    <t>พนารักษ์</t>
  </si>
  <si>
    <t>วรนุช</t>
  </si>
  <si>
    <t>คำประภา</t>
  </si>
  <si>
    <t>ณัฎฐนิช</t>
  </si>
  <si>
    <t>นิดหน่อย</t>
  </si>
  <si>
    <t>คมขำ</t>
  </si>
  <si>
    <t>น้ำเพชร</t>
  </si>
  <si>
    <t>ปรียานุช</t>
  </si>
  <si>
    <t>โปร่งจิตร</t>
  </si>
  <si>
    <t>สายป่าน</t>
  </si>
  <si>
    <t>วรรณิดา</t>
  </si>
  <si>
    <t>บุญแก้ว</t>
  </si>
  <si>
    <t>วรครุธ</t>
  </si>
  <si>
    <t>แสงระวี</t>
  </si>
  <si>
    <t>ฮวดสี</t>
  </si>
  <si>
    <t>อรุณี</t>
  </si>
  <si>
    <t>บุรมย์</t>
  </si>
  <si>
    <t>รถบาส</t>
  </si>
  <si>
    <t>อาริยา</t>
  </si>
  <si>
    <t>สำลี</t>
  </si>
  <si>
    <t>ธีรพัฒน์</t>
  </si>
  <si>
    <t>ศรีนามะ</t>
  </si>
  <si>
    <t>เอ็กซ์</t>
  </si>
  <si>
    <t>กาญจนา</t>
  </si>
  <si>
    <t>สุขเพิ่ม</t>
  </si>
  <si>
    <t>ปุ๊กกี้</t>
  </si>
  <si>
    <t>ณีรนุช</t>
  </si>
  <si>
    <t>สาจะลี</t>
  </si>
  <si>
    <t>นุช</t>
  </si>
  <si>
    <t>เบญจวรรณ</t>
  </si>
  <si>
    <t>สนิท</t>
  </si>
  <si>
    <t>แจง</t>
  </si>
  <si>
    <t>เปรมประภา</t>
  </si>
  <si>
    <t>มหานาม</t>
  </si>
  <si>
    <t>แต๊ก</t>
  </si>
  <si>
    <t>ภูษา</t>
  </si>
  <si>
    <t>อรทัย</t>
  </si>
  <si>
    <t>ดวงหิรัญ</t>
  </si>
  <si>
    <t>ออน</t>
  </si>
  <si>
    <t>อลิษา</t>
  </si>
  <si>
    <t>วิเศษชาติ</t>
  </si>
  <si>
    <t>นาว</t>
  </si>
  <si>
    <t>วิชบาทิพย์</t>
  </si>
  <si>
    <t>พวงมะลิ</t>
  </si>
  <si>
    <t>สาขาวิทยาศาสตร์สิ่งแวดล้อม</t>
  </si>
  <si>
    <t>สุคนทิพย์</t>
  </si>
  <si>
    <t>ชูขุนทด</t>
  </si>
  <si>
    <t xml:space="preserve">ธนาศิริ </t>
  </si>
  <si>
    <t>จารักษ์</t>
  </si>
  <si>
    <t>คิง</t>
  </si>
  <si>
    <t>สาขาเทคโนโลยีคอมพิวเตอร์และดิจิทัล</t>
  </si>
  <si>
    <t>KSFC ฅนสร้างฝัน</t>
  </si>
  <si>
    <t>รวมทั้งหมด</t>
  </si>
  <si>
    <t>คน</t>
  </si>
  <si>
    <t>นักศึกษาที่ผ่าน</t>
  </si>
  <si>
    <t>นักศึกษาที่ไม่ผ่าน</t>
  </si>
  <si>
    <t>รหัสนักศึกษา</t>
  </si>
  <si>
    <t>ประทับเวลา</t>
  </si>
  <si>
    <t>ที่อยู่อีเมล</t>
  </si>
  <si>
    <t>คำนำหน้าชื่อ</t>
  </si>
  <si>
    <t>ชื่อ-สกุล</t>
  </si>
  <si>
    <t>เบอร์โทรศัพท์</t>
  </si>
  <si>
    <t>Facebook</t>
  </si>
  <si>
    <t>ภาพเข้าร่วมกิจกรรม*</t>
  </si>
  <si>
    <t>ภาพการเข้าร่วมกิจกรรม</t>
  </si>
  <si>
    <t>สาขาวิชา</t>
  </si>
  <si>
    <t>suthidaa2104@gmail.com</t>
  </si>
  <si>
    <t>สุธิดา ดวงมณี</t>
  </si>
  <si>
    <t>ปี 1</t>
  </si>
  <si>
    <t>คณะบริหารธุรกิจและการบัญชี</t>
  </si>
  <si>
    <t>การตลาด</t>
  </si>
  <si>
    <t>0617093217</t>
  </si>
  <si>
    <t>Suthida Suthida</t>
  </si>
  <si>
    <t>https://drive.google.com/open?id=1b6H_SmUwsqLkoy8J9g_teLVEZe8Egyz9</t>
  </si>
  <si>
    <t>manita33000@gmail.com</t>
  </si>
  <si>
    <t>มานิตา คำลอย</t>
  </si>
  <si>
    <t>ปี 3</t>
  </si>
  <si>
    <t>คณะครุศาสตร์</t>
  </si>
  <si>
    <t>ภาษาอังกฤษ</t>
  </si>
  <si>
    <t>0636762618</t>
  </si>
  <si>
    <t>Marik mixx</t>
  </si>
  <si>
    <t>https://drive.google.com/open?id=1Hh1VgXUpYI6m_e52cYbtEztGpme1UPGw</t>
  </si>
  <si>
    <t>123somsomsom.o123@gmail.com</t>
  </si>
  <si>
    <t>ภัชรินทร์ ปรางมาศ</t>
  </si>
  <si>
    <t>ปี 2</t>
  </si>
  <si>
    <t>สังคมศึกษา</t>
  </si>
  <si>
    <t>0832012059</t>
  </si>
  <si>
    <t>ส้ม ที่แปลว่าเปรี้ยว'วว</t>
  </si>
  <si>
    <t>https://drive.google.com/open?id=1nzvH1PLJCxQPjZmBMrhnTvFdsjGeSFY-</t>
  </si>
  <si>
    <t>supatipkantinan@gmail.com</t>
  </si>
  <si>
    <t>กันตินันท์ สุภาทิพย์</t>
  </si>
  <si>
    <t>อังกฤษ</t>
  </si>
  <si>
    <t>0810826401</t>
  </si>
  <si>
    <t>กันต์ กันต์</t>
  </si>
  <si>
    <t>https://drive.google.com/open?id=1e1pOmYLJEYmBSjJH-dhp3Rjwb3dsQf4Y</t>
  </si>
  <si>
    <t>gallayakorn2547@gmail.com</t>
  </si>
  <si>
    <t>กัลยกร เถื่อนสุข</t>
  </si>
  <si>
    <t>การบัญชี</t>
  </si>
  <si>
    <t>0954351827</t>
  </si>
  <si>
    <t>Gan Ang</t>
  </si>
  <si>
    <t>ไม่มี</t>
  </si>
  <si>
    <t>https://drive.google.com/open?id=15pMW941xHOvpk8F87t8PjSxvh7IEqC2l</t>
  </si>
  <si>
    <t>patcharwan18@gmail.com</t>
  </si>
  <si>
    <t>ภัชราวรรณ จันทร์ธรรม</t>
  </si>
  <si>
    <t>คณะศิลปศาสตร์และวิทยาศาสตร์</t>
  </si>
  <si>
    <t>0910416457</t>
  </si>
  <si>
    <t>พัด ภัชราวรรณ</t>
  </si>
  <si>
    <t>.</t>
  </si>
  <si>
    <t>https://drive.google.com/open?id=1Ypm_6GQvBt9r_TyiZnW3f5TnZXW2Uosl</t>
  </si>
  <si>
    <t>nakarin_mas54@hotmail.com</t>
  </si>
  <si>
    <t>นครินทร์ จิกหาญ</t>
  </si>
  <si>
    <t>ปี 4</t>
  </si>
  <si>
    <t>วิทยาลัยกฎหมายเเละการปกครอง</t>
  </si>
  <si>
    <t>รัฐศาสตร์</t>
  </si>
  <si>
    <t>0619726547</t>
  </si>
  <si>
    <t>March NJ</t>
  </si>
  <si>
    <t>https://drive.google.com/open?id=1aY5Q0TAYzeyFtD8WOoX04n2DAdVgqCcw</t>
  </si>
  <si>
    <t>stu6412269125@sskru.ac.th</t>
  </si>
  <si>
    <t>สุวิจักขณ์ สีทาดี</t>
  </si>
  <si>
    <t>เทคโนโลยีคอมพิวเตอร์และดิจิทัล</t>
  </si>
  <si>
    <t>0822604805</t>
  </si>
  <si>
    <t>suwijak seethrdi</t>
  </si>
  <si>
    <t>https://drive.google.com/open?id=1uC14fIcsodOjG6vzrWhPbZYE-DYRX2Qq</t>
  </si>
  <si>
    <t>TikTokBunmat007@gmail.com</t>
  </si>
  <si>
    <t>สถิตย์ บุญมาตย์</t>
  </si>
  <si>
    <t>ดนตรีศึกษา</t>
  </si>
  <si>
    <t>0855908389</t>
  </si>
  <si>
    <t>ติ๊ก’กต๊อก’ก</t>
  </si>
  <si>
    <t>https://drive.google.com/open?id=1XhR1y3u1KCOez297sU7JlKcReaV_NjD0</t>
  </si>
  <si>
    <t>waranya.ak888@gmail.com</t>
  </si>
  <si>
    <t>วรัญญา โคตรคำ</t>
  </si>
  <si>
    <t>เทคโนโลยีการเกษตร</t>
  </si>
  <si>
    <t>0650185359</t>
  </si>
  <si>
    <t>Ak</t>
  </si>
  <si>
    <t>💖</t>
  </si>
  <si>
    <t>https://drive.google.com/open?id=1337ouaTkafN8Tkm0rc-eLhdxwG9yUmga</t>
  </si>
  <si>
    <t>plant002255@gmail.com</t>
  </si>
  <si>
    <t>มงคล มะเดื่อ</t>
  </si>
  <si>
    <t>คอมพิวเตอร์ศึกษา</t>
  </si>
  <si>
    <t>0637819030</t>
  </si>
  <si>
    <t xml:space="preserve">Mongkhon Maduea </t>
  </si>
  <si>
    <t>https://drive.google.com/open?id=1xEAnELYHvkZg7iPfKsnRHZFTLsAtRnHx</t>
  </si>
  <si>
    <t>tirkanahtmosas@gmail.com</t>
  </si>
  <si>
    <t>ธณกฤษณ์ สาโสม</t>
  </si>
  <si>
    <t>0804212462</t>
  </si>
  <si>
    <t>Bosz Thanakrit</t>
  </si>
  <si>
    <t>https://drive.google.com/open?id=1nM9vgps86cFe51pw17LyzpsUjj34iteb</t>
  </si>
  <si>
    <t>Santipakika04@gmail.com</t>
  </si>
  <si>
    <t>สันติ ปะกิคา</t>
  </si>
  <si>
    <t>0633725874</t>
  </si>
  <si>
    <t>Santi Micah Pakika</t>
  </si>
  <si>
    <t>รักคับ จุ๊บ</t>
  </si>
  <si>
    <t>https://drive.google.com/open?id=181G3xnBseSlJX2M0GpeefnCPKxfQDCCK</t>
  </si>
  <si>
    <t>stu6412269112@sskru.ac.th</t>
  </si>
  <si>
    <t>ธรรมนูญ สิงห์หร่าย</t>
  </si>
  <si>
    <t>0630317454</t>
  </si>
  <si>
    <t>Thammanoon singrai</t>
  </si>
  <si>
    <t>-</t>
  </si>
  <si>
    <t>https://drive.google.com/open?id=1LK-4regr2K4dBU9UXFBuu_kK_yylnRd3</t>
  </si>
  <si>
    <t>waraporn15082546@gmail.com</t>
  </si>
  <si>
    <t>วราภรณ์ ฤทธิเดช</t>
  </si>
  <si>
    <t>คณิตศาสตร์</t>
  </si>
  <si>
    <t>0829615386</t>
  </si>
  <si>
    <t xml:space="preserve">Waraporn  Rittidech </t>
  </si>
  <si>
    <t>https://drive.google.com/open?id=1ByK6-MbvhEnACnx6ugQVDeKEzuRqcAjg</t>
  </si>
  <si>
    <t>suphanath.teddy12@gmail.com</t>
  </si>
  <si>
    <t>ศุภณัฐ ริมทอง</t>
  </si>
  <si>
    <t>วิทศาสตร์การกีฬา</t>
  </si>
  <si>
    <t>0946798490</t>
  </si>
  <si>
    <t>Suphanath Rimthong</t>
  </si>
  <si>
    <t>https://drive.google.com/open?id=1c8ORUJ7oSzmUVKjqQLub9qX1hZAc1ejo</t>
  </si>
  <si>
    <t>wariporn282545@gmail.com</t>
  </si>
  <si>
    <t>วรีภรณ์  แพงบุญ</t>
  </si>
  <si>
    <t>วิทยาศาสตร์การกีฬา</t>
  </si>
  <si>
    <t>0982763287</t>
  </si>
  <si>
    <t>เนย ยฯ.</t>
  </si>
  <si>
    <t>https://drive.google.com/open?id=1DkZg1AbpyYCrxZjihCmQtYYE50uh42Y7</t>
  </si>
  <si>
    <t>bow040260@gmail.com</t>
  </si>
  <si>
    <t>จุฑามาศ ด่านกระโทก</t>
  </si>
  <si>
    <t>บัญชี</t>
  </si>
  <si>
    <t>0970610574</t>
  </si>
  <si>
    <t xml:space="preserve">Jutamas Dankratok </t>
  </si>
  <si>
    <t>หนาวค่ะ</t>
  </si>
  <si>
    <t>https://drive.google.com/open?id=1Rxj7Ixbpq3jhRbVszyoUDyxstmJcRVuz</t>
  </si>
  <si>
    <t>nuchchalee.audn64@sskru.ac.th</t>
  </si>
  <si>
    <t>นุชจรี อุดหนุน</t>
  </si>
  <si>
    <t>คณะมนุษยศาสตร์เเละสังคมศาสตร์</t>
  </si>
  <si>
    <t>ภาษาอังกฤษธุรกิจ</t>
  </si>
  <si>
    <t>0653412312</t>
  </si>
  <si>
    <t xml:space="preserve">Nuchchalee Audnun </t>
  </si>
  <si>
    <t>https://drive.google.com/open?id=1of1qBP9_m3Hj4neGOeMfa8bjkKsYfu9S</t>
  </si>
  <si>
    <t>chaiwatt45321@gmail.com</t>
  </si>
  <si>
    <t>ชัยวัฒน์ สอิ้งทอง</t>
  </si>
  <si>
    <t>เทคโนโลยีโยธาเเละสถาปัตยกรรม</t>
  </si>
  <si>
    <t>0932209723</t>
  </si>
  <si>
    <t>หิวข้าว</t>
  </si>
  <si>
    <t>https://drive.google.com/open?id=1r3cTlXkdWpb9DisBaB_So8CIhQE5wo1_</t>
  </si>
  <si>
    <t>stu6410488203@sskru.ac.th</t>
  </si>
  <si>
    <t>ณรงค์ฤทธิ์ อาจพันธ์</t>
  </si>
  <si>
    <t>0620848685</t>
  </si>
  <si>
    <t xml:space="preserve">Narongrit Ahtpan </t>
  </si>
  <si>
    <t>https://drive.google.com/open?id=1TY067jVhjPPdlbKk2hZHx3GArudBQGUj</t>
  </si>
  <si>
    <t>jrptoey02@gmail.com</t>
  </si>
  <si>
    <t>จิราภา สารพล</t>
  </si>
  <si>
    <t>0983165876</t>
  </si>
  <si>
    <t xml:space="preserve">Jirapa Saraphol </t>
  </si>
  <si>
    <t>สู้ๆนะคะคณะกรรมการทุกคน เป็นกำลังใจให้✌🏻</t>
  </si>
  <si>
    <t>https://drive.google.com/open?id=1T8nPpghfx2nToRntzi20h_UEsy6YeZF7</t>
  </si>
  <si>
    <t>aumchi101043@gmail.com</t>
  </si>
  <si>
    <t>พรชิตา อ้วนใหญ่</t>
  </si>
  <si>
    <t>ภาษาจีน</t>
  </si>
  <si>
    <t>0961969113</t>
  </si>
  <si>
    <t>Aum phornchita</t>
  </si>
  <si>
    <t>https://drive.google.com/open?id=19uZJoSYegtiFMmpIsPSgKq-aNHdk6NhQ</t>
  </si>
  <si>
    <t>chomphunik2285@gmail.com</t>
  </si>
  <si>
    <t>ชมพูนิกข์ เกษรสร้อย</t>
  </si>
  <si>
    <t>0928946200</t>
  </si>
  <si>
    <t>Chomphunik Kesornsoi</t>
  </si>
  <si>
    <t>https://drive.google.com/open?id=1b0L44RRq200vtIUEuMhefxGTCHww0w0V</t>
  </si>
  <si>
    <t>zazamondew1234@gmail.com</t>
  </si>
  <si>
    <t>ชาญยุทธ ศรีเลิศ</t>
  </si>
  <si>
    <t>0654547918</t>
  </si>
  <si>
    <t xml:space="preserve">Phyme Chanyutsrilert </t>
  </si>
  <si>
    <t>จุ๊บๆ</t>
  </si>
  <si>
    <t>https://drive.google.com/open?id=1Tv_cSZoXgjxlZG9P9dYOgrXiIzLCJn9r</t>
  </si>
  <si>
    <t>thichanon.sareebut@gmail.com</t>
  </si>
  <si>
    <t>ทิชานนท์ สารีบุตร</t>
  </si>
  <si>
    <t>0956044477</t>
  </si>
  <si>
    <t>Thichanon  sareebut</t>
  </si>
  <si>
    <t>https://drive.google.com/open?id=1PiuuwmNADQ9cXhZMHNMjTfP7_auPVZoe</t>
  </si>
  <si>
    <t>mokpanth5028@gmail.com</t>
  </si>
  <si>
    <t>ฉัตรดนัย พันโท</t>
  </si>
  <si>
    <t>0933415028</t>
  </si>
  <si>
    <t>Saimork catdanai</t>
  </si>
  <si>
    <t>https://drive.google.com/open?id=11ucfB9JaxGr0HdmwmqarpQjTuHcntUCz</t>
  </si>
  <si>
    <t>sunitsa.phas63@sskru.ac.th</t>
  </si>
  <si>
    <t>สุนิสสา ภาษี</t>
  </si>
  <si>
    <t>0981129445</t>
  </si>
  <si>
    <t>Sunitsa phasee</t>
  </si>
  <si>
    <t>https://drive.google.com/open?id=1MFpEMbJ1ew9LZJ71V7N9JdNgBYDXZVKK</t>
  </si>
  <si>
    <t>pee74698@gmail.com</t>
  </si>
  <si>
    <t>นิติรัตน์  พิมสาร</t>
  </si>
  <si>
    <t>0959391748</t>
  </si>
  <si>
    <t xml:space="preserve">Nitirach Pimsarn </t>
  </si>
  <si>
    <t>https://drive.google.com/open?id=1nwA1LwlyDRZ168N-o5MDUZkyTnDQHC0j</t>
  </si>
  <si>
    <t>wrrnisanamwnga@gmail.com</t>
  </si>
  <si>
    <t>วรรณิษา นามวงศ์</t>
  </si>
  <si>
    <t>0973429314</t>
  </si>
  <si>
    <t xml:space="preserve">Wannisa Namwong </t>
  </si>
  <si>
    <t>https://drive.google.com/open?id=1M9cAZclnbS8E7HQ2kuY_yj8BH8U-Z9Rb</t>
  </si>
  <si>
    <t>bladedragonred118@gmail.com</t>
  </si>
  <si>
    <t>ประสพผล ตาลหอม</t>
  </si>
  <si>
    <t>วิทยาการคอมพิวเตอร์</t>
  </si>
  <si>
    <t>0649659703</t>
  </si>
  <si>
    <t>Phi Prasopphol</t>
  </si>
  <si>
    <t>https://drive.google.com/open?id=1oAX00iV8nnKqHPqyd8Yl6uOQw4KEfRzb</t>
  </si>
  <si>
    <t>sriin39954@gmail.com</t>
  </si>
  <si>
    <t>กฤษณพล ศรีอินทร์</t>
  </si>
  <si>
    <t>0902358894</t>
  </si>
  <si>
    <t>Tar Kritsanapon</t>
  </si>
  <si>
    <t>พี่ต้าหล่อมากครับ</t>
  </si>
  <si>
    <t>https://drive.google.com/open?id=1UTQpFwDdrNiuKSlCzmj5-D49e_063gSJ</t>
  </si>
  <si>
    <t>sudarat63121@gmail.com</t>
  </si>
  <si>
    <t>สุดารัตน์ ธรรมวัตร</t>
  </si>
  <si>
    <t>0660201623</t>
  </si>
  <si>
    <t>https://drive.google.com/open?id=1aOZGTKbTwk98omonGbqP1J_9-FIS-vkk</t>
  </si>
  <si>
    <t>jirapat.prom63@sskru.ac.th</t>
  </si>
  <si>
    <t>จิรภัทร์ พรหมจักร</t>
  </si>
  <si>
    <t>คณิตศาตร์</t>
  </si>
  <si>
    <t>0993404480</t>
  </si>
  <si>
    <t>อัง กอ.</t>
  </si>
  <si>
    <t>https://drive.google.com/open?id=1jna8YkRk40GmIuWq_ZuQGOuPxU7QWhND</t>
  </si>
  <si>
    <t>benyaphanamwong8@gmail.com</t>
  </si>
  <si>
    <t>เบญญาภา นามวงศ์</t>
  </si>
  <si>
    <t>0935676966</t>
  </si>
  <si>
    <t xml:space="preserve">Benyapha Namwong </t>
  </si>
  <si>
    <t>https://drive.google.com/open?id=1Qs9IBaQHqPumgoptEOkDLJQwoWRPud21</t>
  </si>
  <si>
    <t>wara240847@gmail.com</t>
  </si>
  <si>
    <t>วรัญญา จำปาใด</t>
  </si>
  <si>
    <t>0657450183</t>
  </si>
  <si>
    <t>ปะ แป้ง</t>
  </si>
  <si>
    <t>https://drive.google.com/open?id=1ltdDJ8Hr9PLQXWQx7CYmrPhc5kOOEhAt</t>
  </si>
  <si>
    <t>piyadakantiwong2@gmail.com</t>
  </si>
  <si>
    <t>พิยะดา ขันติวงค์</t>
  </si>
  <si>
    <t>0934946085</t>
  </si>
  <si>
    <t xml:space="preserve">Piyada Kantiwong </t>
  </si>
  <si>
    <t>https://drive.google.com/open?id=1kepE9IrL1KPiijYG08Oixmr7ef6X0ncC</t>
  </si>
  <si>
    <t>stu6412236126@sskru.ac.th</t>
  </si>
  <si>
    <t>สโรชา สิงห์สวัสดิ์</t>
  </si>
  <si>
    <t>การประถมศึกษา</t>
  </si>
  <si>
    <t>0853578563</t>
  </si>
  <si>
    <t>PM sarocha</t>
  </si>
  <si>
    <t>https://drive.google.com/open?id=12lPhnYbHk7gkGgVuRtkdGwhxEr4o7bO3</t>
  </si>
  <si>
    <t>bumpipat3@gmail.com</t>
  </si>
  <si>
    <t>พิพัฒน์ ดวงอินทร์</t>
  </si>
  <si>
    <t>0651092162</t>
  </si>
  <si>
    <t>บั้ม พิพัฒน์</t>
  </si>
  <si>
    <t>https://drive.google.com/open?id=1R3YwjyMSXHHykIgZxqEdOyNbfvajmvbJ</t>
  </si>
  <si>
    <t>std33878@ssk.ac.th</t>
  </si>
  <si>
    <t>กนกอร บุกทะเล</t>
  </si>
  <si>
    <t>0943071309</t>
  </si>
  <si>
    <t>อา’รอม</t>
  </si>
  <si>
    <t>https://drive.google.com/open?id=1GihVzIKzryJUAAdYYLZDb5vBlgd4C_lE</t>
  </si>
  <si>
    <t>tanawatsodapat@gmail.co</t>
  </si>
  <si>
    <t>ธนวัฒน์ โสดาพัฒน์</t>
  </si>
  <si>
    <t>0637288781</t>
  </si>
  <si>
    <t>https://drive.google.com/open?id=1178I9qHFWn5z4NTVvYqiO9OTVwFRkYv9</t>
  </si>
  <si>
    <t>stu6412236205@sskru.ac.th</t>
  </si>
  <si>
    <t>เกตวลี   ไกรษี</t>
  </si>
  <si>
    <t>0887014394</t>
  </si>
  <si>
    <t xml:space="preserve">Ketwali Kraisi </t>
  </si>
  <si>
    <t>https://drive.google.com/open?id=1ehE7f0fEhpeUx2M3QaJVyaY_eApV2L4I</t>
  </si>
  <si>
    <t>stu6412269124@sskru.ac.th</t>
  </si>
  <si>
    <t>สิทธิพล สุคตะ</t>
  </si>
  <si>
    <t>0933214656</t>
  </si>
  <si>
    <t>https://drive.google.com/open?id=1JpIkQGpX43QKXOTSQH5xRWL-D4tErpqQ</t>
  </si>
  <si>
    <t>kampanat.oum2545@gmail.com</t>
  </si>
  <si>
    <t>กัมปนาท บุ้งทอง</t>
  </si>
  <si>
    <t>0925865061</t>
  </si>
  <si>
    <t>ดีครับ</t>
  </si>
  <si>
    <t>https://drive.google.com/open?id=1RZkgemREQF_YUgvqeoP3ZRs8Uz08TrEa</t>
  </si>
  <si>
    <t>meejirayu68@gmail.com</t>
  </si>
  <si>
    <t>จิรายุ มีวงษ์</t>
  </si>
  <si>
    <t>0958091422</t>
  </si>
  <si>
    <t>Pang jira</t>
  </si>
  <si>
    <t>โสดเกิ้นนน</t>
  </si>
  <si>
    <t>https://drive.google.com/open?id=1Mg9G5C2cROYMhfvq-gfz95eeCIpf1m-v</t>
  </si>
  <si>
    <t>bnm25786@gmail.com</t>
  </si>
  <si>
    <t>อารยา ศรีเมือง</t>
  </si>
  <si>
    <t>เทคโนโลยีโยธาและสถาปัตยกรรม</t>
  </si>
  <si>
    <t>0914687091</t>
  </si>
  <si>
    <t xml:space="preserve">Arraya Srimueang </t>
  </si>
  <si>
    <t>https://drive.google.com/open?id=1N_xO8M2RdRqjBN5HjzkvSLIFku6J6n9V</t>
  </si>
  <si>
    <t>sasitorn.kunthong@gmail.com</t>
  </si>
  <si>
    <t>ศศิธร กันทอง</t>
  </si>
  <si>
    <t>0809736389</t>
  </si>
  <si>
    <t>Sasitorn Kunthong</t>
  </si>
  <si>
    <t>https://drive.google.com/open?id=1rnxwyHQles3VhnMmPmRAJcH03Gk-09Oz</t>
  </si>
  <si>
    <t>bothailand2545@gmail.com</t>
  </si>
  <si>
    <t>ลัดดาวรรณโยโพธิ์</t>
  </si>
  <si>
    <t>ภาษาอังกฤษธุรกิจห้อง1</t>
  </si>
  <si>
    <t>0982684496</t>
  </si>
  <si>
    <t xml:space="preserve">Laddawan Yopho </t>
  </si>
  <si>
    <t>ไม่มีจ้า</t>
  </si>
  <si>
    <t>https://drive.google.com/open?id=1Pi1Vi2vzAwmTz2jG_q1HuchqAPQCt7fd</t>
  </si>
  <si>
    <t>expchikgen@gmail.com</t>
  </si>
  <si>
    <t>ชานนท์ รูปคุ้ม</t>
  </si>
  <si>
    <t>0902397295</t>
  </si>
  <si>
    <t xml:space="preserve">chanon roopkhum </t>
  </si>
  <si>
    <t>https://drive.google.com/open?id=1jgEJ7cCKpkkvqCewdkJo2yaWPdehrlhF</t>
  </si>
  <si>
    <t>deezdeez26@gmail.com</t>
  </si>
  <si>
    <t>พินทุสร ศรีระษา</t>
  </si>
  <si>
    <t>0834912065</t>
  </si>
  <si>
    <t>Ps Sweetsound</t>
  </si>
  <si>
    <t>https://drive.google.com/open?id=1yJZXM9rW3tBMo-_1TkTdD4Lilqv_zJUe</t>
  </si>
  <si>
    <t>pornnapaboss@gmail.com</t>
  </si>
  <si>
    <t>พรนภา ระหาร</t>
  </si>
  <si>
    <t>0944729760</t>
  </si>
  <si>
    <t>Pornnapa Rahan</t>
  </si>
  <si>
    <t>ไม่บอกกกกหรอกเขิน</t>
  </si>
  <si>
    <t>https://drive.google.com/open?id=1Oxuj9SKizh38062xpmh5NQJk1Dvkx6km</t>
  </si>
  <si>
    <t>narintonchaiyasanbenz@gmail.com</t>
  </si>
  <si>
    <t>นรินทร ไชยสาร</t>
  </si>
  <si>
    <t>ภาษาไทย</t>
  </si>
  <si>
    <t>0967407291</t>
  </si>
  <si>
    <t xml:space="preserve">Benz Narinton Chaiyasan </t>
  </si>
  <si>
    <t>พี่ ๆ น่ารักมากเลยค่ะ</t>
  </si>
  <si>
    <t>https://drive.google.com/open?id=1SuaGR2RVigXeDUX9RtHe-bxqP1GZc8eq</t>
  </si>
  <si>
    <t>tangmo8739@gmail.com</t>
  </si>
  <si>
    <t>เจษฎาภรณ์ อินตะนัย</t>
  </si>
  <si>
    <t>นิติศาสตร์</t>
  </si>
  <si>
    <t>0929731136</t>
  </si>
  <si>
    <t>Tangmo intanai</t>
  </si>
  <si>
    <t>https://drive.google.com/open?id=1XGbwHVaa7kDITz3EQ2xIH6iYAPPXTQy-</t>
  </si>
  <si>
    <t>t4pongtanu@gmail.com</t>
  </si>
  <si>
    <t>ธนานันท์ พงษ์ธนู</t>
  </si>
  <si>
    <t>0832750343</t>
  </si>
  <si>
    <t>https://drive.google.com/open?id=1CKB8cq36L2BXSUbJX_Zm7Q88YyQLYbPY</t>
  </si>
  <si>
    <t>mewwachi@gmail.com</t>
  </si>
  <si>
    <t>วชิรญา บุญประสพ</t>
  </si>
  <si>
    <t>0998736542</t>
  </si>
  <si>
    <t>Mew wcry</t>
  </si>
  <si>
    <t>https://drive.google.com/open?id=1RKmv183WPWyP6qQlszDMQX4zTony8qSo</t>
  </si>
  <si>
    <t>Mongkontik0314@gmail.com</t>
  </si>
  <si>
    <t>มงคล สุภะโกศล</t>
  </si>
  <si>
    <t>0650834434</t>
  </si>
  <si>
    <t>Mongkon Suphakoson</t>
  </si>
  <si>
    <t>https://drive.google.com/open?id=1fFhb2G_JK_MWWQoKiI0P7HMMU98LRNi8</t>
  </si>
  <si>
    <t>onanong.srim63@sskru.ac.th</t>
  </si>
  <si>
    <t>อรอนงค์ ศรีมาลา</t>
  </si>
  <si>
    <t>0989354250</t>
  </si>
  <si>
    <t>Bai Fern</t>
  </si>
  <si>
    <t>https://drive.google.com/open?id=1KFneMy0QBl0Enl2m_kS-ysf2PvrZHWyX</t>
  </si>
  <si>
    <t>worarat.saen63@sskru.ac.th</t>
  </si>
  <si>
    <t>วรรัตน์ แสงมาศ</t>
  </si>
  <si>
    <t>0656674073</t>
  </si>
  <si>
    <t>Worarat Saengmas</t>
  </si>
  <si>
    <t>https://drive.google.com/open?id=19MNrVdD-km2rE4HSzzIWXkuuoKRnlNm5</t>
  </si>
  <si>
    <t>stu6410633113@sskru.ac.th</t>
  </si>
  <si>
    <t>กัตติกา  สีมาขันธ์</t>
  </si>
  <si>
    <t>0649836246</t>
  </si>
  <si>
    <t>https://drive.google.com/open?id=1YXVEJhmt3TKQooDIdI_SzxB20p1H8cZ4</t>
  </si>
  <si>
    <t>aethichaaa@gmail.com</t>
  </si>
  <si>
    <t>ชลธิชา จันทร์หอม</t>
  </si>
  <si>
    <t>0645653046</t>
  </si>
  <si>
    <t>Chonthicha chanhom</t>
  </si>
  <si>
    <t>https://drive.google.com/open?id=1OMJNft5RHCZkh02YxukH8tEJS_m32tCK</t>
  </si>
  <si>
    <t>peeradboonnet@gmail.com</t>
  </si>
  <si>
    <t>พีระเดช บุญเนตร</t>
  </si>
  <si>
    <t>0648738065</t>
  </si>
  <si>
    <t>https://drive.google.com/open?id=1yA50Lqcpy2Ye63OWATPgoqNxR2M7VvHy</t>
  </si>
  <si>
    <t>stu6412236113@sskru.ac.th</t>
  </si>
  <si>
    <t>ธนิตา วงษ์แสง</t>
  </si>
  <si>
    <t>092-597-1819</t>
  </si>
  <si>
    <t xml:space="preserve">Thani’ta Wongsaeng </t>
  </si>
  <si>
    <t>https://drive.google.com/open?id=1Vias6LnstTdjmtpSsWZKgL85Kqb2mZJA</t>
  </si>
  <si>
    <t>ice.0625473892@gmail.com</t>
  </si>
  <si>
    <t>พงศกร บัวลาด</t>
  </si>
  <si>
    <t>0625473892</t>
  </si>
  <si>
    <t>Pongsakorn Aoy</t>
  </si>
  <si>
    <t>ประธานชมรมหล่อมากครับ</t>
  </si>
  <si>
    <t>https://drive.google.com/open?id=1u9LCeY28XkhFvLUnhtOx90iFfHsV6X9g</t>
  </si>
  <si>
    <t>khathakmlchatr@gmail.com</t>
  </si>
  <si>
    <t>กมลฉัตร คำทา</t>
  </si>
  <si>
    <t>0621982162</t>
  </si>
  <si>
    <t>Kamonchat Kamta</t>
  </si>
  <si>
    <t>https://drive.google.com/open?id=1vJwJweeDCqyGBLrIChs9sTKAwJVFT8yn</t>
  </si>
  <si>
    <t>kittisak.sois63@sskru.ac.th</t>
  </si>
  <si>
    <t>กิตติศักดิ์ สร้อยสันเทศ</t>
  </si>
  <si>
    <t>0955453600</t>
  </si>
  <si>
    <t>Kittisak Soisanted</t>
  </si>
  <si>
    <t>https://drive.google.com/open?id=1uQqCMziV5W1jA6ute_pPAlB4NU-pz_92</t>
  </si>
  <si>
    <t>ning23235@gmail.com</t>
  </si>
  <si>
    <t>วิมลสิริ บุตรเกต</t>
  </si>
  <si>
    <t xml:space="preserve">business english </t>
  </si>
  <si>
    <t>0803512936</t>
  </si>
  <si>
    <t>wimonsiri boodged</t>
  </si>
  <si>
    <t>https://drive.google.com/open?id=1juh6R1MYJV-9W5abrPVJ35AvGv9Nph96</t>
  </si>
  <si>
    <t>nittayasingchuea@gmail.com</t>
  </si>
  <si>
    <t>นิตยา สิงห์เชื้อ</t>
  </si>
  <si>
    <t>0957906311</t>
  </si>
  <si>
    <t>Nittaya Singchuea</t>
  </si>
  <si>
    <t>https://drive.google.com/open?id=12AVPzrPinGzVbd6rS2JaGIvzxpuVZW64</t>
  </si>
  <si>
    <t>saharuethai112003@gmail.com</t>
  </si>
  <si>
    <t>สหฤทัย เบ้าทอง</t>
  </si>
  <si>
    <t>0962592716</t>
  </si>
  <si>
    <t xml:space="preserve">Saharuethai Baothong </t>
  </si>
  <si>
    <t>https://drive.google.com/open?id=1f5Q_L7J63mt3bsUtgugMPj6BW_NaICvH</t>
  </si>
  <si>
    <t>stu6510633125@sskru.ac.th</t>
  </si>
  <si>
    <t>สิริกัญญา มงคุณพล</t>
  </si>
  <si>
    <t>0829812815</t>
  </si>
  <si>
    <t>เร็วดี</t>
  </si>
  <si>
    <t>https://drive.google.com/open?id=1uRhjrAZUnb3yUtIuagGssZ1Z1wZ7VkK0</t>
  </si>
  <si>
    <t>kukrobber3666@gmail.com</t>
  </si>
  <si>
    <t>กิตฏิพิชัย จันทร์ทง</t>
  </si>
  <si>
    <t>0645182367</t>
  </si>
  <si>
    <t>Chxllot</t>
  </si>
  <si>
    <t>https://drive.google.com/open?id=1jnnYc4DwheffGn1JXxcqZtSK3I-lSdTg</t>
  </si>
  <si>
    <t>kanyapat1364@gmail.com</t>
  </si>
  <si>
    <t>กัญญาพัชร แสนวัง</t>
  </si>
  <si>
    <t>0997725859</t>
  </si>
  <si>
    <t>Kanyapat sanwang</t>
  </si>
  <si>
    <t>https://drive.google.com/open?id=1Bncr1hZWzZMyx5Y5xqJQRM0XUuLgV3S-</t>
  </si>
  <si>
    <t>stu6410633230@sskru.ac.th</t>
  </si>
  <si>
    <t>อารยา จำเนียร</t>
  </si>
  <si>
    <t>0990819502</t>
  </si>
  <si>
    <t xml:space="preserve">Araya Jumnien </t>
  </si>
  <si>
    <t>https://drive.google.com/open?id=1JCUX2dCd9esCFFLo1RGw3Xu5wbZnlmoV</t>
  </si>
  <si>
    <t>Ximwiseshnungvthay@gmail.com</t>
  </si>
  <si>
    <t>หนึ่งฤทัย อิ่มวิเศษ</t>
  </si>
  <si>
    <t>0802751089</t>
  </si>
  <si>
    <t xml:space="preserve">Nuengruethai aimwiset </t>
  </si>
  <si>
    <t>https://drive.google.com/open?id=1dXBDV2TA8AsfLTjCxwDDNNofX393hNYu</t>
  </si>
  <si>
    <t>stu6410048260@sskru.ac.th</t>
  </si>
  <si>
    <t>สุภลักษณ์ ศรีมณี</t>
  </si>
  <si>
    <t>0934875214</t>
  </si>
  <si>
    <t>ปี โป้</t>
  </si>
  <si>
    <t>https://drive.google.com/open?id=1EQYBiqvlWVfZn9ZCakK0PXmtTiakJw5q</t>
  </si>
  <si>
    <t>sirinaphaphuangjampa@gmail.com</t>
  </si>
  <si>
    <t>ศิรินภา พวงจำปา</t>
  </si>
  <si>
    <t>0801578329</t>
  </si>
  <si>
    <t xml:space="preserve">Sirinapha Phuangjampa </t>
  </si>
  <si>
    <t>https://drive.google.com/open?id=1J7dskmhGroNQDUZIEJIyEgaW3cbUNoer</t>
  </si>
  <si>
    <t>Thiw.45@gmail.com</t>
  </si>
  <si>
    <t>เฉลิมพงศ์  โกฎแสน</t>
  </si>
  <si>
    <t>0874468090</t>
  </si>
  <si>
    <t xml:space="preserve">Thiw Chalermpong </t>
  </si>
  <si>
    <t>https://drive.google.com/open?id=1TUj-tsusRvF_LPc5Rhrjcxpv1-GaIZXL</t>
  </si>
  <si>
    <t>patpimon76@gmail.com</t>
  </si>
  <si>
    <t>พัตรพิมล บานชื่น</t>
  </si>
  <si>
    <t>0972613787</t>
  </si>
  <si>
    <t>Patpimon banchuen</t>
  </si>
  <si>
    <t>https://drive.google.com/open?id=1iiPL_iFppWWvOdc1zOAY6oZr3PRL_LV4</t>
  </si>
  <si>
    <t>wutthichai2547.w@gmail.com</t>
  </si>
  <si>
    <t>วุฒิชัย ใหญ่ผา</t>
  </si>
  <si>
    <t>0967632046</t>
  </si>
  <si>
    <t>Yaipa Wood Wutthichai</t>
  </si>
  <si>
    <t>https://drive.google.com/open?id=1ySeFqGqreV2SFURiXgx3qJrks9COWHru</t>
  </si>
  <si>
    <t>wasana.masa63@sskru.ac.th</t>
  </si>
  <si>
    <t>วาสนา มาสอาด</t>
  </si>
  <si>
    <t>0611430308</t>
  </si>
  <si>
    <t>Wasana Masaart</t>
  </si>
  <si>
    <t>https://drive.google.com/open?id=1O_wOwwy6MehfVuKPuA0Xe6xDTCB2MWzJ</t>
  </si>
  <si>
    <t>boattorres99@gmail.com</t>
  </si>
  <si>
    <t>กิตติพศ วงศ์ไชยา</t>
  </si>
  <si>
    <t>0982212654</t>
  </si>
  <si>
    <t>https://drive.google.com/open?id=1JXKyO6G3vlPoOQs_yC0oENwNO84t31vx</t>
  </si>
  <si>
    <t>pimchanok285432@gmail.com</t>
  </si>
  <si>
    <t>พิมพ์ชนก  เหมือนมาตย์</t>
  </si>
  <si>
    <t>0989786079</t>
  </si>
  <si>
    <t>Pimchanok muenmat</t>
  </si>
  <si>
    <t>https://drive.google.com/open?id=1KMHZb0eLfWNITTNBJ_67L1a4dAsKInPU</t>
  </si>
  <si>
    <t>bewsasi605@gmail.com</t>
  </si>
  <si>
    <t>ศศิวรรณ ฝอยทอง</t>
  </si>
  <si>
    <t>0930763229</t>
  </si>
  <si>
    <t>ศศิวรรณ ‘ณ</t>
  </si>
  <si>
    <t>https://drive.google.com/open?id=1_oRvECR8g8KF1ndJ-uUg4DhOW0pgYtPh</t>
  </si>
  <si>
    <t>sawphasrilaphanth@gmail.com</t>
  </si>
  <si>
    <t>สาวภา ศรีละพันธ์</t>
  </si>
  <si>
    <t>0961208399</t>
  </si>
  <si>
    <t xml:space="preserve">Sauwapa Srilapan </t>
  </si>
  <si>
    <t>https://drive.google.com/open?id=1vH9SmaOwhsFvLzEe7VjRDsqeMLFT1ANB</t>
  </si>
  <si>
    <t>namprettyzy99@gmail.com</t>
  </si>
  <si>
    <t>นลพร เลิศกาญจนกนก</t>
  </si>
  <si>
    <t>0902488877</t>
  </si>
  <si>
    <t xml:space="preserve">Nonlaporn Loetkanjanakanok </t>
  </si>
  <si>
    <t>ที่นั่งไม่พอดีกับจำนวนคนงับ ไม่มีที่นั่ง ได้นั่งพื้น 5555</t>
  </si>
  <si>
    <t>https://drive.google.com/open?id=1YccFQEew95gMgoPvQDCM5T40WTqywwNE</t>
  </si>
  <si>
    <t>worawut.tumm63@sskru.ac.th</t>
  </si>
  <si>
    <t>วรวุธ ทุมมนตรี</t>
  </si>
  <si>
    <t>0649089428</t>
  </si>
  <si>
    <t>Wut worawut</t>
  </si>
  <si>
    <t>กำลังจะหลับแต่ต้องมาง่วงมากครับ</t>
  </si>
  <si>
    <t>https://drive.google.com/open?id=1uOo8JPPcx6835aLjcG1D2Xm0n0UgkPSW</t>
  </si>
  <si>
    <t>krissadakon755@gmail.com</t>
  </si>
  <si>
    <t>กฤษฎากรณ์ นิลจันทร์</t>
  </si>
  <si>
    <t>0631670541</t>
  </si>
  <si>
    <t>krissadakon</t>
  </si>
  <si>
    <t>https://drive.google.com/open?id=1Qfnemj-P7ohfUN5nPJHHTLARKliAarTa</t>
  </si>
  <si>
    <t>phuminthonkaisoon@gmail.com</t>
  </si>
  <si>
    <t>ภูมินทร ไกรสูรย์</t>
  </si>
  <si>
    <t>0613187117</t>
  </si>
  <si>
    <t>poom phuminthon</t>
  </si>
  <si>
    <t>https://drive.google.com/open?id=1FJc6n8Tk1YcrWJZuQqehF_oQijQ3Vi5w</t>
  </si>
  <si>
    <t>naiyana0225@gmail.com</t>
  </si>
  <si>
    <t>นัยนา สร้อยสน</t>
  </si>
  <si>
    <t>0956973407</t>
  </si>
  <si>
    <t>Naiyana sroison</t>
  </si>
  <si>
    <t>https://drive.google.com/open?id=1mG5Jtn66pUKmQaHDK0jvhybHKu7fkzvC</t>
  </si>
  <si>
    <t>kwangnarisa2545@gmail.com</t>
  </si>
  <si>
    <t>นริสา สัตยารังสรรค์</t>
  </si>
  <si>
    <t>สาธารณสุขชุมชน</t>
  </si>
  <si>
    <t>0981824913</t>
  </si>
  <si>
    <t>ลูก’กก พีช’ชช</t>
  </si>
  <si>
    <t>https://drive.google.com/open?id=1ftxNq3ePi1b9m4venJTQUlb4kkXr6dQ2</t>
  </si>
  <si>
    <t>supreeyaphetdee@gmail.com</t>
  </si>
  <si>
    <t>สุปรียา เพชรดี</t>
  </si>
  <si>
    <t>การศึกษาปฐมวัย</t>
  </si>
  <si>
    <t>0910309301</t>
  </si>
  <si>
    <t>สุปรียา ฯ.</t>
  </si>
  <si>
    <t>https://drive.google.com/open?id=1Tl5KOb94CrfAOz_zyk7CNrZ-6PD5OGdo</t>
  </si>
  <si>
    <t>65suriya2002@gmail.com</t>
  </si>
  <si>
    <t>สุริยะ ไชยรัตน์</t>
  </si>
  <si>
    <t>0612029693</t>
  </si>
  <si>
    <t>SURIYA CHAIYARAT</t>
  </si>
  <si>
    <t>https://drive.google.com/open?id=1tYwQE_7TOEqo6BUgFuD7iBXg-SSHmRrm</t>
  </si>
  <si>
    <t>stu6412269126@sskru.ac.th</t>
  </si>
  <si>
    <t>สูวิชชาบูรณ์ บุญช่วย</t>
  </si>
  <si>
    <t>0659559226</t>
  </si>
  <si>
    <t>Suwitchaboon Boonchuay</t>
  </si>
  <si>
    <t>อืมอะมะลองกองแก่ง</t>
  </si>
  <si>
    <t>https://drive.google.com/open?id=1Mk_bp60W52kUcYCDa78MGcs-VZGqJWuq</t>
  </si>
  <si>
    <t>Chaiyaphorn1702@gmail.com</t>
  </si>
  <si>
    <t xml:space="preserve">ชัยพร จังอินทร์ </t>
  </si>
  <si>
    <t>0610496830</t>
  </si>
  <si>
    <t xml:space="preserve">Chaiyaphorn jang-in </t>
  </si>
  <si>
    <t xml:space="preserve">ไม่มี </t>
  </si>
  <si>
    <t>https://drive.google.com/open?id=1KyoQwKrh6KMUz1r4HrS1cOo5n2dmHz63</t>
  </si>
  <si>
    <t>panatdasuphab55@gmail.com</t>
  </si>
  <si>
    <t>ปนัดดา สุภาพ</t>
  </si>
  <si>
    <t>0956051803</t>
  </si>
  <si>
    <t>Panatda</t>
  </si>
  <si>
    <t>https://drive.google.com/open?id=1HNGD5EYrDRM-h7l3D5b-ynS2HIXWUqF1</t>
  </si>
  <si>
    <t>korssaass123tocker123@gmail.com</t>
  </si>
  <si>
    <t>คงอธิป ศรีทะรัง</t>
  </si>
  <si>
    <t>0620812468</t>
  </si>
  <si>
    <t>Kongatip Sritarung</t>
  </si>
  <si>
    <t>https://drive.google.com/open?id=1OY_RA_yfWNOqZ9VW-jSeyfuxmA3Sg0dJ</t>
  </si>
  <si>
    <t>supattrawongsung@gmail.com</t>
  </si>
  <si>
    <t>สุพัฒน์ตรา วงศ์สูง</t>
  </si>
  <si>
    <t>0828697198</t>
  </si>
  <si>
    <t>Supattra Wongsoong</t>
  </si>
  <si>
    <t>ไม่มีค่ะ</t>
  </si>
  <si>
    <t>https://drive.google.com/open?id=1yBcFBoBad2097eFC-zQi-asuGcDMA4xQ</t>
  </si>
  <si>
    <t>zashadowancient@gmail.com</t>
  </si>
  <si>
    <t>รัฐพล บุญบรรจง</t>
  </si>
  <si>
    <t>0930852634</t>
  </si>
  <si>
    <t>GolDen Duck</t>
  </si>
  <si>
    <t xml:space="preserve">แอร์เย็นเจี๊ยบ </t>
  </si>
  <si>
    <t>https://drive.google.com/open?id=1LmFbgynvbrOfMlD4BJUGCdOIR13FJoa7</t>
  </si>
  <si>
    <t>thitiwe09@gmail.com</t>
  </si>
  <si>
    <t>ธิติวุฒิ เนตรสาร</t>
  </si>
  <si>
    <t>0830830320</t>
  </si>
  <si>
    <t>To Thitiwoe</t>
  </si>
  <si>
    <t>https://drive.google.com/open?id=1KCgdEKOeGQsb9-Y192s7P3HjY1jh72b4</t>
  </si>
  <si>
    <t>nat241244nn@icloud.com</t>
  </si>
  <si>
    <t>ณัฐกมล แสงสว่าง</t>
  </si>
  <si>
    <t>0973433227</t>
  </si>
  <si>
    <t>Natthakamon Saengsawang</t>
  </si>
  <si>
    <t>เป็นกำลังใจให้นะคะะะ</t>
  </si>
  <si>
    <t>https://drive.google.com/open?id=1nET1YVeyV2jTdjwnGALYLii_sm7kGDLY</t>
  </si>
  <si>
    <t>b15042548@gmail.com</t>
  </si>
  <si>
    <t>บัวชมพู พันธุ์สุข</t>
  </si>
  <si>
    <t>0828238157</t>
  </si>
  <si>
    <t>Buachomphu phansook</t>
  </si>
  <si>
    <t>https://drive.google.com/open?id=1a8fMOSuySb9pic6bSFfppDpmPmT4UocK</t>
  </si>
  <si>
    <t>beamwanlapa.s@gmail.com</t>
  </si>
  <si>
    <t>วัลภา แสนสุข</t>
  </si>
  <si>
    <t>0636201124</t>
  </si>
  <si>
    <t xml:space="preserve">Wanlapa Sansuk </t>
  </si>
  <si>
    <t>https://drive.google.com/open?id=1Aza6rnuBohGd5dkNzILquQmg5hIAG706</t>
  </si>
  <si>
    <t>nursepattaraporn2806@gmail.com</t>
  </si>
  <si>
    <t>ภัทราภรณ์ จูงวงศ์</t>
  </si>
  <si>
    <t>0922542296</t>
  </si>
  <si>
    <t>Nurse Pattaraporn</t>
  </si>
  <si>
    <t>https://drive.google.com/open?id=1YKsBTZEdliTLbismgRlBFS_ZnF-AE0eM</t>
  </si>
  <si>
    <t>Wichayadajrd@gmail.com</t>
  </si>
  <si>
    <t>วิชญาดา จิรังดา</t>
  </si>
  <si>
    <t>0953167181</t>
  </si>
  <si>
    <t xml:space="preserve">Wichayada jirungda </t>
  </si>
  <si>
    <t>https://drive.google.com/open?id=1rJogLJBgPeZoulWyXMMEcHrGEuAYI-pK</t>
  </si>
  <si>
    <t>kalyakhahela50@gmail.com</t>
  </si>
  <si>
    <t>กัลยา คำเหลา</t>
  </si>
  <si>
    <t>ภาษาอัง</t>
  </si>
  <si>
    <t>0625404600</t>
  </si>
  <si>
    <t>Kanlaya Kmlao</t>
  </si>
  <si>
    <t>https://drive.google.com/open?id=1nhIYQ4AG1Y5w5nIyhsAQEdQE9Eyj2bvn</t>
  </si>
  <si>
    <t>anucha.muan63@sskru.ac.th</t>
  </si>
  <si>
    <t>อนุชา เมืองจันทร์</t>
  </si>
  <si>
    <t>0610235438</t>
  </si>
  <si>
    <t>https://drive.google.com/open?id=18h5KjjsEVLqSAEdWsV0J9I3hqaiqhTC_</t>
  </si>
  <si>
    <t>stu6410414213@sskru.ac.th</t>
  </si>
  <si>
    <t>ธนิดา จรรยากรณ์</t>
  </si>
  <si>
    <t>วิทยาศาสตร์ทั่วไป</t>
  </si>
  <si>
    <t>0964104412</t>
  </si>
  <si>
    <t>Thanida Chanyakon</t>
  </si>
  <si>
    <t>https://drive.google.com/open?id=1-z80HMrLv8ax8WHrcKEtCX0dqd8xM83f</t>
  </si>
  <si>
    <t>stu6411506131@sskru.ac.th</t>
  </si>
  <si>
    <t>สุจิตรา ทาทอง</t>
  </si>
  <si>
    <t>0642688615</t>
  </si>
  <si>
    <t>https://drive.google.com/open?id=1ZUDSWaaZixOmSfrHkuH64jJG9J0nVfMm</t>
  </si>
  <si>
    <t>Silakam12@gmail.com</t>
  </si>
  <si>
    <t>กิตติยาพร​  ศิลาคำ</t>
  </si>
  <si>
    <t>0910597679</t>
  </si>
  <si>
    <t>Kittiyaphorn​ Silakam​</t>
  </si>
  <si>
    <t>https://drive.google.com/open?id=18jyaCPSZETe0M86h_DRhfbXWgtm1QC8s</t>
  </si>
  <si>
    <t>if6286pattarathida@gmail.com</t>
  </si>
  <si>
    <t>ภัทรธิดา บุญเลิศ</t>
  </si>
  <si>
    <t>0612808684</t>
  </si>
  <si>
    <t>Pattarathida Boonloes</t>
  </si>
  <si>
    <t>https://drive.google.com/open?id=1YceBbUPRuBfbQQvRR2vD-xSvP7_gxs62</t>
  </si>
  <si>
    <t>noeypope344@gmail.com</t>
  </si>
  <si>
    <t>ธิติมา การะเกษ</t>
  </si>
  <si>
    <t>0840648130</t>
  </si>
  <si>
    <t>https://drive.google.com/open?id=1ny5ES0dwGIM8PyV5jDzZ6xeTNTz8MsQ-</t>
  </si>
  <si>
    <t>krittapas7435@gmail.com</t>
  </si>
  <si>
    <t>กฤตภาส หันประดิษฐ์</t>
  </si>
  <si>
    <t>ศิลปะและการออกแบบ</t>
  </si>
  <si>
    <t>0996197435</t>
  </si>
  <si>
    <t>Krittapas Hunpradit</t>
  </si>
  <si>
    <t>https://drive.google.com/open?id=10dCIYWc-kR6kLU7xAC5wIeFJbDwGJfi6</t>
  </si>
  <si>
    <t>nuapanatda@gmail.com</t>
  </si>
  <si>
    <t>ปนัดดา พงษ์สิน</t>
  </si>
  <si>
    <t>0655037004</t>
  </si>
  <si>
    <t>Panatda Pongsin</t>
  </si>
  <si>
    <t>รวดเร็ว ชอบ ดี</t>
  </si>
  <si>
    <t>https://drive.google.com/open?id=1lTth2cJOtgKUH7glq--buove3NvVuhHk</t>
  </si>
  <si>
    <t>earneiei1212@gmail.com</t>
  </si>
  <si>
    <t>ธันยพัฒน์ จัตตุพันธ์</t>
  </si>
  <si>
    <t>0934428149</t>
  </si>
  <si>
    <t>Earn Tunyapad</t>
  </si>
  <si>
    <t>เหงาค่ะ</t>
  </si>
  <si>
    <t>https://drive.google.com/open?id=1bVVQET2z85kj5HxmCmwEtLtWu4guhpf5</t>
  </si>
  <si>
    <t>thansudathasom2004@gmail.com</t>
  </si>
  <si>
    <t>ธัญสุดา ทาโสม</t>
  </si>
  <si>
    <t>0813373246</t>
  </si>
  <si>
    <t>Thansuda Thasom</t>
  </si>
  <si>
    <t>https://drive.google.com/open?id=1zC9So4qVCBtFcdW6si60NJKCTEqDJF-z</t>
  </si>
  <si>
    <t>maethawarin.boon64@sskru.ac.th</t>
  </si>
  <si>
    <t>เมธาวรินทร์ บุญฉวี</t>
  </si>
  <si>
    <t>0942809659</t>
  </si>
  <si>
    <t>เมธา วรินทร์</t>
  </si>
  <si>
    <t>https://drive.google.com/open?id=16HGWt7JbSSzJ5Oqsgujolrb1NTT0ZzpG</t>
  </si>
  <si>
    <t>boeiei2810e@gmail.com</t>
  </si>
  <si>
    <t>ณัฐตพงษ์ นรินทร์</t>
  </si>
  <si>
    <t>0969068496</t>
  </si>
  <si>
    <t>โบ้’ อิ้อิ้</t>
  </si>
  <si>
    <t>https://drive.google.com/open?id=1UVY35HBHvEH8kCRGFc8P3juca-qwHLnD</t>
  </si>
  <si>
    <t>stu6410633229@sskru.ac.th</t>
  </si>
  <si>
    <t xml:space="preserve">สุพรรษา ถะเกิงสุข </t>
  </si>
  <si>
    <t>0936941953</t>
  </si>
  <si>
    <t xml:space="preserve">Suphansa Thagoengsuk </t>
  </si>
  <si>
    <t>https://drive.google.com/open?id=1MDNBCTzCl2KQoCO3i-2O1vCIyUyzvp76</t>
  </si>
  <si>
    <t>pak29122544@gmail.com</t>
  </si>
  <si>
    <t>สมฤดี ชุ่มพรมราช</t>
  </si>
  <si>
    <t>0963492751</t>
  </si>
  <si>
    <t>https://drive.google.com/open?id=13aTIsevrJBchoy9McV3pD31-aBCIwgUK</t>
  </si>
  <si>
    <t>mai55chonthicha@gmail.com</t>
  </si>
  <si>
    <t>ชนธิชา มูลธาร์</t>
  </si>
  <si>
    <t>0621760551</t>
  </si>
  <si>
    <t>YS TC</t>
  </si>
  <si>
    <t>https://drive.google.com/open?id=1IvKTVxyjgjIGhQPciPXexmxwtLKh4ufw</t>
  </si>
  <si>
    <t>panatda5336@gmail.com</t>
  </si>
  <si>
    <t>ปนัดดา พาเจริญ</t>
  </si>
  <si>
    <t>0910178862</t>
  </si>
  <si>
    <t xml:space="preserve">Panatda Pachareon </t>
  </si>
  <si>
    <t>https://drive.google.com/open?id=1ExfT9SdtdSoS49XtCBMtJcCt_8vitUKW</t>
  </si>
  <si>
    <t>phasukhsakdichay68@gmail.com</t>
  </si>
  <si>
    <t>ศักดิ์ชัย ผาสุข</t>
  </si>
  <si>
    <t>อังกธุรกิจ</t>
  </si>
  <si>
    <t>0960767293</t>
  </si>
  <si>
    <t>Phacharada phasuk</t>
  </si>
  <si>
    <t>https://drive.google.com/open?id=13qg8WA_8HUQCj55VhaOI2AuMlKkY5huN</t>
  </si>
  <si>
    <t>tanadet381@gmail.com</t>
  </si>
  <si>
    <t>ธนเดช บุญจริง</t>
  </si>
  <si>
    <t>0934155229</t>
  </si>
  <si>
    <t>Thanadet Boonjing</t>
  </si>
  <si>
    <t>https://drive.google.com/open?id=1HhiBO1KtBV7ueNXypvUFYIqXvFXlwzZ7</t>
  </si>
  <si>
    <t>benzmoo0407@gmail.com</t>
  </si>
  <si>
    <t>ธัญชนก จันทร์ศรี</t>
  </si>
  <si>
    <t>0634389097</t>
  </si>
  <si>
    <t>Big’ End EiEi</t>
  </si>
  <si>
    <t>https://drive.google.com/open?id=1sdKzB5GB16zVC42yYQnutKDK8OvbtM4I</t>
  </si>
  <si>
    <t>pangchitsupa0262@gmail.com</t>
  </si>
  <si>
    <t>จิตสุภา โคษา</t>
  </si>
  <si>
    <t>0660877551</t>
  </si>
  <si>
    <t>Chitsupa Khosa</t>
  </si>
  <si>
    <t>https://drive.google.com/open?id=1SDoRkfAGLX1ZMmW-HQddokBg9-xxvcwD</t>
  </si>
  <si>
    <t>sompong89745@gmail.com</t>
  </si>
  <si>
    <t>ศิรินทิพย์ ศรีทอง</t>
  </si>
  <si>
    <t>0957348505</t>
  </si>
  <si>
    <t>Sirinthip Srithong</t>
  </si>
  <si>
    <t>https://drive.google.com/open?id=1-Pia5TGNQGXEdA4PR6pSd4ppiYzR1So2</t>
  </si>
  <si>
    <t>happy55555dkd@gmail.com</t>
  </si>
  <si>
    <t>ภัทรนันท์ โพธิ์ศรี</t>
  </si>
  <si>
    <t>0981975861</t>
  </si>
  <si>
    <t>ปาร์ค ไม่ชอบกินบล็อกโลลี่</t>
  </si>
  <si>
    <t>แอร์ไม่เย็นค่ะ</t>
  </si>
  <si>
    <t>https://drive.google.com/open?id=1MH6b1RERyU4XP8cemXR2tP7IUa2tLlHg</t>
  </si>
  <si>
    <t>chatphumin@gmail.com</t>
  </si>
  <si>
    <t>ฉัตรภูมินทร์ ปุคคละนันทน์</t>
  </si>
  <si>
    <t>วิทยาศาสตร์</t>
  </si>
  <si>
    <t>0930640990</t>
  </si>
  <si>
    <t>_</t>
  </si>
  <si>
    <t>https://drive.google.com/open?id=1vfbGcdz1bjHSuN5h6TpNCp9DCANR2Wjj</t>
  </si>
  <si>
    <t>palmtm442@gmail.com</t>
  </si>
  <si>
    <t xml:space="preserve">มณฑกานต์ ทองมนต์ </t>
  </si>
  <si>
    <t>0800097991</t>
  </si>
  <si>
    <t xml:space="preserve">MT inthebluesea </t>
  </si>
  <si>
    <t>https://drive.google.com/open?id=1oIzNw7jO5aAIu1aRL_GrjLzOafhJqB2q</t>
  </si>
  <si>
    <t>phichada.dees63@sskru.ac.th</t>
  </si>
  <si>
    <t>พิชดา ดีเสมอ</t>
  </si>
  <si>
    <t>0807673515</t>
  </si>
  <si>
    <t>Phichada Deesamer</t>
  </si>
  <si>
    <t>พี่ต้าหล่อมากกค่ะ</t>
  </si>
  <si>
    <t>https://drive.google.com/open?id=1GXeNdEOTcHUp9ranGabnawk_WGRn4Tp3</t>
  </si>
  <si>
    <t>wanichaya190247@gmail.com</t>
  </si>
  <si>
    <t>วาณิชยา คงเจริญ</t>
  </si>
  <si>
    <t>วิศวกรรมซอฟต์แวร์</t>
  </si>
  <si>
    <t>0935496148</t>
  </si>
  <si>
    <t>Wanichaya Kongjaroen</t>
  </si>
  <si>
    <t>https://drive.google.com/open?id=1s0ZRSBBhSF4qERxrwzNPD0VZexujAu1s</t>
  </si>
  <si>
    <t>wiranyupha.chon63@sskru.ac.th</t>
  </si>
  <si>
    <t>วิรัลยุพา  ช้อนสุข</t>
  </si>
  <si>
    <t>0611589596</t>
  </si>
  <si>
    <t>วิรัลยุพา ช้อนสุข</t>
  </si>
  <si>
    <t>พี่ต้าร์หล่อมากค่ะ สมาชิกคนอื่นๆก็หล่อค่ะ</t>
  </si>
  <si>
    <t>https://drive.google.com/open?id=1r0lkD1dOnjUiBD0suBDwD9tgY32elyBO</t>
  </si>
  <si>
    <t>Raksanalee218@gmail.com</t>
  </si>
  <si>
    <t>รักษณาลี ปัสสี</t>
  </si>
  <si>
    <t>0653164109</t>
  </si>
  <si>
    <t>Nuné</t>
  </si>
  <si>
    <t>https://drive.google.com/open?id=1LoQEu5D46JlI3Y5JF7n4CinReFjt70kd</t>
  </si>
  <si>
    <t>stu6410073115@sskru.ac.th</t>
  </si>
  <si>
    <t>จิราภรณ์ จันทอง</t>
  </si>
  <si>
    <t>สาขาเทคโนโลยีการเกษตร</t>
  </si>
  <si>
    <t>0954355880</t>
  </si>
  <si>
    <t>Jiraporn Jantong</t>
  </si>
  <si>
    <t>https://drive.google.com/open?id=1-uMiGmxxdZuFryX4RdD91o_OyDPUVpJy</t>
  </si>
  <si>
    <t>bua13022546@gmail.com</t>
  </si>
  <si>
    <t>ภาพิมล ภาเภา</t>
  </si>
  <si>
    <t>ศิลปะเเละการออกแบบ</t>
  </si>
  <si>
    <t>0650032665</t>
  </si>
  <si>
    <t>Phaphimol Papao</t>
  </si>
  <si>
    <t>https://drive.google.com/open?id=1vMzhY4f_r3gkOsAHVneFNGqHDOy71OQ4</t>
  </si>
  <si>
    <t>32173@klwd.ac.th</t>
  </si>
  <si>
    <t>วรรณภา แก้วชะอุ่ม</t>
  </si>
  <si>
    <t>0937397910</t>
  </si>
  <si>
    <t>Wannapha Kaewcha-aum</t>
  </si>
  <si>
    <t>https://drive.google.com/open?id=1e4YjzBF27nYbqHga2jNHy6KvEROXaGAz</t>
  </si>
  <si>
    <t>siksitkohaod@gmail.com</t>
  </si>
  <si>
    <t>ศักดิ์สิทธิ์  โกฮวด</t>
  </si>
  <si>
    <t>คอมพิวเตอร์ศีกษา</t>
  </si>
  <si>
    <t>0931981421</t>
  </si>
  <si>
    <t>Saksit  Kohaod</t>
  </si>
  <si>
    <t>https://drive.google.com/open?id=1DRy9--crO_7BpdIzV7R_jW0YCIwEI4PL</t>
  </si>
  <si>
    <t>arm.ratchanon092@gmail.com</t>
  </si>
  <si>
    <t>รัชชานนท์ บรรดาตั้ง</t>
  </si>
  <si>
    <t>0981845590</t>
  </si>
  <si>
    <t>Arm Ratchanon</t>
  </si>
  <si>
    <t>https://drive.google.com/open?id=14_aXe0Shm-czaxo9bypFTsC5FidPVS3Q</t>
  </si>
  <si>
    <t>uariwan552@gmail.com</t>
  </si>
  <si>
    <t>อุไรวรรณ​ สารเดช</t>
  </si>
  <si>
    <t>การประถมศึกษา​</t>
  </si>
  <si>
    <t>0635407430</t>
  </si>
  <si>
    <t>https://drive.google.com/open?id=11hp2lKOwXJi2UDr-Yky5puvfNL2Asi6L</t>
  </si>
  <si>
    <t>pesd1119@gmail.com</t>
  </si>
  <si>
    <t>พีระชัย เตมิยะ</t>
  </si>
  <si>
    <t>0644215181</t>
  </si>
  <si>
    <t>Peerachai Temiya</t>
  </si>
  <si>
    <t>https://drive.google.com/open?id=1SFMyyuCLG0EYqS6zqZrdNBjbRhGmkjfK</t>
  </si>
  <si>
    <t>phichythida2004@gmail.com</t>
  </si>
  <si>
    <t>พิชญธิดา กุลสุวรรณ</t>
  </si>
  <si>
    <t>คอมพิวเตอร์</t>
  </si>
  <si>
    <t>0983941066</t>
  </si>
  <si>
    <t>โซ’ เเคท</t>
  </si>
  <si>
    <t>https://drive.google.com/open?id=1lelUCtMz66OwPIYnltn4f_w9oB4KVadp</t>
  </si>
  <si>
    <t>chonthida.jamp63@sskru.ac.th</t>
  </si>
  <si>
    <t>ชลธิดา จำปากุล</t>
  </si>
  <si>
    <t>วิทนทั่วไป</t>
  </si>
  <si>
    <t>0612458153</t>
  </si>
  <si>
    <t>ตาล มั้ง ง.</t>
  </si>
  <si>
    <t>https://drive.google.com/open?id=1GzUThp1ZNwoOtnA3TyOLeT4j9rWvv3a5</t>
  </si>
  <si>
    <t>moslovemix11@gmail.com</t>
  </si>
  <si>
    <t>ทวีชัย ดวงสีมา</t>
  </si>
  <si>
    <t>เทคโนโลยีโยธาและสถาปัยตกรรม</t>
  </si>
  <si>
    <t>06-1274-8078</t>
  </si>
  <si>
    <t>Thaweechai daungsima</t>
  </si>
  <si>
    <t>https://drive.google.com/open?id=1R9ROQ6NEKNvvk6CET9aHxLcfxhTlmGnD</t>
  </si>
  <si>
    <t>sitthichot16@gmail.com</t>
  </si>
  <si>
    <t>สิทธิโชติ ราษเจริญ</t>
  </si>
  <si>
    <t>0937496801</t>
  </si>
  <si>
    <t>Sitthichot Ratchaloen</t>
  </si>
  <si>
    <t>น่ารักงับ</t>
  </si>
  <si>
    <t>https://drive.google.com/open?id=1QRx-1ynZA0Vk0mEk6iehhvBl3SjFj7hs</t>
  </si>
  <si>
    <t>Pichaiphengchan12061@gmail.com</t>
  </si>
  <si>
    <t>พิชัย เพ็งจันทร์</t>
  </si>
  <si>
    <t>0656722456</t>
  </si>
  <si>
    <t>KoReplay</t>
  </si>
  <si>
    <t>เขาไม่กลับมาแล้ว</t>
  </si>
  <si>
    <t>https://drive.google.com/open?id=1Bs27QA67_Ivk2qXEVQoY0sU2gdoxkjNb</t>
  </si>
  <si>
    <t>Suphichyakheruxkhun659@gmail.com</t>
  </si>
  <si>
    <t>สุพิชญา เครือคุณ</t>
  </si>
  <si>
    <t>0637564935</t>
  </si>
  <si>
    <t>Ni New</t>
  </si>
  <si>
    <t>https://drive.google.com/open?id=1uehaQl9ePQz0I_jmtzxh8teKrBzRPX0U</t>
  </si>
  <si>
    <t>archannonthawong@gnail.com</t>
  </si>
  <si>
    <t>อาชัน นนทวงค์</t>
  </si>
  <si>
    <t>0625794410</t>
  </si>
  <si>
    <t>Archan Nonthawong</t>
  </si>
  <si>
    <t>https://drive.google.com/open?id=1aUgQ-7MUM7dh3Lg8rvdftfEprYBn2OW8</t>
  </si>
  <si>
    <t>stu6510403221@sskru.ac.th</t>
  </si>
  <si>
    <t>ภัทรกุล บุญมา</t>
  </si>
  <si>
    <t>สาขาการบัญชี</t>
  </si>
  <si>
    <t>0621041850</t>
  </si>
  <si>
    <t>Phattharakun Boonma</t>
  </si>
  <si>
    <t>https://drive.google.com/open?id=1_Lz5ve0Yi0SnCuPit1btxULhr2ngrB_K</t>
  </si>
  <si>
    <t>theroadsofar.s@gmail.com</t>
  </si>
  <si>
    <t>นัฏฐนิชา สังขาว</t>
  </si>
  <si>
    <t>0935347657</t>
  </si>
  <si>
    <t>Nattanicha Sangkhao</t>
  </si>
  <si>
    <t>https://drive.google.com/open?id=15KCf78yM__kzHFxK_vai1arRsJJQSKMw</t>
  </si>
  <si>
    <t>wonchaibuamuengpea@gmail.com</t>
  </si>
  <si>
    <t>วันชัย บัวเมืองเพีย</t>
  </si>
  <si>
    <t>0945080494</t>
  </si>
  <si>
    <t>Win Ner</t>
  </si>
  <si>
    <t>https://drive.google.com/open?id=1Lsyb-saORWvvcy-S9YIJIufnwYsusHSK</t>
  </si>
  <si>
    <t>mark0653352824@gmail.com</t>
  </si>
  <si>
    <t>วรัญชลี ศรีเสน</t>
  </si>
  <si>
    <t>0653352824</t>
  </si>
  <si>
    <t>Waranchalee Srisen</t>
  </si>
  <si>
    <t>https://drive.google.com/open?id=1vr1bp58O2jyj9vACBqJ4wMpcLKNsBPN4</t>
  </si>
  <si>
    <t>stu6512798118@sskru.ac.th</t>
  </si>
  <si>
    <t>ณัฐณิชา ไชยอุดม</t>
  </si>
  <si>
    <t>0841155706</t>
  </si>
  <si>
    <t>ณัฐ ณิชา</t>
  </si>
  <si>
    <t>https://drive.google.com/open?id=1t0aPVFcUjkiVD0HNY3qUkewuxl_rzp4c</t>
  </si>
  <si>
    <t>ssribriburn234@gmail.com</t>
  </si>
  <si>
    <t>ศุภชัย ศรีบริบูรณ์</t>
  </si>
  <si>
    <t>0981631310</t>
  </si>
  <si>
    <t>Sūpxchäi Sribørïbøøn</t>
  </si>
  <si>
    <t>https://drive.google.com/open?id=15SaFRhMyV7fiEbEGsUOEWlVDr962EFXv</t>
  </si>
  <si>
    <t>siriyakrsra@gmail.com</t>
  </si>
  <si>
    <t>สิริยากร  สระ</t>
  </si>
  <si>
    <t>0637397570</t>
  </si>
  <si>
    <t xml:space="preserve">Ja Siriyakorn </t>
  </si>
  <si>
    <t>https://drive.google.com/open?id=1tpfPQDyWaOhjjYtxE2BwUBRMmI_EToZu</t>
  </si>
  <si>
    <t>kitichai.chia64@sskru.ac.th</t>
  </si>
  <si>
    <t>กิติชัย เจียงวงค์</t>
  </si>
  <si>
    <t>0653285581</t>
  </si>
  <si>
    <t>Kitichai Chiangwong</t>
  </si>
  <si>
    <t>https://drive.google.com/open?id=19ccwlLO0WO4NjM0tl-o5mHfs9Y0T6fTN</t>
  </si>
  <si>
    <t>komhkomhkomh007@gmail.com</t>
  </si>
  <si>
    <t>สิรภพ บุญเชิด</t>
  </si>
  <si>
    <t>0973389777</t>
  </si>
  <si>
    <t>ก้อง.ครับ.</t>
  </si>
  <si>
    <t>https://drive.google.com/open?id=1zjaA6dOdAklZIhnjWqJguJCCMuuERMIQ</t>
  </si>
  <si>
    <t>jirapha9370@gmail.com</t>
  </si>
  <si>
    <t>จิราภา วงษ์ภักดี</t>
  </si>
  <si>
    <t>0946179004</t>
  </si>
  <si>
    <t xml:space="preserve">Jirapha Wongphakdee </t>
  </si>
  <si>
    <t>ดีมากค่ะที่เปลี่ยนห้องแอร์ฉ่ำที่นั่งฉ่ำสุดๆ</t>
  </si>
  <si>
    <t>https://drive.google.com/open?id=14mm35Rfm49OmE6e8cGWBNL6GqrFSNPCE</t>
  </si>
  <si>
    <t>koy33140koy@gmail.com</t>
  </si>
  <si>
    <t>นริสร สัตยารังสรรค์</t>
  </si>
  <si>
    <t>0990259395</t>
  </si>
  <si>
    <t>K'koy Narisorn</t>
  </si>
  <si>
    <t>https://drive.google.com/open?id=1O5mMcJJDz-boIaKCYqE8Bgc0FW_gTpBr</t>
  </si>
  <si>
    <t>khwanchira7747@gmail.com</t>
  </si>
  <si>
    <t>ขวัญจิรา ปัทมจิรายุวัฒน์</t>
  </si>
  <si>
    <t>0945278987</t>
  </si>
  <si>
    <t xml:space="preserve">Choco Min't </t>
  </si>
  <si>
    <t>https://drive.google.com/open?id=1dV2RmPENopXSehipmz6uYT0xozjWuSqT</t>
  </si>
  <si>
    <t>kanyawadee.54@gmail.com</t>
  </si>
  <si>
    <t>กันยาวดี ปกป้อง</t>
  </si>
  <si>
    <t>0944809854</t>
  </si>
  <si>
    <t>กา’ต่าย</t>
  </si>
  <si>
    <t>https://drive.google.com/open?id=1GrVMEzjbSJ8OtlOWHwx4JD432bZpMDuW</t>
  </si>
  <si>
    <t>palaloy1321@gmail.com</t>
  </si>
  <si>
    <t>ภัทราภรณ์ เสนสอน</t>
  </si>
  <si>
    <t>0994609672</t>
  </si>
  <si>
    <t>Pattara Ploy</t>
  </si>
  <si>
    <t>https://drive.google.com/open?id=1J9K_VsMwhINv7u5PMJvuG2w67axa5_Ho</t>
  </si>
  <si>
    <t>amol.khar63@sskru.ac.th</t>
  </si>
  <si>
    <t>อมร ขานชัย</t>
  </si>
  <si>
    <t>0634525901</t>
  </si>
  <si>
    <t>A-mol Kharnchai</t>
  </si>
  <si>
    <t>ฉันจะเป็นโปรแกรมเมอร์ให้ได้เลย</t>
  </si>
  <si>
    <t>https://drive.google.com/open?id=1mGLdp5Z6bxlrjMWi9DWaNelHSVuPvWqD</t>
  </si>
  <si>
    <t>tummessi123@gmail.com</t>
  </si>
  <si>
    <t>ธีระวัตร เกษสุพรรณ์</t>
  </si>
  <si>
    <t>0957205869</t>
  </si>
  <si>
    <t>Teerawat kadsuphan</t>
  </si>
  <si>
    <t>ดีครับๆ</t>
  </si>
  <si>
    <t>https://drive.google.com/open?id=1IKG0wkv58R5x9s2B-JUj8jzcPAFA18V4</t>
  </si>
  <si>
    <t>stu6412798118@sskru.ac.th</t>
  </si>
  <si>
    <t>พิมพ์นิภา ใจคำ</t>
  </si>
  <si>
    <t>0956727390</t>
  </si>
  <si>
    <t>https://drive.google.com/open?id=1op18hanGjunK1DYDCYIPozpnHQvkycOh</t>
  </si>
  <si>
    <t>giefullhack2@gmail.com</t>
  </si>
  <si>
    <t>ปฏิภาณ ไชยธรรมมา</t>
  </si>
  <si>
    <t>อังกฤษธุรกิจ</t>
  </si>
  <si>
    <t>0981822132</t>
  </si>
  <si>
    <t>Patipan Chaitamma</t>
  </si>
  <si>
    <t>https://drive.google.com/open?id=19Af3hHzBiwrnAcYqshC0Dlo_XMqnVVIr</t>
  </si>
  <si>
    <t>kvsdakhosa@gmail.com</t>
  </si>
  <si>
    <t>กฤษฎา โคษา</t>
  </si>
  <si>
    <t>0631815131</t>
  </si>
  <si>
    <t>Kidsada kosa</t>
  </si>
  <si>
    <t>https://drive.google.com/open?id=1SNq_EpPfhAdKGZmgup84UphnlHHkASEb</t>
  </si>
  <si>
    <t>pechlada.14@gmail.com</t>
  </si>
  <si>
    <t>เพชรลดา ดอกดวน</t>
  </si>
  <si>
    <t>0935123343</t>
  </si>
  <si>
    <t xml:space="preserve">Pechlada Dokduan </t>
  </si>
  <si>
    <t>https://drive.google.com/open?id=1sD0irFNgRBLHHiUIhnaOxEzO_vHx9hKH</t>
  </si>
  <si>
    <t>phimchanok33120@gmail.com</t>
  </si>
  <si>
    <t>พิมพ์ชนก พลบุญ</t>
  </si>
  <si>
    <t>0642989573</t>
  </si>
  <si>
    <t>Phimchanok Phonboon</t>
  </si>
  <si>
    <t>https://drive.google.com/open?id=1Db4HIYmjnYWdtcM7gBUHsIkRZi8iHVA1</t>
  </si>
  <si>
    <t>stu6410633115@sskru.ac.th</t>
  </si>
  <si>
    <t>จุฑามณี กุนรา</t>
  </si>
  <si>
    <t>0620108656</t>
  </si>
  <si>
    <t>Juthamanee Kunnara</t>
  </si>
  <si>
    <t>https://drive.google.com/open?id=1f3ogE_Hu2inSHmxg16zwyxRHMgzAdm0e</t>
  </si>
  <si>
    <t>stu6412798125@sskru.ac.th</t>
  </si>
  <si>
    <t>วาสนา ไตรศรี</t>
  </si>
  <si>
    <t>0814303813</t>
  </si>
  <si>
    <t>Wadsana Traisri</t>
  </si>
  <si>
    <t>https://drive.google.com/open?id=10QdosG12TH3JLR0zgWaZ0yjcVBVdLn06</t>
  </si>
  <si>
    <t>pennapasaruna@gmail.com</t>
  </si>
  <si>
    <t>เพ็ญนภา สารุณา</t>
  </si>
  <si>
    <t>0943108531</t>
  </si>
  <si>
    <t>Pennapa Saruna</t>
  </si>
  <si>
    <t>https://drive.google.com/open?id=1JOJ1T4H2-Y4B90jjaNEqG-K1pIXl8Vw5</t>
  </si>
  <si>
    <t>stu6411506114@sskru.ac.th</t>
  </si>
  <si>
    <t>ญาดา ดาแก้ว</t>
  </si>
  <si>
    <t>0935482480</t>
  </si>
  <si>
    <t>Yada Dakaew</t>
  </si>
  <si>
    <t>https://drive.google.com/open?id=1HnZLcJljO8URIe-4nDJibnRzW_b5XFf3</t>
  </si>
  <si>
    <t>stu6410073116@sskru.ac.th</t>
  </si>
  <si>
    <t>ธิดารัตน์ ทวีแสง</t>
  </si>
  <si>
    <t>0654052514</t>
  </si>
  <si>
    <t>Thidarat Taweesaeng</t>
  </si>
  <si>
    <t>https://drive.google.com/open?id=1WNNjPmBojue7D7zCs05d0xMhtl3wuEg-</t>
  </si>
  <si>
    <t>bussaragorn14089@gmail.con</t>
  </si>
  <si>
    <t>บุศรากรณ์ ชูรัตน์</t>
  </si>
  <si>
    <t>0980382906</t>
  </si>
  <si>
    <t>บุศ ศะ</t>
  </si>
  <si>
    <t>https://drive.google.com/open?id=1e-L8VvaMhC0_VgLqMU0J1EI-C0n7LsHC</t>
  </si>
  <si>
    <t>kannika072544@gmail.com</t>
  </si>
  <si>
    <t>กรรณิกา บุญประกอบ</t>
  </si>
  <si>
    <t>0948349893</t>
  </si>
  <si>
    <t>Kannika Boonprakob</t>
  </si>
  <si>
    <t>โสด</t>
  </si>
  <si>
    <t>https://drive.google.com/open?id=1A-QwgHvCy5kkzBYkBVh_g2mhN1MaXFHb</t>
  </si>
  <si>
    <t>stu6410414211@sskru.ac.th</t>
  </si>
  <si>
    <t>ฉายแสง พรมกอง</t>
  </si>
  <si>
    <t>0960358587</t>
  </si>
  <si>
    <t xml:space="preserve">Aom gii </t>
  </si>
  <si>
    <t>https://drive.google.com/open?id=1sIW7zl_kr0nCi7uUnOjQR6uOh9-IutVe</t>
  </si>
  <si>
    <t>stu6410048262@sskru.ac.th</t>
  </si>
  <si>
    <t>อรุณรัตน์ ปัญญาวรรณ</t>
  </si>
  <si>
    <t>0823085636</t>
  </si>
  <si>
    <t>กร’น้อย.</t>
  </si>
  <si>
    <t>https://drive.google.com/open?id=1-ciiGaA1R2-JSUD78nBiTKMMrPRTgIVr</t>
  </si>
  <si>
    <t>bignarongsakbig@gmail.com</t>
  </si>
  <si>
    <t>ณรงค์ศักดิ์ บริสุทธิ์</t>
  </si>
  <si>
    <t>0988069677</t>
  </si>
  <si>
    <t xml:space="preserve">Narongsak </t>
  </si>
  <si>
    <t>https://drive.google.com/open?id=1DW3fHm0uBPAaQOJxwwSOpCQ5GBhKXxqc</t>
  </si>
  <si>
    <t>jenjiraporn111243@gmail.com</t>
  </si>
  <si>
    <t>เจนจิราภรณ์ วิเชียร</t>
  </si>
  <si>
    <t>0611512580</t>
  </si>
  <si>
    <t>Jenjiraporn Wichien</t>
  </si>
  <si>
    <t>https://drive.google.com/open?id=1ycikU7gBFwYmM1JEoEQyLNRMa6DSCiQy</t>
  </si>
  <si>
    <t>oppo0650856031@gmail.com</t>
  </si>
  <si>
    <t>การเกต ศรีสัจจา</t>
  </si>
  <si>
    <t>0650856031</t>
  </si>
  <si>
    <t>การเกต ต.</t>
  </si>
  <si>
    <t>https://drive.google.com/open?id=1x32-RLRBFxwpP-64Z7QniGJpPPkRQh7k</t>
  </si>
  <si>
    <t>yuttnacnaik@gmail.com</t>
  </si>
  <si>
    <t>ยุทธชัย คณะนา</t>
  </si>
  <si>
    <t>โยธาสถาปัตย์</t>
  </si>
  <si>
    <t>0629634060</t>
  </si>
  <si>
    <t>Yutthachai kanana</t>
  </si>
  <si>
    <t>https://drive.google.com/open?id=1tNjM_XSCLFvfqCHARNBhTAqs2WLRrrAT</t>
  </si>
  <si>
    <t>77giew77@gmail.com</t>
  </si>
  <si>
    <t>พิมพ์มาดา วันทะวงษ์</t>
  </si>
  <si>
    <t>0632468887</t>
  </si>
  <si>
    <t>https://drive.google.com/open?id=1ZA6zPtB1hSV2YgGxknhsq0tFB1U2Y95K</t>
  </si>
  <si>
    <t>thestory1190@gmail.com</t>
  </si>
  <si>
    <t>เสฎฐวุฒิ สายบุญ</t>
  </si>
  <si>
    <t>0956530162</t>
  </si>
  <si>
    <t>Settawut Saiboon</t>
  </si>
  <si>
    <t>https://drive.google.com/open?id=1QfZiaIgV6bNtLq7LlOk2zfo2s72-XZba</t>
  </si>
  <si>
    <t>thidaratdeelert@gmail.com</t>
  </si>
  <si>
    <t>ธิดารัตน์ ดีเลิศ</t>
  </si>
  <si>
    <t>0801964096</t>
  </si>
  <si>
    <t>แพน’น</t>
  </si>
  <si>
    <t>https://drive.google.com/open?id=1sdfbYzji2B1H8K8gA3JGmmwNtH2AXywA</t>
  </si>
  <si>
    <t>stu6415964119@sskru.ac.th</t>
  </si>
  <si>
    <t>ณัฐพร เกษร</t>
  </si>
  <si>
    <t>0858563809</t>
  </si>
  <si>
    <t>Nattaporn Kesorn</t>
  </si>
  <si>
    <t>https://drive.google.com/open?id=1q_KHnAqLf_Ew8jAZTrIpAhyrVUHT045A</t>
  </si>
  <si>
    <t>yada100747@gmail.com</t>
  </si>
  <si>
    <t>วิชญาดา บุญต่อ</t>
  </si>
  <si>
    <t>0970091955</t>
  </si>
  <si>
    <t xml:space="preserve">N'wichayada boontor </t>
  </si>
  <si>
    <t>https://drive.google.com/open?id=1BbAcnJEh7E_GWXnpBhSFfvzYLDgzC_Y-</t>
  </si>
  <si>
    <t>kaew458745@gmail.com</t>
  </si>
  <si>
    <t>บุษบา ยอดพงษา</t>
  </si>
  <si>
    <t>0633460018</t>
  </si>
  <si>
    <t xml:space="preserve">Butsaba Yodpongsa </t>
  </si>
  <si>
    <t>https://drive.google.com/open?id=10SJQwUdmD6OXuzMjK5dp9i5M5Xjumsmg</t>
  </si>
  <si>
    <t>kmlphrrnlaphsar@gmail.com</t>
  </si>
  <si>
    <t>กมลพรรณ ลาภสาร</t>
  </si>
  <si>
    <t>0937575499</t>
  </si>
  <si>
    <t>https://drive.google.com/open?id=1kdBApmC90nxhkej-AWHkp4YLU2NFzTac</t>
  </si>
  <si>
    <t>penpak47@icloud.com</t>
  </si>
  <si>
    <t>เพ็ญพักตร์ พิทักษา</t>
  </si>
  <si>
    <t>0656264283</t>
  </si>
  <si>
    <t>Penpak Pitaksa</t>
  </si>
  <si>
    <t>https://drive.google.com/open?id=1hgov4WgNbTq6R_2OMX-EfewLgMOFJ_yf</t>
  </si>
  <si>
    <t>rungt607@gmail.com</t>
  </si>
  <si>
    <t>รุ่งทิวา ปรือปรัง</t>
  </si>
  <si>
    <t>0945148665</t>
  </si>
  <si>
    <t>Rungtiwa Prueprang</t>
  </si>
  <si>
    <t>https://drive.google.com/open?id=1Y3Howlwkxcl3Ci9pGZ6Ph7He4MiWW3Ni</t>
  </si>
  <si>
    <t>piromya2003@gmail.com</t>
  </si>
  <si>
    <t>ภิรมยา กิ่งเกษ</t>
  </si>
  <si>
    <t>0821326412</t>
  </si>
  <si>
    <t>Oum piromya</t>
  </si>
  <si>
    <t>https://drive.google.com/open?id=12W5JfCZLUhcg4l8puqMCn3A42I6SG0_6</t>
  </si>
  <si>
    <t>siriwan2002222@gmail.com</t>
  </si>
  <si>
    <t>ศิริวรรณ คำลุน</t>
  </si>
  <si>
    <t>0901992927</t>
  </si>
  <si>
    <t>Siriwan khamiun</t>
  </si>
  <si>
    <t>https://drive.google.com/open?id=1DAhgXSLQQTv2tUEQkIkwYH8kM2jxFe2R</t>
  </si>
  <si>
    <t>packaramai2544@gmail.com</t>
  </si>
  <si>
    <t>ภัครมัย ทองพันชั่ง</t>
  </si>
  <si>
    <t>รัฐประศาสนศาสตร์</t>
  </si>
  <si>
    <t>0951591575</t>
  </si>
  <si>
    <t>Packaramai thongpunchung</t>
  </si>
  <si>
    <t>https://drive.google.com/open?id=1EGSIveas0MmFFllPk4AacuPbDem5qde2</t>
  </si>
  <si>
    <t>stu6412798123@sskru.ac.th</t>
  </si>
  <si>
    <t>วรรณภา มณีวงค์</t>
  </si>
  <si>
    <t>0923570361</t>
  </si>
  <si>
    <t>Bam</t>
  </si>
  <si>
    <t>https://drive.google.com/open?id=1luOW66r6XHSvuVgpL-YQo8Bx2QG14znl</t>
  </si>
  <si>
    <t>supraneesaengmat@gmail.com</t>
  </si>
  <si>
    <t>สุปราณี แสงมาศ</t>
  </si>
  <si>
    <t>0979724119</t>
  </si>
  <si>
    <t>Suprani Saengmat</t>
  </si>
  <si>
    <t>https://drive.google.com/open?id=1Tg7CL427lwEiCWst7x3ezhUb-o3tsV2Y</t>
  </si>
  <si>
    <t>stu6412798107@sskru.ac.th</t>
  </si>
  <si>
    <t>กมลชนก  มีดี</t>
  </si>
  <si>
    <t>0631648490</t>
  </si>
  <si>
    <t>ชื่อ’ เบส.</t>
  </si>
  <si>
    <t>https://drive.google.com/open?id=1D5j9l2BWti7ZMG1Jqp5ODCgNKBXEuvoC</t>
  </si>
  <si>
    <t>citrnrngkhklinhxm83@gmail.com</t>
  </si>
  <si>
    <t>จิตรณรงค์ กลิ่นหอม</t>
  </si>
  <si>
    <t>พลศึกษา</t>
  </si>
  <si>
    <t>0954051792</t>
  </si>
  <si>
    <t xml:space="preserve">Chitnarong klinhom </t>
  </si>
  <si>
    <t>https://drive.google.com/open?id=1wLMWI-PiE9Ilt-NhUMacyHynTwKj6KxY</t>
  </si>
  <si>
    <t>thanikapaopanh@gmail.com</t>
  </si>
  <si>
    <t>ฐานิกา เผ่าพันธ์</t>
  </si>
  <si>
    <t>0649028807</t>
  </si>
  <si>
    <t>https://drive.google.com/open?id=16glFTwJYKn3G8AXf-To4b5qF3kWui-v9</t>
  </si>
  <si>
    <t>apisit.phim63@sskru.ac.th</t>
  </si>
  <si>
    <t>อภิสิทธิ์ พิมพ์สอน</t>
  </si>
  <si>
    <t>0991714764</t>
  </si>
  <si>
    <t>Apisit phimson</t>
  </si>
  <si>
    <t>https://drive.google.com/open?id=1pup8OLlcJTmCo7Jg1FFxzWnWB34dufza</t>
  </si>
  <si>
    <t>tidaratnumnim_608@outlook.co.th</t>
  </si>
  <si>
    <t>ธิดารัตน์ คำอุดม</t>
  </si>
  <si>
    <t>0610194005</t>
  </si>
  <si>
    <t>Tidarat Num</t>
  </si>
  <si>
    <t>ค่ะ</t>
  </si>
  <si>
    <t>https://drive.google.com/open?id=1TFKjkdKR3PMxyY1yI-EVfg5lqjVIekh5</t>
  </si>
  <si>
    <t>wannaporn.seangsawang@gmail.com</t>
  </si>
  <si>
    <t>วรรณพร แสงสว่าง</t>
  </si>
  <si>
    <t>0986373727</t>
  </si>
  <si>
    <t>Priem Wannaporn</t>
  </si>
  <si>
    <t>https://drive.google.com/open?id=1GQdELThlfHlOIDqjs3earyvmjfI2sj5v</t>
  </si>
  <si>
    <t>phatcharaporn5686@gmail.com</t>
  </si>
  <si>
    <t>พัชราภรณ์ มนตรี</t>
  </si>
  <si>
    <t>0821255686</t>
  </si>
  <si>
    <t xml:space="preserve">Nuan Paeng </t>
  </si>
  <si>
    <t>https://drive.google.com/open?id=1gkdNTxAOM-jTG1AkEy9EjHRS1S94OBZO</t>
  </si>
  <si>
    <t>faiiaphinya2003@gmail.com</t>
  </si>
  <si>
    <t>อภิญญา ห่อคำ</t>
  </si>
  <si>
    <t>0658760315</t>
  </si>
  <si>
    <t>Aphinya Hk</t>
  </si>
  <si>
    <t>https://drive.google.com/open?id=1wFh5RnsTIORLc_iUpcy0FAQ8_8HVPzlG</t>
  </si>
  <si>
    <t>game312545@gmail.com</t>
  </si>
  <si>
    <t>สิทธิพงษ์ มะลิต้น</t>
  </si>
  <si>
    <t>0626240471</t>
  </si>
  <si>
    <t>Sitthipong maliton</t>
  </si>
  <si>
    <t>https://drive.google.com/open?id=11zjx8umi9Mjn8edfuarGVmQ2ArgthQXr</t>
  </si>
  <si>
    <t>suphawadee1102002@gmail.com</t>
  </si>
  <si>
    <t>สุภาวดี นาคอ่อน</t>
  </si>
  <si>
    <t>0917537167</t>
  </si>
  <si>
    <t>แจ๋ม แหลม.</t>
  </si>
  <si>
    <t>https://drive.google.com/open?id=1RLWxzU6-txkkSoHjsickGfHe-ihU_Y_z</t>
  </si>
  <si>
    <t>kanittakorn.ck2@gmail.com</t>
  </si>
  <si>
    <t>ขนิษฐาป์กร เจริญศริรัฎถกร</t>
  </si>
  <si>
    <t>0972641324</t>
  </si>
  <si>
    <t>Kanitta Korn</t>
  </si>
  <si>
    <t>https://drive.google.com/open?id=1qDRaXyUQTeSSZ1xF4LHZwhDPZfi2KpmI</t>
  </si>
  <si>
    <t>laongdaw22012545@gmail.com</t>
  </si>
  <si>
    <t>ละอองดาว จันทะพม</t>
  </si>
  <si>
    <t>096-003-5865</t>
  </si>
  <si>
    <t>La Aong Daw Chanthaphom</t>
  </si>
  <si>
    <t>https://drive.google.com/open?id=1pTtSHYDBNi6IopzKOl9J6fTbBx_7jsSF</t>
  </si>
  <si>
    <t>tanawit.lose@gmail.com</t>
  </si>
  <si>
    <t>ธนวิชญ์ เหลาศรี</t>
  </si>
  <si>
    <t>0610859822</t>
  </si>
  <si>
    <t>Tanawit Laosri</t>
  </si>
  <si>
    <t>อาการเี</t>
  </si>
  <si>
    <t>https://drive.google.com/open?id=1Ou2S0AkpTAygfrYc6n21wd-2yf3Lp7bz</t>
  </si>
  <si>
    <t>stu6512798112@sskru.ac.th</t>
  </si>
  <si>
    <t>จันทร์จิรา มหาโภชน์</t>
  </si>
  <si>
    <t>0968910713</t>
  </si>
  <si>
    <t>Janjira mahaphot</t>
  </si>
  <si>
    <t>https://drive.google.com/open?id=1r-e1qa24hZ9W21fDb40SPk11cDiHtWcj</t>
  </si>
  <si>
    <t>g0926950856@gmail.com</t>
  </si>
  <si>
    <t>ประภัสรา สารจันทร์</t>
  </si>
  <si>
    <t>0926950856</t>
  </si>
  <si>
    <t>ประภัสรา’าา</t>
  </si>
  <si>
    <t xml:space="preserve">สนุกดี </t>
  </si>
  <si>
    <t>https://drive.google.com/open?id=1ocjc3XhtqIKEUglDBAhylrcUgvmB-xdt</t>
  </si>
  <si>
    <t>nachawanthawee@gmail.com</t>
  </si>
  <si>
    <t>ณชา วรรณทวี</t>
  </si>
  <si>
    <t>การสอนภาษาจีน</t>
  </si>
  <si>
    <t>0659701602</t>
  </si>
  <si>
    <t xml:space="preserve">Nacha Wanthawee </t>
  </si>
  <si>
    <t>https://drive.google.com/open?id=1SMu1qYR5hvMSxE6bI6WDekKR_rNHhSTM</t>
  </si>
  <si>
    <t>tod63570@gmail.com</t>
  </si>
  <si>
    <t>ทศพล พรมมา</t>
  </si>
  <si>
    <t>0637744478</t>
  </si>
  <si>
    <t>Thosaphon promma</t>
  </si>
  <si>
    <t>ดีคับ</t>
  </si>
  <si>
    <t>https://drive.google.com/open?id=1sLJO6eVyl_3qp49oV_tXW8cIaYrUggFG</t>
  </si>
  <si>
    <t>aer1410thanapha@gmail.com</t>
  </si>
  <si>
    <t>ธนาภา สายพิน</t>
  </si>
  <si>
    <t>0621306296</t>
  </si>
  <si>
    <t>Thanapa Saiphin</t>
  </si>
  <si>
    <t>กรรมการน่ารักมากค่ะ</t>
  </si>
  <si>
    <t>https://drive.google.com/open?id=12q_XK1BIkWr0hjKXJj7K1rlPoCR-KGz_</t>
  </si>
  <si>
    <t>kanyaratmeekeaw737@gmail.com</t>
  </si>
  <si>
    <t>กัญญารัตน์ มีแก้ว</t>
  </si>
  <si>
    <t>0981031205</t>
  </si>
  <si>
    <t>Kikapu Bilabeenbangbin</t>
  </si>
  <si>
    <t>https://drive.google.com/open?id=1q1iOgOJs0S6F3pBLea-6V8rQaVh95peo</t>
  </si>
  <si>
    <t>nay0934811336@gmail.com</t>
  </si>
  <si>
    <t>กฤต บุตรเทวินทร์</t>
  </si>
  <si>
    <t>0934811336</t>
  </si>
  <si>
    <t>Krit butthewin</t>
  </si>
  <si>
    <t>https://drive.google.com/open?id=15n2zyz_wHzt3IcCUgAfWLr6m9KQsAhoZ</t>
  </si>
  <si>
    <t>natchalida0737@gmail.com</t>
  </si>
  <si>
    <t>นัฐชลิดา สุระชาติ</t>
  </si>
  <si>
    <t>0983956207</t>
  </si>
  <si>
    <t>Natchalida Surachat</t>
  </si>
  <si>
    <t>https://drive.google.com/open?id=1uhLz2p-JFyWJgPcj1Rrl0hOx1WBBPh4B</t>
  </si>
  <si>
    <t>stu6410414203@sskru.ac.th</t>
  </si>
  <si>
    <t>ธนพัฒน์ สุทธิโสม</t>
  </si>
  <si>
    <t>0984857141</t>
  </si>
  <si>
    <t>ไป ไป ไปค่ายกัน</t>
  </si>
  <si>
    <t>https://drive.google.com/open?id=1xbhiZL6-xun5o-rfqA9aOcC_L1speszU</t>
  </si>
  <si>
    <t>stu6410073124@sskru.ac.th</t>
  </si>
  <si>
    <t>อุไรพร สุโข</t>
  </si>
  <si>
    <t>0630728965</t>
  </si>
  <si>
    <t xml:space="preserve">URAIPORN SUKHO </t>
  </si>
  <si>
    <t>https://drive.google.com/open?id=1wF9UT_I2h0R4tjVpjX6RMTO6wQoi1ubn</t>
  </si>
  <si>
    <t>kiritoasn1112@gmail.com</t>
  </si>
  <si>
    <t>วรกฤศ โพธิ์ธรรม</t>
  </si>
  <si>
    <t>0942652225</t>
  </si>
  <si>
    <t>PPol Vorakits Photham</t>
  </si>
  <si>
    <t>https://drive.google.com/open?id=1c5sKXSrRljghAo1Hz2tgJP1ox6_cvuJv</t>
  </si>
  <si>
    <t>stu6410073107@sskru.ac.th</t>
  </si>
  <si>
    <t>ธีรพงษ์ ไชยมั่น</t>
  </si>
  <si>
    <t>0638491687</t>
  </si>
  <si>
    <t>https://drive.google.com/open?id=1mF0KzJk5JzrYL4-JSiuvKs2fdMjZROM7</t>
  </si>
  <si>
    <t>suphachinee2546@gmail.com</t>
  </si>
  <si>
    <t>สุภาชินี พันธ์งาม</t>
  </si>
  <si>
    <t>0821409657</t>
  </si>
  <si>
    <t xml:space="preserve">Suphachinee Phanngam </t>
  </si>
  <si>
    <t>https://drive.google.com/open?id=1w4eXRM3ojK2-yodSnqQwCgxKtTV4arhm</t>
  </si>
  <si>
    <t>soraya.yodp63@sskru.ac.th</t>
  </si>
  <si>
    <t>โสรยา  ยอดผา</t>
  </si>
  <si>
    <t>คอมพิวเตอร์ธุรกิจ</t>
  </si>
  <si>
    <t>0982101876</t>
  </si>
  <si>
    <t>โสรยา'า</t>
  </si>
  <si>
    <t>ไม่มีคะ</t>
  </si>
  <si>
    <t>https://drive.google.com/open?id=1OdOFH9ZAkRKTITV1CWSPzXL1yIUsd4i9</t>
  </si>
  <si>
    <t>PiyadaWantavee19@gmail.com</t>
  </si>
  <si>
    <t>พิยะดา วันทวี</t>
  </si>
  <si>
    <t>0800056061</t>
  </si>
  <si>
    <t xml:space="preserve">Piyada Wantavee </t>
  </si>
  <si>
    <t>https://drive.google.com/open?id=1PfNZnNKwQMvAYGFqQiAqABVMRq5nmqtq</t>
  </si>
  <si>
    <t>stu6410414224@sskru.ac.th</t>
  </si>
  <si>
    <t>ศิรพร คำลุน</t>
  </si>
  <si>
    <t>0823526981</t>
  </si>
  <si>
    <t>Siraphorn Khamloon</t>
  </si>
  <si>
    <t>https://drive.google.com/open?id=1XXS1NP0yvb0rLELWEtXKRbabAp7wndck</t>
  </si>
  <si>
    <t>estcolaza123@gmail.com</t>
  </si>
  <si>
    <t>นภดล ฝอยทอง</t>
  </si>
  <si>
    <t>0942574033</t>
  </si>
  <si>
    <t>Nopphadon ET</t>
  </si>
  <si>
    <t>https://drive.google.com/open?id=1mdeZdcSH50FYJje87whODquEKwJlIl8D</t>
  </si>
  <si>
    <t>sittinonkongbua@gmail.com</t>
  </si>
  <si>
    <t>สิทธินนท์ คงบัว</t>
  </si>
  <si>
    <t>0930396019</t>
  </si>
  <si>
    <t>Sitthinon Khongbua</t>
  </si>
  <si>
    <t>https://drive.google.com/open?id=14dadRnFAocUug2FOLUrl7CkRykDrPPhv</t>
  </si>
  <si>
    <t>nawitsara.kaew63@sskru.ac.th</t>
  </si>
  <si>
    <t>นวิสรา แก้วพวง</t>
  </si>
  <si>
    <t>0824271018</t>
  </si>
  <si>
    <t xml:space="preserve">Gracety Nawisara </t>
  </si>
  <si>
    <t>https://drive.google.com/open?id=1FY4k3eQKZGJcqRK-yV_kzE6ih_6WqdEl</t>
  </si>
  <si>
    <t>KanniknBoonyang@gmail.com</t>
  </si>
  <si>
    <t>กรรณิการ์ บุญยัง</t>
  </si>
  <si>
    <t>0636402483</t>
  </si>
  <si>
    <t xml:space="preserve">Kannikan Boonyang </t>
  </si>
  <si>
    <t>https://drive.google.com/open?id=1-zYgXEZ2RVgjx_m8fb-YkjK5-aw5JSvt</t>
  </si>
  <si>
    <t>jinnipha228@gmail.com</t>
  </si>
  <si>
    <t>0634931505</t>
  </si>
  <si>
    <t xml:space="preserve">Jinnipha Phothong </t>
  </si>
  <si>
    <t>https://drive.google.com/open?id=1V2rJvnPWsNEKSFjgsF2N_OI1L6LFWnUY</t>
  </si>
  <si>
    <t>dsertyuoppo@gmail.com</t>
  </si>
  <si>
    <t>ชัยบดินทร์ ภาษารี</t>
  </si>
  <si>
    <t>0970066970</t>
  </si>
  <si>
    <t xml:space="preserve">Chaibodin Pasaree </t>
  </si>
  <si>
    <t>https://drive.google.com/open?id=1p8JWPRTUaSqk6W9Zlv-7LJjClM1V6Cwy</t>
  </si>
  <si>
    <t>pichaya3105@gmail.com</t>
  </si>
  <si>
    <t>พิชญา ปุลา</t>
  </si>
  <si>
    <t>0958180186</t>
  </si>
  <si>
    <t>พิชญา า.</t>
  </si>
  <si>
    <t>https://drive.google.com/open?id=11WlRBWgVPMbZumfYDR79QqCTiXVxzWd7</t>
  </si>
  <si>
    <t>oilboom360@gmail.com</t>
  </si>
  <si>
    <t>วัชรพล บุญธรรม</t>
  </si>
  <si>
    <t>0934540498</t>
  </si>
  <si>
    <t>พัค เซ ออย</t>
  </si>
  <si>
    <t>https://drive.google.com/open?id=1gyHiVPHMkSz31vYOhCS9WPFIp7SRszmi</t>
  </si>
  <si>
    <t>stu6410633203@sskru.ac.th</t>
  </si>
  <si>
    <t>ทีปกร สอนสา</t>
  </si>
  <si>
    <t>0831269373</t>
  </si>
  <si>
    <t>https://drive.google.com/open?id=1EOYjHWMNvNE8DmRXa0wY63SR7EraTFjE</t>
  </si>
  <si>
    <t>prawitlaam@gmail.com</t>
  </si>
  <si>
    <t>ประวิทธิ์ ลาอำ</t>
  </si>
  <si>
    <t>0968935738</t>
  </si>
  <si>
    <t>Prawit jang</t>
  </si>
  <si>
    <t>https://drive.google.com/open?id=1Cw8VvBSvIZRi52P8nN2Vmm5Bl_tv6Yvo</t>
  </si>
  <si>
    <t>stu6411506220@sskru.ac.th</t>
  </si>
  <si>
    <t>พรนภา พนารักษ์</t>
  </si>
  <si>
    <t>0994631449</t>
  </si>
  <si>
    <t>https://drive.google.com/open?id=19v_goXzJNW1d0-jCDMAfYvd14zOkzWTD</t>
  </si>
  <si>
    <t>preapi02946@gmail.com</t>
  </si>
  <si>
    <t>พิยดา วงษ์ภักดี</t>
  </si>
  <si>
    <t>0935573944</t>
  </si>
  <si>
    <t xml:space="preserve">Phiyada Wongpakdee </t>
  </si>
  <si>
    <t>https://drive.google.com/open?id=1aWFgiI-hcM8BDtMCjXdJRBM4iVvmRGU_</t>
  </si>
  <si>
    <t>sudaratkhamsopa@gmail.com</t>
  </si>
  <si>
    <t>สุดารัตน์ คำโสภา</t>
  </si>
  <si>
    <t>0630427459</t>
  </si>
  <si>
    <t>สุดารัตน์ฯ.</t>
  </si>
  <si>
    <t>https://drive.google.com/open?id=109g-hAOaLWy41Gw2_SrxHooliC9jSrr1</t>
  </si>
  <si>
    <t>chiranan.kont63@sskru.ac.th</t>
  </si>
  <si>
    <t>จิรนันท์ ก้อนทอง</t>
  </si>
  <si>
    <t>การจัดการ</t>
  </si>
  <si>
    <t>0658545870</t>
  </si>
  <si>
    <t xml:space="preserve">จิว จ๋า </t>
  </si>
  <si>
    <t>https://drive.google.com/open?id=1mxgEd4M7S7e4BP6Abu6y9VPrMmbR4kxw</t>
  </si>
  <si>
    <t>siriprapa.inso63@sskru.ac.th</t>
  </si>
  <si>
    <t>ศิริประภา อินทร์โสม</t>
  </si>
  <si>
    <t>0820101649</t>
  </si>
  <si>
    <t xml:space="preserve">Siriprapa insom </t>
  </si>
  <si>
    <t>https://drive.google.com/open?id=1hRfhfdr2cdaoykxekwIiE99wEhujJFQs</t>
  </si>
  <si>
    <t>stu6612721113@sskru.ac.th</t>
  </si>
  <si>
    <t>นิตติยา ประเทือง</t>
  </si>
  <si>
    <t>0961603049</t>
  </si>
  <si>
    <t>Nittiya Prathueang</t>
  </si>
  <si>
    <t>https://drive.google.com/open?id=162sSIV4sWwzz5a2ML8n14EmkXHYvlAZO</t>
  </si>
  <si>
    <t>klabor2549@gmail.com</t>
  </si>
  <si>
    <t>ธมลวรรณ หิรัญพันธ์</t>
  </si>
  <si>
    <t>0653465786</t>
  </si>
  <si>
    <t xml:space="preserve">Fah Thamonwan </t>
  </si>
  <si>
    <t>https://drive.google.com/open?id=116TwfRIvOkPbY9oDcl0WV1G7LPRBPCuJ</t>
  </si>
  <si>
    <t>panuwat.sonm63@sskru.ac.th</t>
  </si>
  <si>
    <t>ภานุวัฒน์ สอนมังคะละ</t>
  </si>
  <si>
    <t>0635419801</t>
  </si>
  <si>
    <t>ทิวลี่ ทวิน</t>
  </si>
  <si>
    <t>https://drive.google.com/open?id=1M7npy4ZUnBozUMldWtl-q7Kn1qEI6Qpv</t>
  </si>
  <si>
    <t>stu6412743131@sskru.ac.th</t>
  </si>
  <si>
    <t>รัตนมน สีทานอก</t>
  </si>
  <si>
    <t>0617685029</t>
  </si>
  <si>
    <t>Rattanamon Seetanok</t>
  </si>
  <si>
    <t>https://drive.google.com/open?id=1VZr_byMTXwwG70_3OBDg1AZ1b3dw_13I</t>
  </si>
  <si>
    <t>socutess501@gmail.com</t>
  </si>
  <si>
    <t>Mr. Xuan Phu Nguyen</t>
  </si>
  <si>
    <t>Phiphat Nguyen</t>
  </si>
  <si>
    <t>^_^</t>
  </si>
  <si>
    <t>https://drive.google.com/open?id=103dFaSkv9PwNTlMG_vl_18K6cREGMfZ4</t>
  </si>
  <si>
    <t>kaina.natthanan@gmail.com</t>
  </si>
  <si>
    <t>นัฐนันท์ แสงจันทร์</t>
  </si>
  <si>
    <t>0953259738</t>
  </si>
  <si>
    <t>นัฐนัน ท์.</t>
  </si>
  <si>
    <t>https://drive.google.com/open?id=1jNrVz1Ko3bXosqE8rZuDHMckfpTf83_v</t>
  </si>
  <si>
    <t>adison.miw@gmail.com</t>
  </si>
  <si>
    <t>อดิศร บรรทุมพร</t>
  </si>
  <si>
    <t>0985563216</t>
  </si>
  <si>
    <t>https://drive.google.com/open?id=1DrWLkpQSzbNYsPhFAIRweM-D8PQTx5_u</t>
  </si>
  <si>
    <t>chanita.soti63@sskru.ac.th</t>
  </si>
  <si>
    <t>น.ส.ชนิตา   โสตินัย</t>
  </si>
  <si>
    <t>0644123503</t>
  </si>
  <si>
    <t>ชนิตา   โสตินัย</t>
  </si>
  <si>
    <t>https://drive.google.com/open?id=1zT5HF6dryfbNgwEeJ1-5FlMTq_nEeiXU</t>
  </si>
  <si>
    <t>Siriphonjantha@gmail.com</t>
  </si>
  <si>
    <t>ศิริพร จันทรา</t>
  </si>
  <si>
    <t>0657031109</t>
  </si>
  <si>
    <t>Siriphon Jantha</t>
  </si>
  <si>
    <t>https://drive.google.com/open?id=1wq-u4vOkwqeQkcpPCj8Ox0Vve_Wkepod</t>
  </si>
  <si>
    <t>stu6412798127@sskru.ac.th</t>
  </si>
  <si>
    <t>ศรีสุดา รู้รอบ</t>
  </si>
  <si>
    <t>0934370029</t>
  </si>
  <si>
    <t>Srisuda Roorob</t>
  </si>
  <si>
    <t>https://drive.google.com/open?id=1booJ6FtTm6_Gsyjvshq7BytLEO4zI0zv</t>
  </si>
  <si>
    <t>lorercoster3@gmail.com</t>
  </si>
  <si>
    <t>ปรัชญา ปะทิรัมย์</t>
  </si>
  <si>
    <t>0951952362</t>
  </si>
  <si>
    <t>Pineapple pezza</t>
  </si>
  <si>
    <t>https://drive.google.com/open?id=1jN0eH447AzdhHzxw_tqnWlHwOEsTh8xq</t>
  </si>
  <si>
    <t>chinnapatkhamsing@gmail.com</t>
  </si>
  <si>
    <t>ชินภัทร คำเสียง</t>
  </si>
  <si>
    <t>0635792468</t>
  </si>
  <si>
    <t>Chinnaphat Khamsiang</t>
  </si>
  <si>
    <t>https://drive.google.com/open?id=1NkJJ4SIn6OC5um2-ZJUlMBbG_1jErZBo</t>
  </si>
  <si>
    <t>6412743142@gmail.com</t>
  </si>
  <si>
    <t>อรวรรณ ขันที</t>
  </si>
  <si>
    <t>0980982158</t>
  </si>
  <si>
    <t>ไม่ใชว่าไม่อยากเปลี่ยน แต่มันเปลี่ยนไม่ได้</t>
  </si>
  <si>
    <t>https://drive.google.com/open?id=1tCfQcd_FLGuYBKDDdD1bHAAiq9o4sCnC</t>
  </si>
  <si>
    <t>kandarat2020@gmail.com</t>
  </si>
  <si>
    <t>กานดารัตน์ สีเลิศ</t>
  </si>
  <si>
    <t>0619237363</t>
  </si>
  <si>
    <t>Pan pan</t>
  </si>
  <si>
    <t>เน็ตช้ามากค่ะ</t>
  </si>
  <si>
    <t>https://drive.google.com/open?id=1PBYO9EyjgEj6w-TnLajY7JcQujTuz7qX</t>
  </si>
  <si>
    <t>k.kochaporn27@gmail.com</t>
  </si>
  <si>
    <t>กชพร โคตะทันธ์</t>
  </si>
  <si>
    <t>0618203360</t>
  </si>
  <si>
    <t>https://drive.google.com/open?id=1YuzLXRm375XBNAP7z9XVJCvSvr0Lcb8p</t>
  </si>
  <si>
    <t>thwalphrwangdxkmi@gmail.com</t>
  </si>
  <si>
    <t>ธวัลพร วังดอกไม้</t>
  </si>
  <si>
    <t>0645425414</t>
  </si>
  <si>
    <t>พะ เเพรว.ว</t>
  </si>
  <si>
    <t>..</t>
  </si>
  <si>
    <t>https://drive.google.com/open?id=16snOAQmh-ctl37p7I8jKkz1Uiw2FEGvG</t>
  </si>
  <si>
    <t>stu6412269121@sskru.ac.th</t>
  </si>
  <si>
    <t>ศุัภกร เถาว์คูณ</t>
  </si>
  <si>
    <t>คอมดิจิตอล</t>
  </si>
  <si>
    <t>0962723372​</t>
  </si>
  <si>
    <t>Suphakorn​ thaokoon</t>
  </si>
  <si>
    <t>ง่วง</t>
  </si>
  <si>
    <t>https://drive.google.com/open?id=139bbD2ZSvtkycS4zOG5aYZr3LsEF5Gp2</t>
  </si>
  <si>
    <t>ni.nin27890@gamil.com</t>
  </si>
  <si>
    <t>เขมินทรา รัตพันธ์</t>
  </si>
  <si>
    <t>0889420304</t>
  </si>
  <si>
    <t>Kheminthra Rattaphan</t>
  </si>
  <si>
    <t>https://drive.google.com/open?id=1b8fzHyo3w_Yy4CJN2Up0bnKGTxoXaH8c</t>
  </si>
  <si>
    <t>stu6410073119@sskru.ac.th</t>
  </si>
  <si>
    <t>ยุภา จันทเสน</t>
  </si>
  <si>
    <t>0652458120</t>
  </si>
  <si>
    <t>Pim Yupa Jantasen</t>
  </si>
  <si>
    <t>https://drive.google.com/open?id=1J-W4Kg-9538S7ELJqguI4MTkarTgGsIl</t>
  </si>
  <si>
    <t>estssk106@gmail.com</t>
  </si>
  <si>
    <t>อัษฎา หาจักร์</t>
  </si>
  <si>
    <t>0942544298</t>
  </si>
  <si>
    <t>Est esr</t>
  </si>
  <si>
    <t>https://drive.google.com/open?id=1HnHR47G3ukqGROi_gbUuFbkfHaBAniP-</t>
  </si>
  <si>
    <t>aonm.0022333@gmail.com</t>
  </si>
  <si>
    <t>ธัญญาภรณ์ พูนพัฒนาทรัพย์</t>
  </si>
  <si>
    <t>0947522741</t>
  </si>
  <si>
    <t xml:space="preserve">Tanyaporn Phoonphattanasup </t>
  </si>
  <si>
    <t>ร้อนมาก</t>
  </si>
  <si>
    <t>https://drive.google.com/open?id=1aK0QPHOwwZ_X8um2KM1RgvM17U-QUvkD</t>
  </si>
  <si>
    <t>srisuda9531id@gmail.com</t>
  </si>
  <si>
    <t>ศรีสุดา ทุมแถว</t>
  </si>
  <si>
    <t>0807230677</t>
  </si>
  <si>
    <t>ศรีสุดา าา</t>
  </si>
  <si>
    <t>ง่วงนอนมากค่ะ</t>
  </si>
  <si>
    <t>https://drive.google.com/open?id=1aMBXgokvx_szIK-Eu5frwOttBPeiGgoS</t>
  </si>
  <si>
    <t>boriwatrattanawan06@gmail.com</t>
  </si>
  <si>
    <t>บริวัตร รัตนวัน</t>
  </si>
  <si>
    <t>0991318803</t>
  </si>
  <si>
    <t>FI FA</t>
  </si>
  <si>
    <t>https://drive.google.com/open?id=1KZVIDZJ_T0bhK7v3fMJg81hbx_TSino2</t>
  </si>
  <si>
    <t>mlthirphxchali@gmail.com</t>
  </si>
  <si>
    <t>มลฑิรา พอชาลี</t>
  </si>
  <si>
    <t>0804422481</t>
  </si>
  <si>
    <t>หลิง'หลิง</t>
  </si>
  <si>
    <t>https://drive.google.com/open?id=1Zev3dqzGjoRbEKnvDOh8XvckLWBm-WFv</t>
  </si>
  <si>
    <t>moplee344@gmail.com</t>
  </si>
  <si>
    <t>สุวรรณา แสงมาศ</t>
  </si>
  <si>
    <t>0624513984</t>
  </si>
  <si>
    <t>Suwanna Saengmat</t>
  </si>
  <si>
    <t>https://drive.google.com/open?id=1XfX4ph2IB0G2R74lwfNoA3qSfM52k5SX</t>
  </si>
  <si>
    <t>0630195472tanyalak@gmail.com</t>
  </si>
  <si>
    <t>ธัญลักษณ์ ร่องวารี</t>
  </si>
  <si>
    <t>0630195472</t>
  </si>
  <si>
    <t>Tanyalak Rongwaree</t>
  </si>
  <si>
    <t>https://drive.google.com/open?id=1A3xkM9PQMrCum1ep0WFqkPd5nRAdXDKV</t>
  </si>
  <si>
    <t>suchitta7350@gmail.com</t>
  </si>
  <si>
    <t>สุจิตรา รัตนะ</t>
  </si>
  <si>
    <t>ประวัติศาสตร์</t>
  </si>
  <si>
    <t>0923495105</t>
  </si>
  <si>
    <t xml:space="preserve">Suchittra Rattana </t>
  </si>
  <si>
    <t>https://drive.google.com/open?id=1XdEV8OORHwsSfFtBFVn5ddpfmjQcKo2u</t>
  </si>
  <si>
    <t>nongpyk01234@gmail.com</t>
  </si>
  <si>
    <t>ปณิตา ยงกุล</t>
  </si>
  <si>
    <t>0930592157</t>
  </si>
  <si>
    <t>https://drive.google.com/open?id=19DZaDeJCit65B7yUwZFgKpMYP5CY_khD</t>
  </si>
  <si>
    <t>stu6410073109@sskru.ac.th</t>
  </si>
  <si>
    <t>วีระวัฒน์ มีพันธ์</t>
  </si>
  <si>
    <t>0993613015</t>
  </si>
  <si>
    <t xml:space="preserve">Weerawat Meephan </t>
  </si>
  <si>
    <t>https://drive.google.com/open?id=1wFuOWz7PsdiTj6zDM-5iJVfuV06_LYOJ</t>
  </si>
  <si>
    <t>zzxxccvvsd240@gmail.com</t>
  </si>
  <si>
    <t>วิชญ์พล สมานรัตน์</t>
  </si>
  <si>
    <t>0983498406</t>
  </si>
  <si>
    <t xml:space="preserve">Wcp'Hernf haww </t>
  </si>
  <si>
    <t>https://drive.google.com/open?id=11db1Z1vsU3Bvid6WI_2afjd8YTdsNS1H</t>
  </si>
  <si>
    <t>stu6410073114@sskru.ac.th</t>
  </si>
  <si>
    <t>จริยา แพทย์กลาง</t>
  </si>
  <si>
    <t>0801177802</t>
  </si>
  <si>
    <t>Kkjariya Phaetklang</t>
  </si>
  <si>
    <t>https://drive.google.com/open?id=1Gsqcq885HG1nnxF3r8QX185NL-IHiyr4</t>
  </si>
  <si>
    <t>sakuna33210@gmail.com</t>
  </si>
  <si>
    <t>สกุณา คำเผือ</t>
  </si>
  <si>
    <t>0615140850</t>
  </si>
  <si>
    <t>Sakuna khampue</t>
  </si>
  <si>
    <t>https://drive.google.com/open?id=18rs2-da8loPniwmeCzcBExJugwBci-Ej</t>
  </si>
  <si>
    <t>bencharatlaomuang@gmail.com</t>
  </si>
  <si>
    <t>เบญจรัตน์ ลาวเมือง</t>
  </si>
  <si>
    <t>0838181363</t>
  </si>
  <si>
    <t xml:space="preserve">Bencharat Laomuang </t>
  </si>
  <si>
    <t>https://drive.google.com/open?id=13C_Qkags0td8FR7nyo3wDb0X72djRB_l</t>
  </si>
  <si>
    <t>Chon1339700022264@gmail.com</t>
  </si>
  <si>
    <t>ชลธิชา พวงจำปา</t>
  </si>
  <si>
    <t>0956742034</t>
  </si>
  <si>
    <t xml:space="preserve">Wjpaeng Num’m </t>
  </si>
  <si>
    <t>https://drive.google.com/open?id=1ua-Zmwq08e2C8059Abx0iG8rSiqXfI5T</t>
  </si>
  <si>
    <t>pek0640059241@gmail.com</t>
  </si>
  <si>
    <t>คุณิตา บุตะเคียน</t>
  </si>
  <si>
    <t>0640059241</t>
  </si>
  <si>
    <t xml:space="preserve">Kunita Butakhian </t>
  </si>
  <si>
    <t>https://drive.google.com/open?id=1dm5KnNBE5NfdlV01Na88f5jY4DpKgIJB</t>
  </si>
  <si>
    <t>rattanawansanusan@gmail.com</t>
  </si>
  <si>
    <t>รัตนวรรณ สานุสันต์</t>
  </si>
  <si>
    <t>0989971014</t>
  </si>
  <si>
    <t>Rattanawan Sanusan</t>
  </si>
  <si>
    <t>https://drive.google.com/open?id=1WoVPIi9048pLmNHt3yt1GoBbDvj83CrO</t>
  </si>
  <si>
    <t>stu6411506219@sskru.ac.th</t>
  </si>
  <si>
    <t>ปิยมาภรณ์ คงศรี</t>
  </si>
  <si>
    <t>0994407403</t>
  </si>
  <si>
    <t>https://drive.google.com/open?id=1Ing0JQbPAE6TzmePliF0iN-42-hA1Kfz</t>
  </si>
  <si>
    <t>phichittrakannika@gmil.com</t>
  </si>
  <si>
    <t>พิจิตรา กันนิกา</t>
  </si>
  <si>
    <t>0934450271</t>
  </si>
  <si>
    <t>https://www.facebook.com/phichittra.kannika.3?mibextid=ZbWKwL</t>
  </si>
  <si>
    <t>https://drive.google.com/open?id=1JwtzrjEgU_z_CP78tsO5c8q4QXC_uflZ</t>
  </si>
  <si>
    <t>stu6412866222@sskru.ac.th</t>
  </si>
  <si>
    <t>สุภาพร ทองพิละ</t>
  </si>
  <si>
    <t xml:space="preserve">Suphaphorn Thongpila </t>
  </si>
  <si>
    <t>https://drive.google.com/open?id=1CI607hKC4Ds0z4bSv6CZlR_wzXmjHpNs</t>
  </si>
  <si>
    <t>mean28346@gmail.com</t>
  </si>
  <si>
    <t>ภูมิพงศ์ สุภาพ</t>
  </si>
  <si>
    <t>0823713892</t>
  </si>
  <si>
    <t>Poompong Supap</t>
  </si>
  <si>
    <t>https://drive.google.com/open?id=1hBbZNMBRq3IUonfN1Mj4SE4E7uyyuA7S</t>
  </si>
  <si>
    <t>tanasiri.cahr63@sskru.ac.th</t>
  </si>
  <si>
    <t>ธนาศิริ จารักษ์</t>
  </si>
  <si>
    <t>เทคโนโลยีคอมพิวเตอร์เเละดิจิทัล</t>
  </si>
  <si>
    <t>0643076921</t>
  </si>
  <si>
    <t>คิง’ง</t>
  </si>
  <si>
    <t>https://drive.google.com/open?id=1MMKXz5SVu84ACbO0UQ9DnR2AurzXnmEg</t>
  </si>
  <si>
    <t>boonyavee.chul63@sskru.ac.th</t>
  </si>
  <si>
    <t>บุณยวีร์ ชูเลิศ</t>
  </si>
  <si>
    <t>0986277746</t>
  </si>
  <si>
    <t>https://drive.google.com/open?id=1TqqsrkEnWykRW4TQCqon8jd0eDrsMS2P</t>
  </si>
  <si>
    <t>stu6410488107@sskru.ac.th</t>
  </si>
  <si>
    <t>วันชัย จำเริญ</t>
  </si>
  <si>
    <t>0616284689</t>
  </si>
  <si>
    <t xml:space="preserve">Wanchai chamroen </t>
  </si>
  <si>
    <t>https://drive.google.com/open?id=1oof74U0EGhx6G6nrJBNjyhahz_ofQUkp</t>
  </si>
  <si>
    <t>sunisaboutpun@gmail.com</t>
  </si>
  <si>
    <t>สุนิษา บัวพันธ์</t>
  </si>
  <si>
    <t>0954801021</t>
  </si>
  <si>
    <t xml:space="preserve">Sunisa Baophan </t>
  </si>
  <si>
    <t>https://drive.google.com/open?id=1E8cCdRFdzZ7GWcm1e4Y3SDEcS_Glh838</t>
  </si>
  <si>
    <t>naynoey7527@gmail.com</t>
  </si>
  <si>
    <t>อภิสิทธิ์ ประดู่</t>
  </si>
  <si>
    <t>0808453464</t>
  </si>
  <si>
    <t>Aphisit Pradu</t>
  </si>
  <si>
    <t>https://drive.google.com/open?id=1o7jN13KZaERtzToiA0F8zAu5p-JZuFba</t>
  </si>
  <si>
    <t>stu6411506228@sskru.ac.th</t>
  </si>
  <si>
    <t>วรนุช คำประภา</t>
  </si>
  <si>
    <t>0653477361</t>
  </si>
  <si>
    <t xml:space="preserve">Worranuch khumpapha </t>
  </si>
  <si>
    <t>https://drive.google.com/open?id=1de31fv96d4p5j0GAXxe-LdDSekbKLnL6</t>
  </si>
  <si>
    <t>stu6512798102@gmail.com</t>
  </si>
  <si>
    <t>ธัชศกรณ์ ศรีมันตะ</t>
  </si>
  <si>
    <t>0924127623</t>
  </si>
  <si>
    <t>Pond thatsakon</t>
  </si>
  <si>
    <t>https://drive.google.com/open?id=1i4Cg9po4P8ygTwbtrDSyEgjLWJqBG7J4</t>
  </si>
  <si>
    <t>rapeepun102@gmail.com</t>
  </si>
  <si>
    <t>ระพีพรรณ ศิริเทศ</t>
  </si>
  <si>
    <t>0834600856</t>
  </si>
  <si>
    <t>บีมม’น้อย</t>
  </si>
  <si>
    <t>https://drive.google.com/open?id=1A5SM5U7oHFwrXo5I6uCd4c-dsO6tLpov</t>
  </si>
  <si>
    <t>siriluk.pata63@sskru.ac.th</t>
  </si>
  <si>
    <t>สิริลักษณ์ ปฐมาวงค์</t>
  </si>
  <si>
    <t>0983382061</t>
  </si>
  <si>
    <t>Fen</t>
  </si>
  <si>
    <t>https://drive.google.com/open?id=1ixb0H9BJxXkzB5dFZygrBASqSMOYSzRU</t>
  </si>
  <si>
    <t>wachiraseehawong13@gmail.com</t>
  </si>
  <si>
    <t>วชิระ สีหะวงษ์</t>
  </si>
  <si>
    <t>0648537121</t>
  </si>
  <si>
    <t>Chocolez tez</t>
  </si>
  <si>
    <t>https://drive.google.com/open?id=1Eb6UBcfv4tgrvEFWHdhcbKT4DJKoBFkI</t>
  </si>
  <si>
    <t>ratchanon.weanglum@gmail.com</t>
  </si>
  <si>
    <t>รัชชานนท์  เวียงคำ</t>
  </si>
  <si>
    <t>0902932759</t>
  </si>
  <si>
    <t>Ratchanon wk</t>
  </si>
  <si>
    <t>No</t>
  </si>
  <si>
    <t>https://drive.google.com/open?id=1pYJE1dUyqypCInnnqojwqmUK632j_nmy</t>
  </si>
  <si>
    <t>jet01417@gmail.com</t>
  </si>
  <si>
    <t>เจษฎา เรืองศรี</t>
  </si>
  <si>
    <t>0987096874</t>
  </si>
  <si>
    <t>Jedsada Rueangsri</t>
  </si>
  <si>
    <t>https://drive.google.com/open?id=124dGKgv4RguSG4w-mZLUcQNdEdH7ak0i</t>
  </si>
  <si>
    <t>watcharaporn06899@gmail.com</t>
  </si>
  <si>
    <t>วัชรพร อังกาบขาว</t>
  </si>
  <si>
    <t>0653216333</t>
  </si>
  <si>
    <t>Watcharaphon Oangkapkhao</t>
  </si>
  <si>
    <t>https://drive.google.com/open?id=1VM474tK-bu6rHluHkDjAOUY5nf5gxzGn</t>
  </si>
  <si>
    <t>ppink0216@gmail.com</t>
  </si>
  <si>
    <t>อารยา คำแสน</t>
  </si>
  <si>
    <t>0638985150</t>
  </si>
  <si>
    <t>Arraya Ks</t>
  </si>
  <si>
    <t>https://drive.google.com/open?id=1kq1-UI-LINSlTTW1hj9mosc7aXkGy6Qs</t>
  </si>
  <si>
    <t>Samsungsamsung81417@gmail.com</t>
  </si>
  <si>
    <t>พัฒนากร เสชัง</t>
  </si>
  <si>
    <t>0652581417</t>
  </si>
  <si>
    <t xml:space="preserve">Phatthanakon sechang </t>
  </si>
  <si>
    <t>https://drive.google.com/open?id=1jwUpeRh1wxWp3Y8BzN_iD47BJzNQW_sl</t>
  </si>
  <si>
    <t>kmponsopee@gmail.com</t>
  </si>
  <si>
    <t>กัมพล โสภี</t>
  </si>
  <si>
    <t>0981944169</t>
  </si>
  <si>
    <t>หว่าจั่งได๋กัมพล</t>
  </si>
  <si>
    <t>ไม่มีครับจุ้บจุ้บๆ</t>
  </si>
  <si>
    <t>https://drive.google.com/open?id=1QWTbhNhkqyLDTJ51e0t4GLTuu5AWqtAW</t>
  </si>
  <si>
    <t>chalitacr56@gmail.com</t>
  </si>
  <si>
    <t>ชลิตา นามบุญเรือง</t>
  </si>
  <si>
    <t>0826370199</t>
  </si>
  <si>
    <t>ชลิตา ฯ.</t>
  </si>
  <si>
    <t>https://drive.google.com/open?id=1oypAIcXJDVB212G4wH8EGI20PoEGefig</t>
  </si>
  <si>
    <t>fairrygame@gmail.com</t>
  </si>
  <si>
    <t>ชินดนัย พิมพกุล</t>
  </si>
  <si>
    <t>ภาษาอังกฤษธุรกิจ 2</t>
  </si>
  <si>
    <t>0644989010</t>
  </si>
  <si>
    <t xml:space="preserve">Fair Chindanai </t>
  </si>
  <si>
    <t>https://drive.google.com/open?id=1JQVYcC2pfeZfIAiVIHgoB5mKg4zNvBr1</t>
  </si>
  <si>
    <t>natthamon5718@gmail.com</t>
  </si>
  <si>
    <t>ณัฐมล รุ่งเรือง</t>
  </si>
  <si>
    <t>0620725718</t>
  </si>
  <si>
    <t>Natthamon Rungruang</t>
  </si>
  <si>
    <t>https://drive.google.com/open?id=1Ovt9zPEBUEIvrQFyDzF0BAH2hiy1FpAu</t>
  </si>
  <si>
    <t>aa0842374667@gmail.com</t>
  </si>
  <si>
    <t>เสาวลักษณ์ อินทะ</t>
  </si>
  <si>
    <t>0842374667</t>
  </si>
  <si>
    <t>Saowaluk Inta</t>
  </si>
  <si>
    <t>https://drive.google.com/open?id=1SWv5ltWgIDXmSZvWJ59shznp4u930quL</t>
  </si>
  <si>
    <t>cirapraphaphrphiladi@gmail.com</t>
  </si>
  <si>
    <t>จิระประภาพร พิลาดี</t>
  </si>
  <si>
    <t>0802318307</t>
  </si>
  <si>
    <t>ก.แก้ม มม</t>
  </si>
  <si>
    <t>https://drive.google.com/open?id=12u8aR-CUKpSBdo5-6yyPqRK_40q-yyWi</t>
  </si>
  <si>
    <t>wannaratphongwiset@gmail.com</t>
  </si>
  <si>
    <t>วรรณรัตน์ พงษ์วิเศษ</t>
  </si>
  <si>
    <t>0945345556</t>
  </si>
  <si>
    <t xml:space="preserve">Wannarat Phongwiset </t>
  </si>
  <si>
    <t>https://drive.google.com/open?id=1nKCGWqvCgis2RAitS9t_u-YhkiTiY4ME</t>
  </si>
  <si>
    <t>jane.tipprom@gmail.com</t>
  </si>
  <si>
    <t>จุฬารัตน์ ทิพพรม</t>
  </si>
  <si>
    <t>0639262273</t>
  </si>
  <si>
    <t>Jularat tipprom</t>
  </si>
  <si>
    <t>https://drive.google.com/open?id=1kBVMwOZTWD-X8HsArcIp0IpnEIgJsJXX</t>
  </si>
  <si>
    <t>saowaphon.kunu64@sskru.ac.th</t>
  </si>
  <si>
    <t>เสาวภรณ์ คุณุรัตน์</t>
  </si>
  <si>
    <t>0625597582</t>
  </si>
  <si>
    <t>Prang kunurat</t>
  </si>
  <si>
    <t>https://drive.google.com/open?id=138IDKo68FWB6O59SHOEM9OZ9_wbSGPo4</t>
  </si>
  <si>
    <t>stu6412798106@sskru.ac.th</t>
  </si>
  <si>
    <t>สุธิราช ศรีเลิศ</t>
  </si>
  <si>
    <t>0658757179</t>
  </si>
  <si>
    <t>Sutirat Sriloet</t>
  </si>
  <si>
    <t>https://drive.google.com/open?id=10Yd034ZtN3IsVP3khoVawe2w69EXG6Yo</t>
  </si>
  <si>
    <t>stu6412866221@sskru.ac.th</t>
  </si>
  <si>
    <t>สาริณี นามวงค์</t>
  </si>
  <si>
    <t>0636870897</t>
  </si>
  <si>
    <t>ปราง'เปรี้ยว</t>
  </si>
  <si>
    <t>https://drive.google.com/open?id=1VfRzYMF0lES-SiKiuYFyX8Y8DEGykTXo</t>
  </si>
  <si>
    <t>salisasornsamdaeng2003@gmail.com</t>
  </si>
  <si>
    <t>ศลิษา ศรสำแดง</t>
  </si>
  <si>
    <t>0989934450</t>
  </si>
  <si>
    <t>https://drive.google.com/open?id=16JcfPHsI0uNvnJbK7Q4hWOv80so3SXnw</t>
  </si>
  <si>
    <t>tonggmae061@gmail.com</t>
  </si>
  <si>
    <t>อภิชาติ สาลี</t>
  </si>
  <si>
    <t>0653437104</t>
  </si>
  <si>
    <t>APICHAT SALEE</t>
  </si>
  <si>
    <t>https://drive.google.com/open?id=1BAu_sKHWTbra9Oh6TpL2EojYNQa7HbQn</t>
  </si>
  <si>
    <t>nnpaaycc8756@gmail.com</t>
  </si>
  <si>
    <t>ชลธิชา ชาญชิตร</t>
  </si>
  <si>
    <t>0644823953</t>
  </si>
  <si>
    <t xml:space="preserve">Chonthicha Chanchit </t>
  </si>
  <si>
    <t>https://drive.google.com/open?id=1koqAn4KJtXhydHq8r73oCAetBEsW2DSB</t>
  </si>
  <si>
    <t>0986430151.sk@gmail.com</t>
  </si>
  <si>
    <t>สโรชา แก้วเชียงทอง</t>
  </si>
  <si>
    <t>0986430151</t>
  </si>
  <si>
    <t>https://drive.google.com/open?id=1tb9iAtwydz4QHZvWbAlgwhjGXQqI07Sr</t>
  </si>
  <si>
    <t>stu6410073113@sskru.ac.th</t>
  </si>
  <si>
    <t>อภิสิทธิ์ กันทะสระ</t>
  </si>
  <si>
    <t>0981809562</t>
  </si>
  <si>
    <t>แฟ้ม' ราชสีห์</t>
  </si>
  <si>
    <t>https://drive.google.com/open?id=1ciDxmeUZKJckgpm53ynNpe91gBWNB7Ng</t>
  </si>
  <si>
    <t>bamsiraprapha@gmail.com</t>
  </si>
  <si>
    <t>ศิรประภา พิจารณ์</t>
  </si>
  <si>
    <t>0950417649</t>
  </si>
  <si>
    <t>เเบม เเบม.</t>
  </si>
  <si>
    <t>https://drive.google.com/open?id=1kyYKfDi9TlUawG-YTKV4XzPtCyuUCOIo</t>
  </si>
  <si>
    <t>stu6412269106@sskru.ac.th</t>
  </si>
  <si>
    <t>จิรวัฒน์ บุญวาส</t>
  </si>
  <si>
    <t>0642708141</t>
  </si>
  <si>
    <t>ฝาก</t>
  </si>
  <si>
    <t>https://drive.google.com/open?id=1hfrsLvxK5z5TFDTY_hMudsOMG6xNoI5l</t>
  </si>
  <si>
    <t>daymonster581@gmail.com</t>
  </si>
  <si>
    <t>มยุรฉัตร ระยอง</t>
  </si>
  <si>
    <t>0840579479</t>
  </si>
  <si>
    <t xml:space="preserve">Mayurachat Rayong </t>
  </si>
  <si>
    <t>https://drive.google.com/open?id=1S46b-oakxw1sztuYQzEa8D7aFN4CChH8</t>
  </si>
  <si>
    <t>stu6410073121@sskru.ac.th</t>
  </si>
  <si>
    <t>สรวงสุดา สีหาบุตร</t>
  </si>
  <si>
    <t>0934909150</t>
  </si>
  <si>
    <t>Soungsuda Srihabut</t>
  </si>
  <si>
    <t>https://drive.google.com/open?id=1j4so8Yx5c-cVqJFX_1v7jxj8U7uv8Zv4</t>
  </si>
  <si>
    <t>stu6412798105@sskru.ac.th</t>
  </si>
  <si>
    <t>สรวิศ สามารถ</t>
  </si>
  <si>
    <t>0933864070</t>
  </si>
  <si>
    <t>Bell Sry</t>
  </si>
  <si>
    <t>https://drive.google.com/open?id=1E2rrHGidSfLFJ1JtVeiBJ2P_UDC5hPzo</t>
  </si>
  <si>
    <t>enjoyjoy20092544@gmail.com</t>
  </si>
  <si>
    <t>อัญชิสา ใยอาจ</t>
  </si>
  <si>
    <t>0947587518</t>
  </si>
  <si>
    <t>จอย ย.</t>
  </si>
  <si>
    <t>https://drive.google.com/open?id=14z9onsQ142y-Yjijcx31b-oH237sRBqm</t>
  </si>
  <si>
    <t>sorayutjansit@gmail.com</t>
  </si>
  <si>
    <t>สรยุทธ จันทร์สิทธิ์</t>
  </si>
  <si>
    <t>วิทศาสตร์และการกีฬา</t>
  </si>
  <si>
    <t>0925428283</t>
  </si>
  <si>
    <t>เพชรเอเชียร์ ชลบุรีอาร์ตมีเดียกรุ๊ป</t>
  </si>
  <si>
    <t>https://drive.google.com/open?id=1z2L0INclkaS2Vxgn6pyGwPCnTe8EWVBK</t>
  </si>
  <si>
    <t>patcharapornketsiri23@gmail.com</t>
  </si>
  <si>
    <t>พัชราภรณ์ เกษศิริ</t>
  </si>
  <si>
    <t>0905987628</t>
  </si>
  <si>
    <t>https://drive.google.com/open?id=1qOAYwZ_ghkz5L79u9ZJoUve5B9vbJEWt</t>
  </si>
  <si>
    <t>stu6412798116@sskru.ac.th</t>
  </si>
  <si>
    <t>ปาณมินท์ นรดี</t>
  </si>
  <si>
    <t>0803151213</t>
  </si>
  <si>
    <t>Meennie</t>
  </si>
  <si>
    <t>https://drive.google.com/open?id=1hL_RiK-Z7fOCXEk3iSH5ckUdJNReWOFR</t>
  </si>
  <si>
    <t>stu6412798117@sskru.ac.th</t>
  </si>
  <si>
    <t>พรทิพา พวงจำปา</t>
  </si>
  <si>
    <t>0624804476</t>
  </si>
  <si>
    <t>https://drive.google.com/open?id=1-DfZsAKOL-nCOnPAkfBDDmvBjx9UVvWJ</t>
  </si>
  <si>
    <t>sukanya06904@gmail.com</t>
  </si>
  <si>
    <t>สุกัญญา ทองลือ</t>
  </si>
  <si>
    <t>0967258476</t>
  </si>
  <si>
    <t>Sukanya ThongLue</t>
  </si>
  <si>
    <t>https://drive.google.com/open?id=1hVoYN0Ju9SOCV4WI0iaejEIFW-jS8cnI</t>
  </si>
  <si>
    <t>wichayaporn1206@gmail.com</t>
  </si>
  <si>
    <t>วิชญาพร กาละเมฆ</t>
  </si>
  <si>
    <t>0628306879</t>
  </si>
  <si>
    <t>Wichayaporn Kalamak</t>
  </si>
  <si>
    <t>https://drive.google.com/open?id=1F2SjidfxJZUPX8j9cRLj4CEo7dD7uq2a</t>
  </si>
  <si>
    <t>jesada525@gmail.com</t>
  </si>
  <si>
    <t>เจษฎา นันทะสิงห์</t>
  </si>
  <si>
    <t>โยธา สถาปัตยกรรม</t>
  </si>
  <si>
    <t>0610954787</t>
  </si>
  <si>
    <t xml:space="preserve">JATSADA NANTESING </t>
  </si>
  <si>
    <t>https://drive.google.com/open?id=1xKJ2y-4H3RPFyHkaayM3P3MOZFu75LTb</t>
  </si>
  <si>
    <t>stu6410633124@sskru.ac.th</t>
  </si>
  <si>
    <t>ลลนา จิตรแสวง</t>
  </si>
  <si>
    <t>0954013707</t>
  </si>
  <si>
    <t>Lalana Chitsawaeng</t>
  </si>
  <si>
    <t>https://drive.google.com/open?id=1JuKaWKHZspG__j3DiV7SljL4ancI4JQz</t>
  </si>
  <si>
    <t>thinnakorn.phot63@sskru.ac.th</t>
  </si>
  <si>
    <t>ทินกร โพธิโสภา</t>
  </si>
  <si>
    <t>0619837110</t>
  </si>
  <si>
    <t>Tin Korn</t>
  </si>
  <si>
    <t>https://drive.google.com/open?id=1TO42aVbDI3I_ILTQRsjUnqWHZsbaqh7d</t>
  </si>
  <si>
    <t>wuttichaphadee2001@gmail.com</t>
  </si>
  <si>
    <t>วุฒิชา พาดี</t>
  </si>
  <si>
    <t>0988062702</t>
  </si>
  <si>
    <t>https://drive.google.com/open?id=1JkgA5WcC-2q7n5H9B8BmKEQ6PJ61SXVw</t>
  </si>
  <si>
    <t>panyadudda@gmail.com</t>
  </si>
  <si>
    <t>ปัญญา ุจดา</t>
  </si>
  <si>
    <t>นิเทศศาสตร์</t>
  </si>
  <si>
    <t>0635870986</t>
  </si>
  <si>
    <t>Panya Dudda</t>
  </si>
  <si>
    <t>ดีๆๆ</t>
  </si>
  <si>
    <t>https://drive.google.com/open?id=16AHxr8YWRm8VmtrooACZ8NR9zGa3OfM3</t>
  </si>
  <si>
    <t>aommaomm0810@gmail.com</t>
  </si>
  <si>
    <t>จิรนันท์ วิรุณพันธ์</t>
  </si>
  <si>
    <t>0993808152</t>
  </si>
  <si>
    <t>Jiranun Wiraunnapan</t>
  </si>
  <si>
    <t>https://drive.google.com/open?id=1zmkPLUWOrtlqp6qmjIDHzfQEKsuUDm_A</t>
  </si>
  <si>
    <t>mmwwjun.97@gmail.com</t>
  </si>
  <si>
    <t>อารียา มรดก</t>
  </si>
  <si>
    <t>0961951400</t>
  </si>
  <si>
    <t>Arreeya Moradok</t>
  </si>
  <si>
    <t>https://drive.google.com/open?id=1BPGBwdeysA3Vo8yXj__5xt22KWe28QNW</t>
  </si>
  <si>
    <t>gundyy.r@gmail.com</t>
  </si>
  <si>
    <t>ปณิดา นิลทัย</t>
  </si>
  <si>
    <t>06-1052-4657</t>
  </si>
  <si>
    <t>Panida Ninlathai</t>
  </si>
  <si>
    <t>https://drive.google.com/open?id=1STAVqYoMb4IxuEmMSNnndXhZeTyo0ITz</t>
  </si>
  <si>
    <t>phuwasit.saora@gmail.com</t>
  </si>
  <si>
    <t>ภูวศิษฐ์ สรสุภาพงศ์</t>
  </si>
  <si>
    <t>0910206387</t>
  </si>
  <si>
    <t>DopLazy</t>
  </si>
  <si>
    <t>https://drive.google.com/open?id=1Cl_DGG-0DMbOhPhAaLZ7-WaAM5kkDZ5J</t>
  </si>
  <si>
    <t>stu6410073126@sskru.ac.th</t>
  </si>
  <si>
    <t>คุณากร สอนสุข</t>
  </si>
  <si>
    <t>0611350683</t>
  </si>
  <si>
    <t>https://drive.google.com/open?id=11Jj1gmrfaY3SWoXAy80w63HKG-xEFHCd</t>
  </si>
  <si>
    <t>yutthana2882@gmail.com</t>
  </si>
  <si>
    <t>ยุทนา บุญช่วย</t>
  </si>
  <si>
    <t>0652821426</t>
  </si>
  <si>
    <t>Yutthana bunchuai</t>
  </si>
  <si>
    <t>https://drive.google.com/open?id=1ewqpcd9AL3USWbKfBlzoddyychjVfeCA</t>
  </si>
  <si>
    <t>chantima.srir64@sskru.ac.th</t>
  </si>
  <si>
    <t>จันทิมา ศรีรักษา</t>
  </si>
  <si>
    <t>0610894986</t>
  </si>
  <si>
    <t>กิ่งจัน คัลเลอร์เมมเบอร์ฟูลอินไลฟ์</t>
  </si>
  <si>
    <t>https://drive.google.com/open?id=1m-7UHwg49-risySAL5ZTAow92DLjMJhm</t>
  </si>
  <si>
    <t>keaw6708@gmail.com</t>
  </si>
  <si>
    <t>รัสรินทร์ บุญลีเลิศวงศ์</t>
  </si>
  <si>
    <t>0657589900</t>
  </si>
  <si>
    <t>KA EW</t>
  </si>
  <si>
    <t>https://drive.google.com/open?id=1-cNwAdVifDZh0heLW4fUrN55p1hbgoxl</t>
  </si>
  <si>
    <t>dankflamemasterlove@gmail.com</t>
  </si>
  <si>
    <t>ชนะไชย์ เลิศสงคราม</t>
  </si>
  <si>
    <t>0828538726</t>
  </si>
  <si>
    <t>ธีร์'ร์</t>
  </si>
  <si>
    <t>https://drive.google.com/open?id=11cOWwWaFhzVgAnpcq5b-Cn2HrMF9gpkb</t>
  </si>
  <si>
    <t>razbrw25@gmail.com</t>
  </si>
  <si>
    <t>รัชนก ศักดิวงค์</t>
  </si>
  <si>
    <t>0930254020</t>
  </si>
  <si>
    <t>โลก'กส่วน ตัว'วสูง</t>
  </si>
  <si>
    <t>https://drive.google.com/open?id=1G2YjsfVriwjy1Qr7sWBg8LROmN26aUVw</t>
  </si>
  <si>
    <t>tanthai5541@gmail.com</t>
  </si>
  <si>
    <t>แทนไืท ปาชา</t>
  </si>
  <si>
    <t>0611530246</t>
  </si>
  <si>
    <t>ตาแทน น้อยย</t>
  </si>
  <si>
    <t>https://drive.google.com/open?id=1EXwuEnbDbb5WjVpzpmw80V6FUhK4GZNH</t>
  </si>
  <si>
    <t>chanitsaraupathum47@gmail.com</t>
  </si>
  <si>
    <t>ชนิสรา อุปทุม</t>
  </si>
  <si>
    <t>0623499807</t>
  </si>
  <si>
    <t>Chanitsara Upathum</t>
  </si>
  <si>
    <t>https://drive.google.com/open?id=181J_sy1jt_FwPOgdpI-9J6PD3DGJBus4</t>
  </si>
  <si>
    <t>faiiPonchita@gmail.com</t>
  </si>
  <si>
    <t>พรชิตา รัตนวัน</t>
  </si>
  <si>
    <t>0930626081</t>
  </si>
  <si>
    <t>ฝ้าย พรชิตา รัตนวัน</t>
  </si>
  <si>
    <t>https://drive.google.com/open?id=1XwFs1TFcTmCaqFuxBt-ejuPRCTpcpPyc</t>
  </si>
  <si>
    <t>stu6510014104@sskru.ac.th</t>
  </si>
  <si>
    <t>ธนากร วันตะโคตร</t>
  </si>
  <si>
    <t>วิศวกรรมซอฟต์เเวร์</t>
  </si>
  <si>
    <t>0631341713</t>
  </si>
  <si>
    <t xml:space="preserve">Thanakon Wantakot </t>
  </si>
  <si>
    <t>….</t>
  </si>
  <si>
    <t>https://drive.google.com/open?id=1u0VWHMQHxNh4GhDOzPf7npSusTqh-Nga</t>
  </si>
  <si>
    <t>stu6510014102@sskru.ac.th</t>
  </si>
  <si>
    <t>ชัยอนันต์ นัยนิตย์</t>
  </si>
  <si>
    <t>วิศวกรรมซอฟแวร์</t>
  </si>
  <si>
    <t>0802871023</t>
  </si>
  <si>
    <t>Chaianan naiyanit</t>
  </si>
  <si>
    <t>https://drive.google.com/open?id=1gfAwAHNH4vgaxUChnH0HftwMeQ9WpJYU</t>
  </si>
  <si>
    <t>pornphiphatdome@gmail.com</t>
  </si>
  <si>
    <t>พรพิพัฒน์ ไพรบึง</t>
  </si>
  <si>
    <t>0661273623</t>
  </si>
  <si>
    <t>林福荣</t>
  </si>
  <si>
    <t>https://drive.google.com/open?id=1xy163aeQPNF9DnXgB2tvsLNtchv8jvfz</t>
  </si>
  <si>
    <t>Thiparadawongmnee@gmail.com</t>
  </si>
  <si>
    <t>ทิพะระดา วงษ์มณี</t>
  </si>
  <si>
    <t>0935722537</t>
  </si>
  <si>
    <t>สแกนคิวอาร์โค้ดยากค่ะ</t>
  </si>
  <si>
    <t>https://drive.google.com/open?id=1yr4hI7fWcV_ry53GdyYOiDKPkaVgzNew</t>
  </si>
  <si>
    <t>thanida3232@gmail.com</t>
  </si>
  <si>
    <t>ธนิดา สิงห์ทอง</t>
  </si>
  <si>
    <t>0800515317</t>
  </si>
  <si>
    <t>https://drive.google.com/open?id=1NYVUo6ZAWUhjU6r91oMiZPgdoTqaW1Sc</t>
  </si>
  <si>
    <t>nattakornpila2544@gmail.com</t>
  </si>
  <si>
    <t>นาย ณัฏฐกรณ์ พิลา</t>
  </si>
  <si>
    <t>0996253380</t>
  </si>
  <si>
    <t>nattakorn pila</t>
  </si>
  <si>
    <t>https://drive.google.com/open?id=1C6ZWznumRrlt1qoj6TnSVCHPgY8rfyX4</t>
  </si>
  <si>
    <t>tanyarat6888@gmail.com</t>
  </si>
  <si>
    <t>ธัญญารัตน์ พูนพัฒนาทรัพย์</t>
  </si>
  <si>
    <t>0960304133</t>
  </si>
  <si>
    <t>ธัญญารัตน์.</t>
  </si>
  <si>
    <t>...</t>
  </si>
  <si>
    <t>https://drive.google.com/open?id=1TSWgzkGAploEXELRjCYI8IS3Nxjyn9vf</t>
  </si>
  <si>
    <t>paphangkorn46tiw@gmail.com</t>
  </si>
  <si>
    <t>ปภังกร พรมกอง</t>
  </si>
  <si>
    <t>0933276189</t>
  </si>
  <si>
    <t>Paphangkorn TP</t>
  </si>
  <si>
    <t>บ่มี</t>
  </si>
  <si>
    <t>https://drive.google.com/open?id=1TVcND8EJRlIjPPo6ye3AGabCx4UumdG3</t>
  </si>
  <si>
    <t>areeyakethom46@gmail.com</t>
  </si>
  <si>
    <t>อารียา เกษหอม</t>
  </si>
  <si>
    <t>0930740479</t>
  </si>
  <si>
    <t>Areeya Kethom</t>
  </si>
  <si>
    <t>https://drive.google.com/open?id=1roiqGXuY1xf0KhLJiPmeDF3OaQCOmqVG</t>
  </si>
  <si>
    <t>stu6410633207@sskru.ac.th</t>
  </si>
  <si>
    <t>พชรพล เชิดรัมย์</t>
  </si>
  <si>
    <t>0902697198</t>
  </si>
  <si>
    <t xml:space="preserve">Pacharapol Cherdrum </t>
  </si>
  <si>
    <t>https://drive.google.com/open?id=153l7W0e6ObUIgb2C8WfQS9wRXJBWFpSU</t>
  </si>
  <si>
    <t>kongsong581@gmail.com</t>
  </si>
  <si>
    <t>ณัฐพงษ์ คงสง</t>
  </si>
  <si>
    <t>0981365722</t>
  </si>
  <si>
    <t>Nattapong kongsong</t>
  </si>
  <si>
    <t>https://drive.google.com/open?id=1VU4ZG0Quh8j4wIc9XETuE_5mwYCuCDUK</t>
  </si>
  <si>
    <t>kittinun1603@icloud.com</t>
  </si>
  <si>
    <t>กิตตินันท์ บุษดี</t>
  </si>
  <si>
    <t>0650284355</t>
  </si>
  <si>
    <t>กิตติ นันท์</t>
  </si>
  <si>
    <t>https://drive.google.com/open?id=1CAbTyDcrEqux5a0URM13J4Yo_ytoG8Xz</t>
  </si>
  <si>
    <t>stu6410633204@sskru.ac.th</t>
  </si>
  <si>
    <t>ธนันชัย ใจเป็น</t>
  </si>
  <si>
    <t>0933394418</t>
  </si>
  <si>
    <t>Thananchai Jaipen</t>
  </si>
  <si>
    <t>https://drive.google.com/open?id=1TPQ62q4ntLRAwKk8-4YepIijCHZRgAMN</t>
  </si>
  <si>
    <t>stu6510633207@sskru.ac.th</t>
  </si>
  <si>
    <t>ศุภวิชญ์​ ภาคคำ</t>
  </si>
  <si>
    <t>คณิตศาสตร์​</t>
  </si>
  <si>
    <t>0629131638</t>
  </si>
  <si>
    <t>Max supawit</t>
  </si>
  <si>
    <t>https://drive.google.com/open?id=12CWPUzpJgpllLBrUvWaW4RDQP0S902AJ</t>
  </si>
  <si>
    <t>hamittipat@gmail.com</t>
  </si>
  <si>
    <t>อิทธิพัทธ์ ชูชื่น</t>
  </si>
  <si>
    <t>0810379538</t>
  </si>
  <si>
    <t>Ittipat Chuchuen</t>
  </si>
  <si>
    <t xml:space="preserve">สุดยอดมากครับ </t>
  </si>
  <si>
    <t>https://drive.google.com/open?id=1ZRbVMkQ3v0DBJbxsZf7iHd4JNlEIn9w0</t>
  </si>
  <si>
    <t>stu6410633211@sskru.ac.th</t>
  </si>
  <si>
    <t>เอกอนันต์ วราพุฒ</t>
  </si>
  <si>
    <t>0634191541</t>
  </si>
  <si>
    <t>Aekanan Waraputh</t>
  </si>
  <si>
    <t>https://drive.google.com/open?id=1LwrpWGK5vFCvtDX99ymJN-lF1oOIwrzh</t>
  </si>
  <si>
    <t>stu6410633101@sskru.ac.th</t>
  </si>
  <si>
    <t>กฤษฎา โสภากันต์</t>
  </si>
  <si>
    <t>0803637177</t>
  </si>
  <si>
    <t>Kritsda Sopakan</t>
  </si>
  <si>
    <t>https://drive.google.com/open?id=1i2C67Sh2PtHtZPCOLD8F7eZCnq-3tOYn</t>
  </si>
  <si>
    <t>kritsanaprom0123@gmail.com</t>
  </si>
  <si>
    <t>กฤษณะ พรมรักษ์</t>
  </si>
  <si>
    <t>0985848400</t>
  </si>
  <si>
    <t>Yod Loshiki</t>
  </si>
  <si>
    <t>https://drive.google.com/open?id=1Oc3iynsM8fvimbWjdx72CnHvdTp8dGBS</t>
  </si>
  <si>
    <t>peerapongmeesab@gmail.com</t>
  </si>
  <si>
    <t>พีรพงศ์ มีทรัพย์</t>
  </si>
  <si>
    <t>0930733192</t>
  </si>
  <si>
    <t>Peerapong Meesup</t>
  </si>
  <si>
    <t>https://drive.google.com/open?id=1mSPMzzcxgk4FhJo8ktN-OhOTCgR0pI70</t>
  </si>
  <si>
    <t>oep123ponchai@gmail.com</t>
  </si>
  <si>
    <t>พรชัย วงศ์มอม</t>
  </si>
  <si>
    <t>0987093676</t>
  </si>
  <si>
    <t>Ponchai wongmom</t>
  </si>
  <si>
    <t>พี่ฟลุหล่อมากครับ</t>
  </si>
  <si>
    <t>https://drive.google.com/open?id=1dE8kNqi38LgKLzHIks1K6PZ-8QXtjpxO</t>
  </si>
  <si>
    <t>stu6410073108@sskru.ac.th</t>
  </si>
  <si>
    <t>วิศวะ  ภาชู</t>
  </si>
  <si>
    <t>0986188029</t>
  </si>
  <si>
    <t>Witsawa Phachu</t>
  </si>
  <si>
    <t>https://drive.google.com/open?id=1eWSXf7S0vrg0lZxQJX7eIbmqFPgiaFHd</t>
  </si>
  <si>
    <t>stu6410633105@sskru.ac.th</t>
  </si>
  <si>
    <t>นราธิป เกตุพงษ์</t>
  </si>
  <si>
    <t>0615679327</t>
  </si>
  <si>
    <t>Ser Nueng</t>
  </si>
  <si>
    <t>ชอบครับ</t>
  </si>
  <si>
    <t>https://drive.google.com/open?id=1F6XwBrjweza9HnuKPULOanqX6NnOJed5</t>
  </si>
  <si>
    <t>tepamorn9869@gmail.com</t>
  </si>
  <si>
    <t>เทพอมร คุณสอน</t>
  </si>
  <si>
    <t>0639925630</t>
  </si>
  <si>
    <t>Thepamorn khunsorn</t>
  </si>
  <si>
    <t>จุ้บๆ</t>
  </si>
  <si>
    <t>https://drive.google.com/open?id=1DckJ7QpV4Uc0Ozc3e9nTvyw9bilw1RVs</t>
  </si>
  <si>
    <t>witthaya41724@gmail.com</t>
  </si>
  <si>
    <t>วิทยา  ลันดา</t>
  </si>
  <si>
    <t>0951383024</t>
  </si>
  <si>
    <t>Tum Witthaya</t>
  </si>
  <si>
    <t>https://drive.google.com/open?id=1fNc7HDw2YFe_lxR9BS1rHAaSZ3K5FzLn</t>
  </si>
  <si>
    <t>pakawat191nongframe@gmail.com</t>
  </si>
  <si>
    <t>ภควัฒน์ ชื่นชาย</t>
  </si>
  <si>
    <t>0801601897</t>
  </si>
  <si>
    <t>Pakawat chuenchay</t>
  </si>
  <si>
    <t>https://drive.google.com/open?id=1AnUA-VxQOMFMAgEME9kNR0yQz2VnU_ab</t>
  </si>
  <si>
    <t>pk209kong@gmail.com</t>
  </si>
  <si>
    <t xml:space="preserve"> ืืืืืืืืืืืืืืืืืืืืืืก้องภพ ทองก่ำ</t>
  </si>
  <si>
    <t>0641309749</t>
  </si>
  <si>
    <t xml:space="preserve">Kongpop Thongkam </t>
  </si>
  <si>
    <t>https://drive.google.com/open?id=1W_Qt3YG4UMRMxccAQqN-yizEJAr-yRvf</t>
  </si>
  <si>
    <t>pattanawan29@gmail.com</t>
  </si>
  <si>
    <t>ปัทนาวรรณ เทพขันธ์</t>
  </si>
  <si>
    <t>0612148101</t>
  </si>
  <si>
    <t>Ptw Tongger</t>
  </si>
  <si>
    <t>https://drive.google.com/open?id=1jRV8BdWUIGt6PRd5NhXo59KqJIJV19J2</t>
  </si>
  <si>
    <t>Prajuabsuk2546@gmail.com</t>
  </si>
  <si>
    <t>เจษฎา ประจวบสุข</t>
  </si>
  <si>
    <t>0610515906</t>
  </si>
  <si>
    <t>Jetsada Prajuabsuk</t>
  </si>
  <si>
    <t>กรรมการชมรม</t>
  </si>
  <si>
    <t>https://drive.google.com/open?id=1eHwjCYa8ZWILRpX39AWF53xjMFWGRd2D</t>
  </si>
  <si>
    <t>best12345133@gmail.com</t>
  </si>
  <si>
    <t>ภาณุพงศ์ ใดี</t>
  </si>
  <si>
    <t>0949027191</t>
  </si>
  <si>
    <t>ภาณุพงศ์ ใจดี</t>
  </si>
  <si>
    <t>https://drive.google.com/open?id=1JpLyYLtK85BCDlPhRfH3Ke7ykKAAQg8N</t>
  </si>
  <si>
    <t>rov098yu@gmail.com</t>
  </si>
  <si>
    <t>ชูเกียรติ วงศ์นิล</t>
  </si>
  <si>
    <t>0989720229</t>
  </si>
  <si>
    <t>Chukiad wongnin</t>
  </si>
  <si>
    <t>https://drive.google.com/open?id=14NDDehL_49Lpsnz8mCHm1eq4o2m52nUq</t>
  </si>
  <si>
    <t>25776@mtk.ac.th</t>
  </si>
  <si>
    <t>วิลาวรรณ ลัดดา</t>
  </si>
  <si>
    <t>0979231085</t>
  </si>
  <si>
    <t>Wilawan Ladda</t>
  </si>
  <si>
    <t>ขอภัยที่ลืมถ่ายหน่าตัวเองนะคะ เนื่องรีบถ่ายโทรศัพท์รวน ขอโทษด้วจริง ๆ นะคะ😢🙏</t>
  </si>
  <si>
    <t>https://drive.google.com/open?id=1eSd50lIOurh0i1qxHuoMAAKBX559d5cH</t>
  </si>
  <si>
    <t>teerapat.duan63@sskru.ac.th</t>
  </si>
  <si>
    <t>ธีรภัทร ดวนใหญ่</t>
  </si>
  <si>
    <t>0631311745</t>
  </si>
  <si>
    <t xml:space="preserve">T-Rex Wannghin </t>
  </si>
  <si>
    <t>https://drive.google.com/open?id=1gASQnGXIFx106kvij-PnDqqO9jzV8gsE</t>
  </si>
  <si>
    <t>rungtiwa.nont63@sskru.ac.th</t>
  </si>
  <si>
    <t>รุ่งทิวา นนตะพันธ์</t>
  </si>
  <si>
    <t>0615341759</t>
  </si>
  <si>
    <t>kk0902787037@gmail.com</t>
  </si>
  <si>
    <t>ภานุพงษ์ วงศ์มั่น</t>
  </si>
  <si>
    <t>0636041229</t>
  </si>
  <si>
    <t>ภานุพงศ์ วงศ์มั่น</t>
  </si>
  <si>
    <t>https://drive.google.com/open?id=1G_-0z7JV_M6kh11XTiGaAR9apZxkQ_UD</t>
  </si>
  <si>
    <t>stu6411506137@sskru.ac.th</t>
  </si>
  <si>
    <t>อรฤทัย ยอดสิงห์</t>
  </si>
  <si>
    <t>0924319130</t>
  </si>
  <si>
    <t>Onruethai Yodsing</t>
  </si>
  <si>
    <t>https://drive.google.com/open?id=1KyssQfoqKqBuBiVahgV4zGofcFiGBr89</t>
  </si>
  <si>
    <t>07101147@gmail.com</t>
  </si>
  <si>
    <t>สิริยากร แก้วละมุน</t>
  </si>
  <si>
    <t>0982216824</t>
  </si>
  <si>
    <t>Siriyakon kaeolamun</t>
  </si>
  <si>
    <t>https://drive.google.com/open?id=17zXh4IF9_8WmphSCsrh1OhjXyZsycvOz</t>
  </si>
  <si>
    <t>sasikarnnngamsuk@gmail.com</t>
  </si>
  <si>
    <t>พุทธธิดา ระโส</t>
  </si>
  <si>
    <t>0895242085</t>
  </si>
  <si>
    <t>ฟิล์ม มี้.</t>
  </si>
  <si>
    <t>https://drive.google.com/open?id=1_zgZrpivBlHikqAFo2f1GgaIBf0ACbxD</t>
  </si>
  <si>
    <t>sarawut33607@gmail.com</t>
  </si>
  <si>
    <t>ศราวุธ สุพรรณ์</t>
  </si>
  <si>
    <t>0942678290</t>
  </si>
  <si>
    <t>sarawut suphan</t>
  </si>
  <si>
    <t>https://drive.google.com/open?id=11GPa9yXFgjxobwN4TXdAmAx4dr5BmRTU</t>
  </si>
  <si>
    <t>gtwasit@gmail.com</t>
  </si>
  <si>
    <t>วาสิษฐ์ สาระบุตร</t>
  </si>
  <si>
    <t>0935541077</t>
  </si>
  <si>
    <t>Wasit Sarabut</t>
  </si>
  <si>
    <t>https://drive.google.com/open?id=1Dd2OqRQoSu2offpg6FrnR33MP1m79qJE</t>
  </si>
  <si>
    <t>stu6410083110@sskru.ac.th</t>
  </si>
  <si>
    <t>จารุวรรณ ใจกว้าง</t>
  </si>
  <si>
    <t>0925499755</t>
  </si>
  <si>
    <t>Charuwan chaikwang</t>
  </si>
  <si>
    <t>https://drive.google.com/open?id=1aq1T5AGnRIhBQWH37-e7D3CeiTa-3D0b</t>
  </si>
  <si>
    <t>ชั้นปีที่ 3</t>
  </si>
  <si>
    <t>ชั้นปีที่ 4</t>
  </si>
  <si>
    <t>ชั้นปีที่ 1</t>
  </si>
  <si>
    <t>ชั้นปีที่ 2</t>
  </si>
  <si>
    <t>ตำแหน่ง</t>
  </si>
  <si>
    <t xml:space="preserve">ธนันชัย </t>
  </si>
  <si>
    <t>ประธานชมรม</t>
  </si>
  <si>
    <t>รองประธานชมรมฝ่ายอาคารสถานที่</t>
  </si>
  <si>
    <t xml:space="preserve">ปภังกร </t>
  </si>
  <si>
    <t>รองประธานชมรมฝ่ายกิจกรรม</t>
  </si>
  <si>
    <t>รองประธานชมรมฝ่ายวิชาการ</t>
  </si>
  <si>
    <t>เลขานุการ</t>
  </si>
  <si>
    <t xml:space="preserve">กฤษฎา </t>
  </si>
  <si>
    <t>เหรัญญิก</t>
  </si>
  <si>
    <t>หัวหน้าฝ่ายปฏิคม</t>
  </si>
  <si>
    <t xml:space="preserve">พีรพงศ์ </t>
  </si>
  <si>
    <t>หัวหน้าฝ่ายธุรการ</t>
  </si>
  <si>
    <t>หัวหน้าฝ่ายทะเบียน</t>
  </si>
  <si>
    <t>หัวหน้าฝ่าย IT</t>
  </si>
  <si>
    <t>หัวหน้าฝ่ายประชาสัมพันธ์</t>
  </si>
  <si>
    <t>เกตุพงศ์</t>
  </si>
  <si>
    <t>หัวหน้าฝ่ายพัสดุ</t>
  </si>
  <si>
    <t>หัวหน้าฝ่ายนโยบายและแผน</t>
  </si>
  <si>
    <t>หัวหน้าฝ่ายอาคาร</t>
  </si>
  <si>
    <t>หัวหน้าฝ่ายกิจกรรม</t>
  </si>
  <si>
    <t>ที่ปรึกษาชมรม</t>
  </si>
  <si>
    <t>เสฏวุฒิ</t>
  </si>
  <si>
    <t>อาร์ท</t>
  </si>
  <si>
    <t>กรรมการ</t>
  </si>
  <si>
    <t>ศุภวิชญ์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</si>
</sst>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_(* #,##0.00_);_(* \(#,##0.00\);_(* &quot;-&quot;??_);_(@_)"/>
    <numFmt numFmtId="188" formatCode="m/d/yyyy\ h:mm:ss"/>
  </numFmts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TH SarabunPSK"/>
    </font>
    <font>
      <b/>
      <sz val="16"/>
      <color theme="1"/>
      <name val="TH SarabunPSK"/>
    </font>
    <font>
      <sz val="11"/>
      <name val="Calibri"/>
    </font>
    <font>
      <sz val="16"/>
      <color theme="1"/>
      <name val="TH SarabunPSK"/>
    </font>
    <font>
      <sz val="11"/>
      <color theme="1"/>
      <name val="Calibri"/>
      <scheme val="minor"/>
    </font>
    <font>
      <sz val="12"/>
      <color theme="1"/>
      <name val="Sarabun"/>
    </font>
    <font>
      <b/>
      <sz val="12"/>
      <color rgb="FF000000"/>
      <name val="Sarabun"/>
    </font>
    <font>
      <b/>
      <sz val="12"/>
      <color theme="1"/>
      <name val="Sarabun"/>
    </font>
    <font>
      <sz val="11"/>
      <color theme="1"/>
      <name val="Calibri"/>
    </font>
    <font>
      <sz val="10"/>
      <color theme="1"/>
      <name val="Calibri"/>
      <scheme val="minor"/>
    </font>
    <font>
      <u/>
      <sz val="10"/>
      <color rgb="FF0000FF"/>
      <name val="Arial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6"/>
      <color theme="1"/>
      <name val="TH SarabunPSK"/>
      <family val="2"/>
    </font>
    <font>
      <sz val="16"/>
      <color theme="1"/>
      <name val="Calibri"/>
      <scheme val="minor"/>
    </font>
    <font>
      <sz val="16"/>
      <color theme="1"/>
      <name val="Calibri"/>
    </font>
  </fonts>
  <fills count="1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A8D08D"/>
        <bgColor rgb="FFA8D08D"/>
      </patternFill>
    </fill>
    <fill>
      <patternFill patternType="solid">
        <fgColor rgb="FFFF7C80"/>
        <bgColor rgb="FFFF7C80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87" fontId="6" fillId="0" borderId="0" applyFont="0" applyFill="0" applyBorder="0" applyAlignment="0" applyProtection="0"/>
  </cellStyleXfs>
  <cellXfs count="113">
    <xf numFmtId="0" fontId="0" fillId="0" borderId="0" xfId="0"/>
    <xf numFmtId="0" fontId="4" fillId="0" borderId="3" xfId="0" applyFont="1" applyBorder="1"/>
    <xf numFmtId="0" fontId="3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0" fontId="5" fillId="2" borderId="5" xfId="0" applyFont="1" applyFill="1" applyBorder="1" applyAlignment="1">
      <alignment horizontal="center"/>
    </xf>
    <xf numFmtId="0" fontId="5" fillId="2" borderId="5" xfId="0" applyFont="1" applyFill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9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5" xfId="0" applyFont="1" applyBorder="1"/>
    <xf numFmtId="0" fontId="7" fillId="3" borderId="5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0" borderId="5" xfId="0" applyFont="1" applyBorder="1" applyAlignment="1">
      <alignment horizontal="right"/>
    </xf>
    <xf numFmtId="0" fontId="7" fillId="2" borderId="5" xfId="0" applyFont="1" applyFill="1" applyBorder="1"/>
    <xf numFmtId="0" fontId="10" fillId="0" borderId="0" xfId="0" applyFont="1" applyAlignment="1">
      <alignment horizontal="center"/>
    </xf>
    <xf numFmtId="0" fontId="6" fillId="0" borderId="5" xfId="0" applyFont="1" applyBorder="1"/>
    <xf numFmtId="0" fontId="5" fillId="3" borderId="6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/>
    </xf>
    <xf numFmtId="0" fontId="11" fillId="0" borderId="0" xfId="0" applyFont="1"/>
    <xf numFmtId="188" fontId="11" fillId="0" borderId="0" xfId="0" applyNumberFormat="1" applyFont="1"/>
    <xf numFmtId="0" fontId="11" fillId="0" borderId="0" xfId="0" quotePrefix="1" applyFont="1"/>
    <xf numFmtId="0" fontId="12" fillId="0" borderId="0" xfId="0" applyFont="1"/>
    <xf numFmtId="0" fontId="14" fillId="0" borderId="0" xfId="0" applyFont="1"/>
    <xf numFmtId="0" fontId="1" fillId="0" borderId="0" xfId="0" applyFont="1"/>
    <xf numFmtId="3" fontId="14" fillId="0" borderId="0" xfId="0" applyNumberFormat="1" applyFont="1"/>
    <xf numFmtId="0" fontId="1" fillId="0" borderId="6" xfId="0" applyFont="1" applyBorder="1"/>
    <xf numFmtId="0" fontId="1" fillId="6" borderId="0" xfId="0" applyFont="1" applyFill="1"/>
    <xf numFmtId="0" fontId="1" fillId="7" borderId="0" xfId="0" applyFont="1" applyFill="1"/>
    <xf numFmtId="0" fontId="13" fillId="0" borderId="0" xfId="0" applyFont="1" applyAlignment="1">
      <alignment horizontal="right"/>
    </xf>
    <xf numFmtId="0" fontId="14" fillId="0" borderId="0" xfId="0" quotePrefix="1" applyFont="1"/>
    <xf numFmtId="0" fontId="5" fillId="8" borderId="4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2" fontId="5" fillId="0" borderId="4" xfId="0" applyNumberFormat="1" applyFont="1" applyBorder="1" applyAlignment="1">
      <alignment horizontal="center"/>
    </xf>
    <xf numFmtId="0" fontId="0" fillId="10" borderId="0" xfId="0" applyFill="1"/>
    <xf numFmtId="0" fontId="0" fillId="12" borderId="0" xfId="0" applyFill="1"/>
    <xf numFmtId="0" fontId="1" fillId="12" borderId="0" xfId="0" applyFont="1" applyFill="1"/>
    <xf numFmtId="0" fontId="14" fillId="12" borderId="0" xfId="0" applyFont="1" applyFill="1"/>
    <xf numFmtId="0" fontId="3" fillId="11" borderId="11" xfId="0" applyFont="1" applyFill="1" applyBorder="1" applyAlignment="1">
      <alignment horizontal="center" vertical="center"/>
    </xf>
    <xf numFmtId="0" fontId="4" fillId="10" borderId="14" xfId="0" applyFont="1" applyFill="1" applyBorder="1"/>
    <xf numFmtId="2" fontId="5" fillId="10" borderId="4" xfId="1" applyNumberFormat="1" applyFont="1" applyFill="1" applyBorder="1" applyAlignment="1">
      <alignment horizontal="center"/>
    </xf>
    <xf numFmtId="2" fontId="5" fillId="10" borderId="4" xfId="0" applyNumberFormat="1" applyFont="1" applyFill="1" applyBorder="1" applyAlignment="1">
      <alignment horizontal="center"/>
    </xf>
    <xf numFmtId="0" fontId="4" fillId="10" borderId="3" xfId="0" applyFont="1" applyFill="1" applyBorder="1"/>
    <xf numFmtId="0" fontId="6" fillId="10" borderId="0" xfId="0" applyFont="1" applyFill="1" applyAlignment="1">
      <alignment horizontal="center"/>
    </xf>
    <xf numFmtId="0" fontId="0" fillId="9" borderId="0" xfId="0" applyFill="1"/>
    <xf numFmtId="0" fontId="1" fillId="9" borderId="6" xfId="0" applyFont="1" applyFill="1" applyBorder="1"/>
    <xf numFmtId="0" fontId="14" fillId="9" borderId="0" xfId="0" applyFont="1" applyFill="1"/>
    <xf numFmtId="0" fontId="4" fillId="13" borderId="16" xfId="0" applyFont="1" applyFill="1" applyBorder="1"/>
    <xf numFmtId="0" fontId="5" fillId="13" borderId="4" xfId="0" applyFont="1" applyFill="1" applyBorder="1" applyAlignment="1">
      <alignment horizontal="center"/>
    </xf>
    <xf numFmtId="0" fontId="4" fillId="13" borderId="3" xfId="0" applyFont="1" applyFill="1" applyBorder="1"/>
    <xf numFmtId="0" fontId="6" fillId="13" borderId="0" xfId="0" applyFont="1" applyFill="1" applyAlignment="1">
      <alignment horizontal="center"/>
    </xf>
    <xf numFmtId="0" fontId="0" fillId="13" borderId="0" xfId="0" applyFill="1"/>
    <xf numFmtId="0" fontId="5" fillId="14" borderId="4" xfId="0" applyFont="1" applyFill="1" applyBorder="1" applyAlignment="1">
      <alignment horizontal="center"/>
    </xf>
    <xf numFmtId="0" fontId="4" fillId="14" borderId="3" xfId="0" applyFont="1" applyFill="1" applyBorder="1"/>
    <xf numFmtId="0" fontId="6" fillId="14" borderId="0" xfId="0" applyFont="1" applyFill="1" applyAlignment="1">
      <alignment horizontal="center"/>
    </xf>
    <xf numFmtId="0" fontId="0" fillId="14" borderId="0" xfId="0" applyFill="1"/>
    <xf numFmtId="0" fontId="5" fillId="15" borderId="4" xfId="0" applyFont="1" applyFill="1" applyBorder="1" applyAlignment="1">
      <alignment horizontal="center"/>
    </xf>
    <xf numFmtId="0" fontId="4" fillId="15" borderId="3" xfId="0" applyFont="1" applyFill="1" applyBorder="1"/>
    <xf numFmtId="0" fontId="6" fillId="15" borderId="0" xfId="0" applyFont="1" applyFill="1" applyAlignment="1">
      <alignment horizontal="center"/>
    </xf>
    <xf numFmtId="0" fontId="0" fillId="15" borderId="0" xfId="0" applyFill="1"/>
    <xf numFmtId="0" fontId="4" fillId="16" borderId="14" xfId="0" applyFont="1" applyFill="1" applyBorder="1"/>
    <xf numFmtId="0" fontId="5" fillId="16" borderId="4" xfId="0" applyFont="1" applyFill="1" applyBorder="1" applyAlignment="1">
      <alignment horizontal="center"/>
    </xf>
    <xf numFmtId="0" fontId="4" fillId="16" borderId="3" xfId="0" applyFont="1" applyFill="1" applyBorder="1"/>
    <xf numFmtId="0" fontId="6" fillId="16" borderId="0" xfId="0" applyFont="1" applyFill="1" applyAlignment="1">
      <alignment horizontal="center"/>
    </xf>
    <xf numFmtId="0" fontId="0" fillId="16" borderId="0" xfId="0" applyFill="1"/>
    <xf numFmtId="0" fontId="4" fillId="10" borderId="13" xfId="0" applyFont="1" applyFill="1" applyBorder="1"/>
    <xf numFmtId="0" fontId="3" fillId="8" borderId="11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4" fillId="17" borderId="9" xfId="0" applyFont="1" applyFill="1" applyBorder="1"/>
    <xf numFmtId="0" fontId="5" fillId="18" borderId="5" xfId="0" applyFont="1" applyFill="1" applyBorder="1" applyAlignment="1">
      <alignment horizontal="center"/>
    </xf>
    <xf numFmtId="0" fontId="16" fillId="18" borderId="5" xfId="0" applyFont="1" applyFill="1" applyBorder="1" applyAlignment="1">
      <alignment horizontal="center"/>
    </xf>
    <xf numFmtId="0" fontId="4" fillId="0" borderId="4" xfId="0" applyFont="1" applyBorder="1"/>
    <xf numFmtId="0" fontId="3" fillId="0" borderId="1" xfId="0" applyFont="1" applyBorder="1" applyAlignment="1">
      <alignment vertical="center"/>
    </xf>
    <xf numFmtId="0" fontId="0" fillId="0" borderId="6" xfId="0" applyBorder="1"/>
    <xf numFmtId="0" fontId="3" fillId="11" borderId="5" xfId="0" applyFont="1" applyFill="1" applyBorder="1" applyAlignment="1">
      <alignment vertical="center"/>
    </xf>
    <xf numFmtId="0" fontId="3" fillId="11" borderId="5" xfId="0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3" fillId="11" borderId="5" xfId="0" applyNumberFormat="1" applyFont="1" applyFill="1" applyBorder="1" applyAlignment="1">
      <alignment vertical="center"/>
    </xf>
    <xf numFmtId="49" fontId="5" fillId="0" borderId="5" xfId="0" applyNumberFormat="1" applyFont="1" applyBorder="1" applyAlignment="1">
      <alignment horizontal="center"/>
    </xf>
    <xf numFmtId="49" fontId="5" fillId="2" borderId="5" xfId="0" applyNumberFormat="1" applyFont="1" applyFill="1" applyBorder="1" applyAlignment="1">
      <alignment horizontal="center"/>
    </xf>
    <xf numFmtId="49" fontId="0" fillId="0" borderId="0" xfId="0" applyNumberFormat="1"/>
    <xf numFmtId="49" fontId="17" fillId="0" borderId="0" xfId="0" applyNumberFormat="1" applyFont="1"/>
    <xf numFmtId="0" fontId="18" fillId="11" borderId="5" xfId="0" applyFont="1" applyFill="1" applyBorder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8" xfId="0" applyFont="1" applyBorder="1" applyAlignment="1"/>
  </cellXfs>
  <cellStyles count="2">
    <cellStyle name="จุลภาค" xfId="1" builtinId="3"/>
    <cellStyle name="ปกติ" xfId="0" builtinId="0"/>
  </cellStyles>
  <dxfs count="90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MDNBCTzCl2KQoCO3i-2O1vCIyUyzvp76" TargetMode="External"/><Relationship Id="rId299" Type="http://schemas.openxmlformats.org/officeDocument/2006/relationships/hyperlink" Target="https://drive.google.com/open?id=1SWv5ltWgIDXmSZvWJ59shznp4u930quL" TargetMode="External"/><Relationship Id="rId21" Type="http://schemas.openxmlformats.org/officeDocument/2006/relationships/hyperlink" Target="https://drive.google.com/open?id=1TY067jVhjPPdlbKk2hZHx3GArudBQGUj" TargetMode="External"/><Relationship Id="rId63" Type="http://schemas.openxmlformats.org/officeDocument/2006/relationships/hyperlink" Target="https://drive.google.com/open?id=1u9LCeY28XkhFvLUnhtOx90iFfHsV6X9g" TargetMode="External"/><Relationship Id="rId159" Type="http://schemas.openxmlformats.org/officeDocument/2006/relationships/hyperlink" Target="https://drive.google.com/open?id=1GrVMEzjbSJ8OtlOWHwx4JD432bZpMDuW" TargetMode="External"/><Relationship Id="rId324" Type="http://schemas.openxmlformats.org/officeDocument/2006/relationships/hyperlink" Target="https://drive.google.com/open?id=1JuKaWKHZspG__j3DiV7SljL4ancI4JQz" TargetMode="External"/><Relationship Id="rId366" Type="http://schemas.openxmlformats.org/officeDocument/2006/relationships/hyperlink" Target="https://drive.google.com/open?id=1W_Qt3YG4UMRMxccAQqN-yizEJAr-yRvf" TargetMode="External"/><Relationship Id="rId170" Type="http://schemas.openxmlformats.org/officeDocument/2006/relationships/hyperlink" Target="https://drive.google.com/open?id=1JOJ1T4H2-Y4B90jjaNEqG-K1pIXl8Vw5" TargetMode="External"/><Relationship Id="rId226" Type="http://schemas.openxmlformats.org/officeDocument/2006/relationships/hyperlink" Target="https://drive.google.com/open?id=1FY4k3eQKZGJcqRK-yV_kzE6ih_6WqdEl" TargetMode="External"/><Relationship Id="rId268" Type="http://schemas.openxmlformats.org/officeDocument/2006/relationships/hyperlink" Target="https://drive.google.com/open?id=11db1Z1vsU3Bvid6WI_2afjd8YTdsNS1H" TargetMode="External"/><Relationship Id="rId32" Type="http://schemas.openxmlformats.org/officeDocument/2006/relationships/hyperlink" Target="https://drive.google.com/open?id=1UTQpFwDdrNiuKSlCzmj5-D49e_063gSJ" TargetMode="External"/><Relationship Id="rId74" Type="http://schemas.openxmlformats.org/officeDocument/2006/relationships/hyperlink" Target="https://drive.google.com/open?id=1EQYBiqvlWVfZn9ZCakK0PXmtTiakJw5q" TargetMode="External"/><Relationship Id="rId128" Type="http://schemas.openxmlformats.org/officeDocument/2006/relationships/hyperlink" Target="https://drive.google.com/open?id=1oIzNw7jO5aAIu1aRL_GrjLzOafhJqB2q" TargetMode="External"/><Relationship Id="rId335" Type="http://schemas.openxmlformats.org/officeDocument/2006/relationships/hyperlink" Target="https://drive.google.com/open?id=1-cNwAdVifDZh0heLW4fUrN55p1hbgoxl" TargetMode="External"/><Relationship Id="rId377" Type="http://schemas.openxmlformats.org/officeDocument/2006/relationships/hyperlink" Target="https://drive.google.com/open?id=11GPa9yXFgjxobwN4TXdAmAx4dr5BmRTU" TargetMode="External"/><Relationship Id="rId5" Type="http://schemas.openxmlformats.org/officeDocument/2006/relationships/hyperlink" Target="https://drive.google.com/open?id=15pMW941xHOvpk8F87t8PjSxvh7IEqC2l" TargetMode="External"/><Relationship Id="rId181" Type="http://schemas.openxmlformats.org/officeDocument/2006/relationships/hyperlink" Target="https://drive.google.com/open?id=1ZA6zPtB1hSV2YgGxknhsq0tFB1U2Y95K" TargetMode="External"/><Relationship Id="rId237" Type="http://schemas.openxmlformats.org/officeDocument/2006/relationships/hyperlink" Target="https://drive.google.com/open?id=1mxgEd4M7S7e4BP6Abu6y9VPrMmbR4kxw" TargetMode="External"/><Relationship Id="rId279" Type="http://schemas.openxmlformats.org/officeDocument/2006/relationships/hyperlink" Target="https://drive.google.com/open?id=1hBbZNMBRq3IUonfN1Mj4SE4E7uyyuA7S" TargetMode="External"/><Relationship Id="rId43" Type="http://schemas.openxmlformats.org/officeDocument/2006/relationships/hyperlink" Target="https://drive.google.com/open?id=1JpIkQGpX43QKXOTSQH5xRWL-D4tErpqQ" TargetMode="External"/><Relationship Id="rId139" Type="http://schemas.openxmlformats.org/officeDocument/2006/relationships/hyperlink" Target="https://drive.google.com/open?id=1SFMyyuCLG0EYqS6zqZrdNBjbRhGmkjfK" TargetMode="External"/><Relationship Id="rId290" Type="http://schemas.openxmlformats.org/officeDocument/2006/relationships/hyperlink" Target="https://drive.google.com/open?id=1pYJE1dUyqypCInnnqojwqmUK632j_nmy" TargetMode="External"/><Relationship Id="rId304" Type="http://schemas.openxmlformats.org/officeDocument/2006/relationships/hyperlink" Target="https://drive.google.com/open?id=10Yd034ZtN3IsVP3khoVawe2w69EXG6Yo" TargetMode="External"/><Relationship Id="rId346" Type="http://schemas.openxmlformats.org/officeDocument/2006/relationships/hyperlink" Target="https://drive.google.com/open?id=1C6ZWznumRrlt1qoj6TnSVCHPgY8rfyX4" TargetMode="External"/><Relationship Id="rId85" Type="http://schemas.openxmlformats.org/officeDocument/2006/relationships/hyperlink" Target="https://drive.google.com/open?id=1uOo8JPPcx6835aLjcG1D2Xm0n0UgkPSW" TargetMode="External"/><Relationship Id="rId150" Type="http://schemas.openxmlformats.org/officeDocument/2006/relationships/hyperlink" Target="https://drive.google.com/open?id=1vr1bp58O2jyj9vACBqJ4wMpcLKNsBPN4" TargetMode="External"/><Relationship Id="rId192" Type="http://schemas.openxmlformats.org/officeDocument/2006/relationships/hyperlink" Target="https://drive.google.com/open?id=1EGSIveas0MmFFllPk4AacuPbDem5qde2" TargetMode="External"/><Relationship Id="rId206" Type="http://schemas.openxmlformats.org/officeDocument/2006/relationships/hyperlink" Target="https://drive.google.com/open?id=1pTtSHYDBNi6IopzKOl9J6fTbBx_7jsSF" TargetMode="External"/><Relationship Id="rId248" Type="http://schemas.openxmlformats.org/officeDocument/2006/relationships/hyperlink" Target="https://drive.google.com/open?id=1booJ6FtTm6_Gsyjvshq7BytLEO4zI0zv" TargetMode="External"/><Relationship Id="rId12" Type="http://schemas.openxmlformats.org/officeDocument/2006/relationships/hyperlink" Target="https://drive.google.com/open?id=1nM9vgps86cFe51pw17LyzpsUjj34iteb" TargetMode="External"/><Relationship Id="rId108" Type="http://schemas.openxmlformats.org/officeDocument/2006/relationships/hyperlink" Target="https://drive.google.com/open?id=18jyaCPSZETe0M86h_DRhfbXWgtm1QC8s" TargetMode="External"/><Relationship Id="rId315" Type="http://schemas.openxmlformats.org/officeDocument/2006/relationships/hyperlink" Target="https://drive.google.com/open?id=1E2rrHGidSfLFJ1JtVeiBJ2P_UDC5hPzo" TargetMode="External"/><Relationship Id="rId357" Type="http://schemas.openxmlformats.org/officeDocument/2006/relationships/hyperlink" Target="https://drive.google.com/open?id=1i2C67Sh2PtHtZPCOLD8F7eZCnq-3tOYn" TargetMode="External"/><Relationship Id="rId54" Type="http://schemas.openxmlformats.org/officeDocument/2006/relationships/hyperlink" Target="https://drive.google.com/open?id=1CKB8cq36L2BXSUbJX_Zm7Q88YyQLYbPY" TargetMode="External"/><Relationship Id="rId96" Type="http://schemas.openxmlformats.org/officeDocument/2006/relationships/hyperlink" Target="https://drive.google.com/open?id=1yBcFBoBad2097eFC-zQi-asuGcDMA4xQ" TargetMode="External"/><Relationship Id="rId161" Type="http://schemas.openxmlformats.org/officeDocument/2006/relationships/hyperlink" Target="https://drive.google.com/open?id=1mGLdp5Z6bxlrjMWi9DWaNelHSVuPvWqD" TargetMode="External"/><Relationship Id="rId217" Type="http://schemas.openxmlformats.org/officeDocument/2006/relationships/hyperlink" Target="https://drive.google.com/open?id=1wF9UT_I2h0R4tjVpjX6RMTO6wQoi1ubn" TargetMode="External"/><Relationship Id="rId259" Type="http://schemas.openxmlformats.org/officeDocument/2006/relationships/hyperlink" Target="https://drive.google.com/open?id=1aK0QPHOwwZ_X8um2KM1RgvM17U-QUvkD" TargetMode="External"/><Relationship Id="rId23" Type="http://schemas.openxmlformats.org/officeDocument/2006/relationships/hyperlink" Target="https://drive.google.com/open?id=19uZJoSYegtiFMmpIsPSgKq-aNHdk6NhQ" TargetMode="External"/><Relationship Id="rId119" Type="http://schemas.openxmlformats.org/officeDocument/2006/relationships/hyperlink" Target="https://drive.google.com/open?id=1IvKTVxyjgjIGhQPciPXexmxwtLKh4ufw" TargetMode="External"/><Relationship Id="rId270" Type="http://schemas.openxmlformats.org/officeDocument/2006/relationships/hyperlink" Target="https://drive.google.com/open?id=18rs2-da8loPniwmeCzcBExJugwBci-Ej" TargetMode="External"/><Relationship Id="rId326" Type="http://schemas.openxmlformats.org/officeDocument/2006/relationships/hyperlink" Target="https://drive.google.com/open?id=1JkgA5WcC-2q7n5H9B8BmKEQ6PJ61SXVw" TargetMode="External"/><Relationship Id="rId65" Type="http://schemas.openxmlformats.org/officeDocument/2006/relationships/hyperlink" Target="https://drive.google.com/open?id=1uQqCMziV5W1jA6ute_pPAlB4NU-pz_92" TargetMode="External"/><Relationship Id="rId130" Type="http://schemas.openxmlformats.org/officeDocument/2006/relationships/hyperlink" Target="https://drive.google.com/open?id=1s0ZRSBBhSF4qERxrwzNPD0VZexujAu1s" TargetMode="External"/><Relationship Id="rId368" Type="http://schemas.openxmlformats.org/officeDocument/2006/relationships/hyperlink" Target="https://drive.google.com/open?id=1eHwjCYa8ZWILRpX39AWF53xjMFWGRd2D" TargetMode="External"/><Relationship Id="rId172" Type="http://schemas.openxmlformats.org/officeDocument/2006/relationships/hyperlink" Target="https://drive.google.com/open?id=1WNNjPmBojue7D7zCs05d0xMhtl3wuEg-" TargetMode="External"/><Relationship Id="rId228" Type="http://schemas.openxmlformats.org/officeDocument/2006/relationships/hyperlink" Target="https://drive.google.com/open?id=1V2rJvnPWsNEKSFjgsF2N_OI1L6LFWnUY" TargetMode="External"/><Relationship Id="rId281" Type="http://schemas.openxmlformats.org/officeDocument/2006/relationships/hyperlink" Target="https://drive.google.com/open?id=1TqqsrkEnWykRW4TQCqon8jd0eDrsMS2P" TargetMode="External"/><Relationship Id="rId337" Type="http://schemas.openxmlformats.org/officeDocument/2006/relationships/hyperlink" Target="https://drive.google.com/open?id=1G2YjsfVriwjy1Qr7sWBg8LROmN26aUVw" TargetMode="External"/><Relationship Id="rId34" Type="http://schemas.openxmlformats.org/officeDocument/2006/relationships/hyperlink" Target="https://drive.google.com/open?id=1jna8YkRk40GmIuWq_ZuQGOuPxU7QWhND" TargetMode="External"/><Relationship Id="rId76" Type="http://schemas.openxmlformats.org/officeDocument/2006/relationships/hyperlink" Target="https://drive.google.com/open?id=1TUj-tsusRvF_LPc5Rhrjcxpv1-GaIZXL" TargetMode="External"/><Relationship Id="rId141" Type="http://schemas.openxmlformats.org/officeDocument/2006/relationships/hyperlink" Target="https://drive.google.com/open?id=1GzUThp1ZNwoOtnA3TyOLeT4j9rWvv3a5" TargetMode="External"/><Relationship Id="rId379" Type="http://schemas.openxmlformats.org/officeDocument/2006/relationships/hyperlink" Target="https://drive.google.com/open?id=1aq1T5AGnRIhBQWH37-e7D3CeiTa-3D0b" TargetMode="External"/><Relationship Id="rId7" Type="http://schemas.openxmlformats.org/officeDocument/2006/relationships/hyperlink" Target="https://drive.google.com/open?id=1aY5Q0TAYzeyFtD8WOoX04n2DAdVgqCcw" TargetMode="External"/><Relationship Id="rId183" Type="http://schemas.openxmlformats.org/officeDocument/2006/relationships/hyperlink" Target="https://drive.google.com/open?id=1sdfbYzji2B1H8K8gA3JGmmwNtH2AXywA" TargetMode="External"/><Relationship Id="rId239" Type="http://schemas.openxmlformats.org/officeDocument/2006/relationships/hyperlink" Target="https://drive.google.com/open?id=162sSIV4sWwzz5a2ML8n14EmkXHYvlAZO" TargetMode="External"/><Relationship Id="rId250" Type="http://schemas.openxmlformats.org/officeDocument/2006/relationships/hyperlink" Target="https://drive.google.com/open?id=1NkJJ4SIn6OC5um2-ZJUlMBbG_1jErZBo" TargetMode="External"/><Relationship Id="rId292" Type="http://schemas.openxmlformats.org/officeDocument/2006/relationships/hyperlink" Target="https://drive.google.com/open?id=1VM474tK-bu6rHluHkDjAOUY5nf5gxzGn" TargetMode="External"/><Relationship Id="rId306" Type="http://schemas.openxmlformats.org/officeDocument/2006/relationships/hyperlink" Target="https://drive.google.com/open?id=16JcfPHsI0uNvnJbK7Q4hWOv80so3SXnw" TargetMode="External"/><Relationship Id="rId45" Type="http://schemas.openxmlformats.org/officeDocument/2006/relationships/hyperlink" Target="https://drive.google.com/open?id=1Mg9G5C2cROYMhfvq-gfz95eeCIpf1m-v" TargetMode="External"/><Relationship Id="rId87" Type="http://schemas.openxmlformats.org/officeDocument/2006/relationships/hyperlink" Target="https://drive.google.com/open?id=1FJc6n8Tk1YcrWJZuQqehF_oQijQ3Vi5w" TargetMode="External"/><Relationship Id="rId110" Type="http://schemas.openxmlformats.org/officeDocument/2006/relationships/hyperlink" Target="https://drive.google.com/open?id=1ny5ES0dwGIM8PyV5jDzZ6xeTNTz8MsQ-" TargetMode="External"/><Relationship Id="rId348" Type="http://schemas.openxmlformats.org/officeDocument/2006/relationships/hyperlink" Target="https://drive.google.com/open?id=1TVcND8EJRlIjPPo6ye3AGabCx4UumdG3" TargetMode="External"/><Relationship Id="rId152" Type="http://schemas.openxmlformats.org/officeDocument/2006/relationships/hyperlink" Target="https://drive.google.com/open?id=15SaFRhMyV7fiEbEGsUOEWlVDr962EFXv" TargetMode="External"/><Relationship Id="rId194" Type="http://schemas.openxmlformats.org/officeDocument/2006/relationships/hyperlink" Target="https://drive.google.com/open?id=1Tg7CL427lwEiCWst7x3ezhUb-o3tsV2Y" TargetMode="External"/><Relationship Id="rId208" Type="http://schemas.openxmlformats.org/officeDocument/2006/relationships/hyperlink" Target="https://drive.google.com/open?id=1r-e1qa24hZ9W21fDb40SPk11cDiHtWcj" TargetMode="External"/><Relationship Id="rId261" Type="http://schemas.openxmlformats.org/officeDocument/2006/relationships/hyperlink" Target="https://drive.google.com/open?id=1KZVIDZJ_T0bhK7v3fMJg81hbx_TSino2" TargetMode="External"/><Relationship Id="rId14" Type="http://schemas.openxmlformats.org/officeDocument/2006/relationships/hyperlink" Target="https://drive.google.com/open?id=1LK-4regr2K4dBU9UXFBuu_kK_yylnRd3" TargetMode="External"/><Relationship Id="rId56" Type="http://schemas.openxmlformats.org/officeDocument/2006/relationships/hyperlink" Target="https://drive.google.com/open?id=1fFhb2G_JK_MWWQoKiI0P7HMMU98LRNi8" TargetMode="External"/><Relationship Id="rId317" Type="http://schemas.openxmlformats.org/officeDocument/2006/relationships/hyperlink" Target="https://drive.google.com/open?id=1z2L0INclkaS2Vxgn6pyGwPCnTe8EWVBK" TargetMode="External"/><Relationship Id="rId359" Type="http://schemas.openxmlformats.org/officeDocument/2006/relationships/hyperlink" Target="https://drive.google.com/open?id=1mSPMzzcxgk4FhJo8ktN-OhOTCgR0pI70" TargetMode="External"/><Relationship Id="rId98" Type="http://schemas.openxmlformats.org/officeDocument/2006/relationships/hyperlink" Target="https://drive.google.com/open?id=1KCgdEKOeGQsb9-Y192s7P3HjY1jh72b4" TargetMode="External"/><Relationship Id="rId121" Type="http://schemas.openxmlformats.org/officeDocument/2006/relationships/hyperlink" Target="https://drive.google.com/open?id=13qg8WA_8HUQCj55VhaOI2AuMlKkY5huN" TargetMode="External"/><Relationship Id="rId163" Type="http://schemas.openxmlformats.org/officeDocument/2006/relationships/hyperlink" Target="https://drive.google.com/open?id=1op18hanGjunK1DYDCYIPozpnHQvkycOh" TargetMode="External"/><Relationship Id="rId219" Type="http://schemas.openxmlformats.org/officeDocument/2006/relationships/hyperlink" Target="https://drive.google.com/open?id=1mF0KzJk5JzrYL4-JSiuvKs2fdMjZROM7" TargetMode="External"/><Relationship Id="rId370" Type="http://schemas.openxmlformats.org/officeDocument/2006/relationships/hyperlink" Target="https://drive.google.com/open?id=14NDDehL_49Lpsnz8mCHm1eq4o2m52nUq" TargetMode="External"/><Relationship Id="rId230" Type="http://schemas.openxmlformats.org/officeDocument/2006/relationships/hyperlink" Target="https://drive.google.com/open?id=11WlRBWgVPMbZumfYDR79QqCTiXVxzWd7" TargetMode="External"/><Relationship Id="rId25" Type="http://schemas.openxmlformats.org/officeDocument/2006/relationships/hyperlink" Target="https://drive.google.com/open?id=1Tv_cSZoXgjxlZG9P9dYOgrXiIzLCJn9r" TargetMode="External"/><Relationship Id="rId67" Type="http://schemas.openxmlformats.org/officeDocument/2006/relationships/hyperlink" Target="https://drive.google.com/open?id=12AVPzrPinGzVbd6rS2JaGIvzxpuVZW64" TargetMode="External"/><Relationship Id="rId272" Type="http://schemas.openxmlformats.org/officeDocument/2006/relationships/hyperlink" Target="https://drive.google.com/open?id=1ua-Zmwq08e2C8059Abx0iG8rSiqXfI5T" TargetMode="External"/><Relationship Id="rId328" Type="http://schemas.openxmlformats.org/officeDocument/2006/relationships/hyperlink" Target="https://drive.google.com/open?id=1zmkPLUWOrtlqp6qmjIDHzfQEKsuUDm_A" TargetMode="External"/><Relationship Id="rId132" Type="http://schemas.openxmlformats.org/officeDocument/2006/relationships/hyperlink" Target="https://drive.google.com/open?id=1LoQEu5D46JlI3Y5JF7n4CinReFjt70kd" TargetMode="External"/><Relationship Id="rId174" Type="http://schemas.openxmlformats.org/officeDocument/2006/relationships/hyperlink" Target="https://drive.google.com/open?id=1A-QwgHvCy5kkzBYkBVh_g2mhN1MaXFHb" TargetMode="External"/><Relationship Id="rId241" Type="http://schemas.openxmlformats.org/officeDocument/2006/relationships/hyperlink" Target="https://drive.google.com/open?id=1M7npy4ZUnBozUMldWtl-q7Kn1qEI6Qpv" TargetMode="External"/><Relationship Id="rId36" Type="http://schemas.openxmlformats.org/officeDocument/2006/relationships/hyperlink" Target="https://drive.google.com/open?id=1ltdDJ8Hr9PLQXWQx7CYmrPhc5kOOEhAt" TargetMode="External"/><Relationship Id="rId283" Type="http://schemas.openxmlformats.org/officeDocument/2006/relationships/hyperlink" Target="https://drive.google.com/open?id=1E8cCdRFdzZ7GWcm1e4Y3SDEcS_Glh838" TargetMode="External"/><Relationship Id="rId339" Type="http://schemas.openxmlformats.org/officeDocument/2006/relationships/hyperlink" Target="https://drive.google.com/open?id=181J_sy1jt_FwPOgdpI-9J6PD3DGJBus4" TargetMode="External"/><Relationship Id="rId78" Type="http://schemas.openxmlformats.org/officeDocument/2006/relationships/hyperlink" Target="https://drive.google.com/open?id=1ySeFqGqreV2SFURiXgx3qJrks9COWHru" TargetMode="External"/><Relationship Id="rId101" Type="http://schemas.openxmlformats.org/officeDocument/2006/relationships/hyperlink" Target="https://drive.google.com/open?id=1Aza6rnuBohGd5dkNzILquQmg5hIAG706" TargetMode="External"/><Relationship Id="rId143" Type="http://schemas.openxmlformats.org/officeDocument/2006/relationships/hyperlink" Target="https://drive.google.com/open?id=1QRx-1ynZA0Vk0mEk6iehhvBl3SjFj7hs" TargetMode="External"/><Relationship Id="rId185" Type="http://schemas.openxmlformats.org/officeDocument/2006/relationships/hyperlink" Target="https://drive.google.com/open?id=1BbAcnJEh7E_GWXnpBhSFfvzYLDgzC_Y-" TargetMode="External"/><Relationship Id="rId350" Type="http://schemas.openxmlformats.org/officeDocument/2006/relationships/hyperlink" Target="https://drive.google.com/open?id=153l7W0e6ObUIgb2C8WfQS9wRXJBWFpSU" TargetMode="External"/><Relationship Id="rId9" Type="http://schemas.openxmlformats.org/officeDocument/2006/relationships/hyperlink" Target="https://drive.google.com/open?id=1XhR1y3u1KCOez297sU7JlKcReaV_NjD0" TargetMode="External"/><Relationship Id="rId210" Type="http://schemas.openxmlformats.org/officeDocument/2006/relationships/hyperlink" Target="https://drive.google.com/open?id=1SMu1qYR5hvMSxE6bI6WDekKR_rNHhSTM" TargetMode="External"/><Relationship Id="rId26" Type="http://schemas.openxmlformats.org/officeDocument/2006/relationships/hyperlink" Target="https://drive.google.com/open?id=1PiuuwmNADQ9cXhZMHNMjTfP7_auPVZoe" TargetMode="External"/><Relationship Id="rId231" Type="http://schemas.openxmlformats.org/officeDocument/2006/relationships/hyperlink" Target="https://drive.google.com/open?id=1gyHiVPHMkSz31vYOhCS9WPFIp7SRszmi" TargetMode="External"/><Relationship Id="rId252" Type="http://schemas.openxmlformats.org/officeDocument/2006/relationships/hyperlink" Target="https://drive.google.com/open?id=1PBYO9EyjgEj6w-TnLajY7JcQujTuz7qX" TargetMode="External"/><Relationship Id="rId273" Type="http://schemas.openxmlformats.org/officeDocument/2006/relationships/hyperlink" Target="https://drive.google.com/open?id=1dm5KnNBE5NfdlV01Na88f5jY4DpKgIJB" TargetMode="External"/><Relationship Id="rId294" Type="http://schemas.openxmlformats.org/officeDocument/2006/relationships/hyperlink" Target="https://drive.google.com/open?id=1jwUpeRh1wxWp3Y8BzN_iD47BJzNQW_sl" TargetMode="External"/><Relationship Id="rId308" Type="http://schemas.openxmlformats.org/officeDocument/2006/relationships/hyperlink" Target="https://drive.google.com/open?id=1koqAn4KJtXhydHq8r73oCAetBEsW2DSB" TargetMode="External"/><Relationship Id="rId329" Type="http://schemas.openxmlformats.org/officeDocument/2006/relationships/hyperlink" Target="https://drive.google.com/open?id=1BPGBwdeysA3Vo8yXj__5xt22KWe28QNW" TargetMode="External"/><Relationship Id="rId47" Type="http://schemas.openxmlformats.org/officeDocument/2006/relationships/hyperlink" Target="https://drive.google.com/open?id=1rnxwyHQles3VhnMmPmRAJcH03Gk-09Oz" TargetMode="External"/><Relationship Id="rId68" Type="http://schemas.openxmlformats.org/officeDocument/2006/relationships/hyperlink" Target="https://drive.google.com/open?id=1f5Q_L7J63mt3bsUtgugMPj6BW_NaICvH" TargetMode="External"/><Relationship Id="rId89" Type="http://schemas.openxmlformats.org/officeDocument/2006/relationships/hyperlink" Target="https://drive.google.com/open?id=1ftxNq3ePi1b9m4venJTQUlb4kkXr6dQ2" TargetMode="External"/><Relationship Id="rId112" Type="http://schemas.openxmlformats.org/officeDocument/2006/relationships/hyperlink" Target="https://drive.google.com/open?id=1lTth2cJOtgKUH7glq--buove3NvVuhHk" TargetMode="External"/><Relationship Id="rId133" Type="http://schemas.openxmlformats.org/officeDocument/2006/relationships/hyperlink" Target="https://drive.google.com/open?id=1-uMiGmxxdZuFryX4RdD91o_OyDPUVpJy" TargetMode="External"/><Relationship Id="rId154" Type="http://schemas.openxmlformats.org/officeDocument/2006/relationships/hyperlink" Target="https://drive.google.com/open?id=19ccwlLO0WO4NjM0tl-o5mHfs9Y0T6fTN" TargetMode="External"/><Relationship Id="rId175" Type="http://schemas.openxmlformats.org/officeDocument/2006/relationships/hyperlink" Target="https://drive.google.com/open?id=1sIW7zl_kr0nCi7uUnOjQR6uOh9-IutVe" TargetMode="External"/><Relationship Id="rId340" Type="http://schemas.openxmlformats.org/officeDocument/2006/relationships/hyperlink" Target="https://drive.google.com/open?id=1XwFs1TFcTmCaqFuxBt-ejuPRCTpcpPyc" TargetMode="External"/><Relationship Id="rId361" Type="http://schemas.openxmlformats.org/officeDocument/2006/relationships/hyperlink" Target="https://drive.google.com/open?id=1eWSXf7S0vrg0lZxQJX7eIbmqFPgiaFHd" TargetMode="External"/><Relationship Id="rId196" Type="http://schemas.openxmlformats.org/officeDocument/2006/relationships/hyperlink" Target="https://drive.google.com/open?id=1wLMWI-PiE9Ilt-NhUMacyHynTwKj6KxY" TargetMode="External"/><Relationship Id="rId200" Type="http://schemas.openxmlformats.org/officeDocument/2006/relationships/hyperlink" Target="https://drive.google.com/open?id=1GQdELThlfHlOIDqjs3earyvmjfI2sj5v" TargetMode="External"/><Relationship Id="rId16" Type="http://schemas.openxmlformats.org/officeDocument/2006/relationships/hyperlink" Target="https://drive.google.com/open?id=1c8ORUJ7oSzmUVKjqQLub9qX1hZAc1ejo" TargetMode="External"/><Relationship Id="rId221" Type="http://schemas.openxmlformats.org/officeDocument/2006/relationships/hyperlink" Target="https://drive.google.com/open?id=1OdOFH9ZAkRKTITV1CWSPzXL1yIUsd4i9" TargetMode="External"/><Relationship Id="rId242" Type="http://schemas.openxmlformats.org/officeDocument/2006/relationships/hyperlink" Target="https://drive.google.com/open?id=1VZr_byMTXwwG70_3OBDg1AZ1b3dw_13I" TargetMode="External"/><Relationship Id="rId263" Type="http://schemas.openxmlformats.org/officeDocument/2006/relationships/hyperlink" Target="https://drive.google.com/open?id=1XfX4ph2IB0G2R74lwfNoA3qSfM52k5SX" TargetMode="External"/><Relationship Id="rId284" Type="http://schemas.openxmlformats.org/officeDocument/2006/relationships/hyperlink" Target="https://drive.google.com/open?id=1o7jN13KZaERtzToiA0F8zAu5p-JZuFba" TargetMode="External"/><Relationship Id="rId319" Type="http://schemas.openxmlformats.org/officeDocument/2006/relationships/hyperlink" Target="https://drive.google.com/open?id=1hL_RiK-Z7fOCXEk3iSH5ckUdJNReWOFR" TargetMode="External"/><Relationship Id="rId37" Type="http://schemas.openxmlformats.org/officeDocument/2006/relationships/hyperlink" Target="https://drive.google.com/open?id=1kepE9IrL1KPiijYG08Oixmr7ef6X0ncC" TargetMode="External"/><Relationship Id="rId58" Type="http://schemas.openxmlformats.org/officeDocument/2006/relationships/hyperlink" Target="https://drive.google.com/open?id=19MNrVdD-km2rE4HSzzIWXkuuoKRnlNm5" TargetMode="External"/><Relationship Id="rId79" Type="http://schemas.openxmlformats.org/officeDocument/2006/relationships/hyperlink" Target="https://drive.google.com/open?id=1O_wOwwy6MehfVuKPuA0Xe6xDTCB2MWzJ" TargetMode="External"/><Relationship Id="rId102" Type="http://schemas.openxmlformats.org/officeDocument/2006/relationships/hyperlink" Target="https://drive.google.com/open?id=1YKsBTZEdliTLbismgRlBFS_ZnF-AE0eM" TargetMode="External"/><Relationship Id="rId123" Type="http://schemas.openxmlformats.org/officeDocument/2006/relationships/hyperlink" Target="https://drive.google.com/open?id=1sdKzB5GB16zVC42yYQnutKDK8OvbtM4I" TargetMode="External"/><Relationship Id="rId144" Type="http://schemas.openxmlformats.org/officeDocument/2006/relationships/hyperlink" Target="https://drive.google.com/open?id=1Bs27QA67_Ivk2qXEVQoY0sU2gdoxkjNb" TargetMode="External"/><Relationship Id="rId330" Type="http://schemas.openxmlformats.org/officeDocument/2006/relationships/hyperlink" Target="https://drive.google.com/open?id=1STAVqYoMb4IxuEmMSNnndXhZeTyo0ITz" TargetMode="External"/><Relationship Id="rId90" Type="http://schemas.openxmlformats.org/officeDocument/2006/relationships/hyperlink" Target="https://drive.google.com/open?id=1Tl5KOb94CrfAOz_zyk7CNrZ-6PD5OGdo" TargetMode="External"/><Relationship Id="rId165" Type="http://schemas.openxmlformats.org/officeDocument/2006/relationships/hyperlink" Target="https://drive.google.com/open?id=1SNq_EpPfhAdKGZmgup84UphnlHHkASEb" TargetMode="External"/><Relationship Id="rId186" Type="http://schemas.openxmlformats.org/officeDocument/2006/relationships/hyperlink" Target="https://drive.google.com/open?id=10SJQwUdmD6OXuzMjK5dp9i5M5Xjumsmg" TargetMode="External"/><Relationship Id="rId351" Type="http://schemas.openxmlformats.org/officeDocument/2006/relationships/hyperlink" Target="https://drive.google.com/open?id=1VU4ZG0Quh8j4wIc9XETuE_5mwYCuCDUK" TargetMode="External"/><Relationship Id="rId372" Type="http://schemas.openxmlformats.org/officeDocument/2006/relationships/hyperlink" Target="https://drive.google.com/open?id=1gASQnGXIFx106kvij-PnDqqO9jzV8gsE" TargetMode="External"/><Relationship Id="rId211" Type="http://schemas.openxmlformats.org/officeDocument/2006/relationships/hyperlink" Target="https://drive.google.com/open?id=1sLJO6eVyl_3qp49oV_tXW8cIaYrUggFG" TargetMode="External"/><Relationship Id="rId232" Type="http://schemas.openxmlformats.org/officeDocument/2006/relationships/hyperlink" Target="https://drive.google.com/open?id=1EOYjHWMNvNE8DmRXa0wY63SR7EraTFjE" TargetMode="External"/><Relationship Id="rId253" Type="http://schemas.openxmlformats.org/officeDocument/2006/relationships/hyperlink" Target="https://drive.google.com/open?id=1YuzLXRm375XBNAP7z9XVJCvSvr0Lcb8p" TargetMode="External"/><Relationship Id="rId274" Type="http://schemas.openxmlformats.org/officeDocument/2006/relationships/hyperlink" Target="https://drive.google.com/open?id=1WoVPIi9048pLmNHt3yt1GoBbDvj83CrO" TargetMode="External"/><Relationship Id="rId295" Type="http://schemas.openxmlformats.org/officeDocument/2006/relationships/hyperlink" Target="https://drive.google.com/open?id=1QWTbhNhkqyLDTJ51e0t4GLTuu5AWqtAW" TargetMode="External"/><Relationship Id="rId309" Type="http://schemas.openxmlformats.org/officeDocument/2006/relationships/hyperlink" Target="https://drive.google.com/open?id=1tb9iAtwydz4QHZvWbAlgwhjGXQqI07Sr" TargetMode="External"/><Relationship Id="rId27" Type="http://schemas.openxmlformats.org/officeDocument/2006/relationships/hyperlink" Target="https://drive.google.com/open?id=11ucfB9JaxGr0HdmwmqarpQjTuHcntUCz" TargetMode="External"/><Relationship Id="rId48" Type="http://schemas.openxmlformats.org/officeDocument/2006/relationships/hyperlink" Target="https://drive.google.com/open?id=1Pi1Vi2vzAwmTz2jG_q1HuchqAPQCt7fd" TargetMode="External"/><Relationship Id="rId69" Type="http://schemas.openxmlformats.org/officeDocument/2006/relationships/hyperlink" Target="https://drive.google.com/open?id=1uRhjrAZUnb3yUtIuagGssZ1Z1wZ7VkK0" TargetMode="External"/><Relationship Id="rId113" Type="http://schemas.openxmlformats.org/officeDocument/2006/relationships/hyperlink" Target="https://drive.google.com/open?id=1bVVQET2z85kj5HxmCmwEtLtWu4guhpf5" TargetMode="External"/><Relationship Id="rId134" Type="http://schemas.openxmlformats.org/officeDocument/2006/relationships/hyperlink" Target="https://drive.google.com/open?id=1vMzhY4f_r3gkOsAHVneFNGqHDOy71OQ4" TargetMode="External"/><Relationship Id="rId320" Type="http://schemas.openxmlformats.org/officeDocument/2006/relationships/hyperlink" Target="https://drive.google.com/open?id=1-DfZsAKOL-nCOnPAkfBDDmvBjx9UVvWJ" TargetMode="External"/><Relationship Id="rId80" Type="http://schemas.openxmlformats.org/officeDocument/2006/relationships/hyperlink" Target="https://drive.google.com/open?id=1JXKyO6G3vlPoOQs_yC0oENwNO84t31vx" TargetMode="External"/><Relationship Id="rId155" Type="http://schemas.openxmlformats.org/officeDocument/2006/relationships/hyperlink" Target="https://drive.google.com/open?id=1zjaA6dOdAklZIhnjWqJguJCCMuuERMIQ" TargetMode="External"/><Relationship Id="rId176" Type="http://schemas.openxmlformats.org/officeDocument/2006/relationships/hyperlink" Target="https://drive.google.com/open?id=1-ciiGaA1R2-JSUD78nBiTKMMrPRTgIVr" TargetMode="External"/><Relationship Id="rId197" Type="http://schemas.openxmlformats.org/officeDocument/2006/relationships/hyperlink" Target="https://drive.google.com/open?id=16glFTwJYKn3G8AXf-To4b5qF3kWui-v9" TargetMode="External"/><Relationship Id="rId341" Type="http://schemas.openxmlformats.org/officeDocument/2006/relationships/hyperlink" Target="https://drive.google.com/open?id=1u0VWHMQHxNh4GhDOzPf7npSusTqh-Nga" TargetMode="External"/><Relationship Id="rId362" Type="http://schemas.openxmlformats.org/officeDocument/2006/relationships/hyperlink" Target="https://drive.google.com/open?id=1F6XwBrjweza9HnuKPULOanqX6NnOJed5" TargetMode="External"/><Relationship Id="rId201" Type="http://schemas.openxmlformats.org/officeDocument/2006/relationships/hyperlink" Target="https://drive.google.com/open?id=1gkdNTxAOM-jTG1AkEy9EjHRS1S94OBZO" TargetMode="External"/><Relationship Id="rId222" Type="http://schemas.openxmlformats.org/officeDocument/2006/relationships/hyperlink" Target="https://drive.google.com/open?id=1PfNZnNKwQMvAYGFqQiAqABVMRq5nmqtq" TargetMode="External"/><Relationship Id="rId243" Type="http://schemas.openxmlformats.org/officeDocument/2006/relationships/hyperlink" Target="https://drive.google.com/open?id=103dFaSkv9PwNTlMG_vl_18K6cREGMfZ4" TargetMode="External"/><Relationship Id="rId264" Type="http://schemas.openxmlformats.org/officeDocument/2006/relationships/hyperlink" Target="https://drive.google.com/open?id=1A3xkM9PQMrCum1ep0WFqkPd5nRAdXDKV" TargetMode="External"/><Relationship Id="rId285" Type="http://schemas.openxmlformats.org/officeDocument/2006/relationships/hyperlink" Target="https://drive.google.com/open?id=1de31fv96d4p5j0GAXxe-LdDSekbKLnL6" TargetMode="External"/><Relationship Id="rId17" Type="http://schemas.openxmlformats.org/officeDocument/2006/relationships/hyperlink" Target="https://drive.google.com/open?id=1DkZg1AbpyYCrxZjihCmQtYYE50uh42Y7" TargetMode="External"/><Relationship Id="rId38" Type="http://schemas.openxmlformats.org/officeDocument/2006/relationships/hyperlink" Target="https://drive.google.com/open?id=12lPhnYbHk7gkGgVuRtkdGwhxEr4o7bO3" TargetMode="External"/><Relationship Id="rId59" Type="http://schemas.openxmlformats.org/officeDocument/2006/relationships/hyperlink" Target="https://drive.google.com/open?id=1YXVEJhmt3TKQooDIdI_SzxB20p1H8cZ4" TargetMode="External"/><Relationship Id="rId103" Type="http://schemas.openxmlformats.org/officeDocument/2006/relationships/hyperlink" Target="https://drive.google.com/open?id=1rJogLJBgPeZoulWyXMMEcHrGEuAYI-pK" TargetMode="External"/><Relationship Id="rId124" Type="http://schemas.openxmlformats.org/officeDocument/2006/relationships/hyperlink" Target="https://drive.google.com/open?id=1SDoRkfAGLX1ZMmW-HQddokBg9-xxvcwD" TargetMode="External"/><Relationship Id="rId310" Type="http://schemas.openxmlformats.org/officeDocument/2006/relationships/hyperlink" Target="https://drive.google.com/open?id=1ciDxmeUZKJckgpm53ynNpe91gBWNB7Ng" TargetMode="External"/><Relationship Id="rId70" Type="http://schemas.openxmlformats.org/officeDocument/2006/relationships/hyperlink" Target="https://drive.google.com/open?id=1jnnYc4DwheffGn1JXxcqZtSK3I-lSdTg" TargetMode="External"/><Relationship Id="rId91" Type="http://schemas.openxmlformats.org/officeDocument/2006/relationships/hyperlink" Target="https://drive.google.com/open?id=1tYwQE_7TOEqo6BUgFuD7iBXg-SSHmRrm" TargetMode="External"/><Relationship Id="rId145" Type="http://schemas.openxmlformats.org/officeDocument/2006/relationships/hyperlink" Target="https://drive.google.com/open?id=1uehaQl9ePQz0I_jmtzxh8teKrBzRPX0U" TargetMode="External"/><Relationship Id="rId166" Type="http://schemas.openxmlformats.org/officeDocument/2006/relationships/hyperlink" Target="https://drive.google.com/open?id=1sD0irFNgRBLHHiUIhnaOxEzO_vHx9hKH" TargetMode="External"/><Relationship Id="rId187" Type="http://schemas.openxmlformats.org/officeDocument/2006/relationships/hyperlink" Target="https://drive.google.com/open?id=1kdBApmC90nxhkej-AWHkp4YLU2NFzTac" TargetMode="External"/><Relationship Id="rId331" Type="http://schemas.openxmlformats.org/officeDocument/2006/relationships/hyperlink" Target="https://drive.google.com/open?id=1Cl_DGG-0DMbOhPhAaLZ7-WaAM5kkDZ5J" TargetMode="External"/><Relationship Id="rId352" Type="http://schemas.openxmlformats.org/officeDocument/2006/relationships/hyperlink" Target="https://drive.google.com/open?id=1CAbTyDcrEqux5a0URM13J4Yo_ytoG8Xz" TargetMode="External"/><Relationship Id="rId373" Type="http://schemas.openxmlformats.org/officeDocument/2006/relationships/hyperlink" Target="https://drive.google.com/open?id=1G_-0z7JV_M6kh11XTiGaAR9apZxkQ_UD" TargetMode="External"/><Relationship Id="rId1" Type="http://schemas.openxmlformats.org/officeDocument/2006/relationships/hyperlink" Target="https://drive.google.com/open?id=1b6H_SmUwsqLkoy8J9g_teLVEZe8Egyz9" TargetMode="External"/><Relationship Id="rId212" Type="http://schemas.openxmlformats.org/officeDocument/2006/relationships/hyperlink" Target="https://drive.google.com/open?id=12q_XK1BIkWr0hjKXJj7K1rlPoCR-KGz_" TargetMode="External"/><Relationship Id="rId233" Type="http://schemas.openxmlformats.org/officeDocument/2006/relationships/hyperlink" Target="https://drive.google.com/open?id=1Cw8VvBSvIZRi52P8nN2Vmm5Bl_tv6Yvo" TargetMode="External"/><Relationship Id="rId254" Type="http://schemas.openxmlformats.org/officeDocument/2006/relationships/hyperlink" Target="https://drive.google.com/open?id=16snOAQmh-ctl37p7I8jKkz1Uiw2FEGvG" TargetMode="External"/><Relationship Id="rId28" Type="http://schemas.openxmlformats.org/officeDocument/2006/relationships/hyperlink" Target="https://drive.google.com/open?id=1MFpEMbJ1ew9LZJ71V7N9JdNgBYDXZVKK" TargetMode="External"/><Relationship Id="rId49" Type="http://schemas.openxmlformats.org/officeDocument/2006/relationships/hyperlink" Target="https://drive.google.com/open?id=1jgEJ7cCKpkkvqCewdkJo2yaWPdehrlhF" TargetMode="External"/><Relationship Id="rId114" Type="http://schemas.openxmlformats.org/officeDocument/2006/relationships/hyperlink" Target="https://drive.google.com/open?id=1zC9So4qVCBtFcdW6si60NJKCTEqDJF-z" TargetMode="External"/><Relationship Id="rId275" Type="http://schemas.openxmlformats.org/officeDocument/2006/relationships/hyperlink" Target="https://drive.google.com/open?id=1Ing0JQbPAE6TzmePliF0iN-42-hA1Kfz" TargetMode="External"/><Relationship Id="rId296" Type="http://schemas.openxmlformats.org/officeDocument/2006/relationships/hyperlink" Target="https://drive.google.com/open?id=1oypAIcXJDVB212G4wH8EGI20PoEGefig" TargetMode="External"/><Relationship Id="rId300" Type="http://schemas.openxmlformats.org/officeDocument/2006/relationships/hyperlink" Target="https://drive.google.com/open?id=12u8aR-CUKpSBdo5-6yyPqRK_40q-yyWi" TargetMode="External"/><Relationship Id="rId60" Type="http://schemas.openxmlformats.org/officeDocument/2006/relationships/hyperlink" Target="https://drive.google.com/open?id=1OMJNft5RHCZkh02YxukH8tEJS_m32tCK" TargetMode="External"/><Relationship Id="rId81" Type="http://schemas.openxmlformats.org/officeDocument/2006/relationships/hyperlink" Target="https://drive.google.com/open?id=1KMHZb0eLfWNITTNBJ_67L1a4dAsKInPU" TargetMode="External"/><Relationship Id="rId135" Type="http://schemas.openxmlformats.org/officeDocument/2006/relationships/hyperlink" Target="https://drive.google.com/open?id=1e4YjzBF27nYbqHga2jNHy6KvEROXaGAz" TargetMode="External"/><Relationship Id="rId156" Type="http://schemas.openxmlformats.org/officeDocument/2006/relationships/hyperlink" Target="https://drive.google.com/open?id=14mm35Rfm49OmE6e8cGWBNL6GqrFSNPCE" TargetMode="External"/><Relationship Id="rId177" Type="http://schemas.openxmlformats.org/officeDocument/2006/relationships/hyperlink" Target="https://drive.google.com/open?id=1DW3fHm0uBPAaQOJxwwSOpCQ5GBhKXxqc" TargetMode="External"/><Relationship Id="rId198" Type="http://schemas.openxmlformats.org/officeDocument/2006/relationships/hyperlink" Target="https://drive.google.com/open?id=1pup8OLlcJTmCo7Jg1FFxzWnWB34dufza" TargetMode="External"/><Relationship Id="rId321" Type="http://schemas.openxmlformats.org/officeDocument/2006/relationships/hyperlink" Target="https://drive.google.com/open?id=1hVoYN0Ju9SOCV4WI0iaejEIFW-jS8cnI" TargetMode="External"/><Relationship Id="rId342" Type="http://schemas.openxmlformats.org/officeDocument/2006/relationships/hyperlink" Target="https://drive.google.com/open?id=1gfAwAHNH4vgaxUChnH0HftwMeQ9WpJYU" TargetMode="External"/><Relationship Id="rId363" Type="http://schemas.openxmlformats.org/officeDocument/2006/relationships/hyperlink" Target="https://drive.google.com/open?id=1DckJ7QpV4Uc0Ozc3e9nTvyw9bilw1RVs" TargetMode="External"/><Relationship Id="rId202" Type="http://schemas.openxmlformats.org/officeDocument/2006/relationships/hyperlink" Target="https://drive.google.com/open?id=1wFh5RnsTIORLc_iUpcy0FAQ8_8HVPzlG" TargetMode="External"/><Relationship Id="rId223" Type="http://schemas.openxmlformats.org/officeDocument/2006/relationships/hyperlink" Target="https://drive.google.com/open?id=1XXS1NP0yvb0rLELWEtXKRbabAp7wndck" TargetMode="External"/><Relationship Id="rId244" Type="http://schemas.openxmlformats.org/officeDocument/2006/relationships/hyperlink" Target="https://drive.google.com/open?id=1jNrVz1Ko3bXosqE8rZuDHMckfpTf83_v" TargetMode="External"/><Relationship Id="rId18" Type="http://schemas.openxmlformats.org/officeDocument/2006/relationships/hyperlink" Target="https://drive.google.com/open?id=1Rxj7Ixbpq3jhRbVszyoUDyxstmJcRVuz" TargetMode="External"/><Relationship Id="rId39" Type="http://schemas.openxmlformats.org/officeDocument/2006/relationships/hyperlink" Target="https://drive.google.com/open?id=1R3YwjyMSXHHykIgZxqEdOyNbfvajmvbJ" TargetMode="External"/><Relationship Id="rId265" Type="http://schemas.openxmlformats.org/officeDocument/2006/relationships/hyperlink" Target="https://drive.google.com/open?id=1XdEV8OORHwsSfFtBFVn5ddpfmjQcKo2u" TargetMode="External"/><Relationship Id="rId286" Type="http://schemas.openxmlformats.org/officeDocument/2006/relationships/hyperlink" Target="https://drive.google.com/open?id=1i4Cg9po4P8ygTwbtrDSyEgjLWJqBG7J4" TargetMode="External"/><Relationship Id="rId50" Type="http://schemas.openxmlformats.org/officeDocument/2006/relationships/hyperlink" Target="https://drive.google.com/open?id=1yJZXM9rW3tBMo-_1TkTdD4Lilqv_zJUe" TargetMode="External"/><Relationship Id="rId104" Type="http://schemas.openxmlformats.org/officeDocument/2006/relationships/hyperlink" Target="https://drive.google.com/open?id=1nhIYQ4AG1Y5w5nIyhsAQEdQE9Eyj2bvn" TargetMode="External"/><Relationship Id="rId125" Type="http://schemas.openxmlformats.org/officeDocument/2006/relationships/hyperlink" Target="https://drive.google.com/open?id=1-Pia5TGNQGXEdA4PR6pSd4ppiYzR1So2" TargetMode="External"/><Relationship Id="rId146" Type="http://schemas.openxmlformats.org/officeDocument/2006/relationships/hyperlink" Target="https://drive.google.com/open?id=1aUgQ-7MUM7dh3Lg8rvdftfEprYBn2OW8" TargetMode="External"/><Relationship Id="rId167" Type="http://schemas.openxmlformats.org/officeDocument/2006/relationships/hyperlink" Target="https://drive.google.com/open?id=1Db4HIYmjnYWdtcM7gBUHsIkRZi8iHVA1" TargetMode="External"/><Relationship Id="rId188" Type="http://schemas.openxmlformats.org/officeDocument/2006/relationships/hyperlink" Target="https://drive.google.com/open?id=1hgov4WgNbTq6R_2OMX-EfewLgMOFJ_yf" TargetMode="External"/><Relationship Id="rId311" Type="http://schemas.openxmlformats.org/officeDocument/2006/relationships/hyperlink" Target="https://drive.google.com/open?id=1kyYKfDi9TlUawG-YTKV4XzPtCyuUCOIo" TargetMode="External"/><Relationship Id="rId332" Type="http://schemas.openxmlformats.org/officeDocument/2006/relationships/hyperlink" Target="https://drive.google.com/open?id=11Jj1gmrfaY3SWoXAy80w63HKG-xEFHCd" TargetMode="External"/><Relationship Id="rId353" Type="http://schemas.openxmlformats.org/officeDocument/2006/relationships/hyperlink" Target="https://drive.google.com/open?id=1TPQ62q4ntLRAwKk8-4YepIijCHZRgAMN" TargetMode="External"/><Relationship Id="rId374" Type="http://schemas.openxmlformats.org/officeDocument/2006/relationships/hyperlink" Target="https://drive.google.com/open?id=1KyssQfoqKqBuBiVahgV4zGofcFiGBr89" TargetMode="External"/><Relationship Id="rId71" Type="http://schemas.openxmlformats.org/officeDocument/2006/relationships/hyperlink" Target="https://drive.google.com/open?id=1Bncr1hZWzZMyx5Y5xqJQRM0XUuLgV3S-" TargetMode="External"/><Relationship Id="rId92" Type="http://schemas.openxmlformats.org/officeDocument/2006/relationships/hyperlink" Target="https://drive.google.com/open?id=1Mk_bp60W52kUcYCDa78MGcs-VZGqJWuq" TargetMode="External"/><Relationship Id="rId213" Type="http://schemas.openxmlformats.org/officeDocument/2006/relationships/hyperlink" Target="https://drive.google.com/open?id=1q1iOgOJs0S6F3pBLea-6V8rQaVh95peo" TargetMode="External"/><Relationship Id="rId234" Type="http://schemas.openxmlformats.org/officeDocument/2006/relationships/hyperlink" Target="https://drive.google.com/open?id=19v_goXzJNW1d0-jCDMAfYvd14zOkzWTD" TargetMode="External"/><Relationship Id="rId2" Type="http://schemas.openxmlformats.org/officeDocument/2006/relationships/hyperlink" Target="https://drive.google.com/open?id=1Hh1VgXUpYI6m_e52cYbtEztGpme1UPGw" TargetMode="External"/><Relationship Id="rId29" Type="http://schemas.openxmlformats.org/officeDocument/2006/relationships/hyperlink" Target="https://drive.google.com/open?id=1nwA1LwlyDRZ168N-o5MDUZkyTnDQHC0j" TargetMode="External"/><Relationship Id="rId255" Type="http://schemas.openxmlformats.org/officeDocument/2006/relationships/hyperlink" Target="https://drive.google.com/open?id=139bbD2ZSvtkycS4zOG5aYZr3LsEF5Gp2" TargetMode="External"/><Relationship Id="rId276" Type="http://schemas.openxmlformats.org/officeDocument/2006/relationships/hyperlink" Target="https://www.facebook.com/phichittra.kannika.3?mibextid=ZbWKwL" TargetMode="External"/><Relationship Id="rId297" Type="http://schemas.openxmlformats.org/officeDocument/2006/relationships/hyperlink" Target="https://drive.google.com/open?id=1JQVYcC2pfeZfIAiVIHgoB5mKg4zNvBr1" TargetMode="External"/><Relationship Id="rId40" Type="http://schemas.openxmlformats.org/officeDocument/2006/relationships/hyperlink" Target="https://drive.google.com/open?id=1GihVzIKzryJUAAdYYLZDb5vBlgd4C_lE" TargetMode="External"/><Relationship Id="rId115" Type="http://schemas.openxmlformats.org/officeDocument/2006/relationships/hyperlink" Target="https://drive.google.com/open?id=16HGWt7JbSSzJ5Oqsgujolrb1NTT0ZzpG" TargetMode="External"/><Relationship Id="rId136" Type="http://schemas.openxmlformats.org/officeDocument/2006/relationships/hyperlink" Target="https://drive.google.com/open?id=1DRy9--crO_7BpdIzV7R_jW0YCIwEI4PL" TargetMode="External"/><Relationship Id="rId157" Type="http://schemas.openxmlformats.org/officeDocument/2006/relationships/hyperlink" Target="https://drive.google.com/open?id=1O5mMcJJDz-boIaKCYqE8Bgc0FW_gTpBr" TargetMode="External"/><Relationship Id="rId178" Type="http://schemas.openxmlformats.org/officeDocument/2006/relationships/hyperlink" Target="https://drive.google.com/open?id=1ycikU7gBFwYmM1JEoEQyLNRMa6DSCiQy" TargetMode="External"/><Relationship Id="rId301" Type="http://schemas.openxmlformats.org/officeDocument/2006/relationships/hyperlink" Target="https://drive.google.com/open?id=1nKCGWqvCgis2RAitS9t_u-YhkiTiY4ME" TargetMode="External"/><Relationship Id="rId322" Type="http://schemas.openxmlformats.org/officeDocument/2006/relationships/hyperlink" Target="https://drive.google.com/open?id=1F2SjidfxJZUPX8j9cRLj4CEo7dD7uq2a" TargetMode="External"/><Relationship Id="rId343" Type="http://schemas.openxmlformats.org/officeDocument/2006/relationships/hyperlink" Target="https://drive.google.com/open?id=1xy163aeQPNF9DnXgB2tvsLNtchv8jvfz" TargetMode="External"/><Relationship Id="rId364" Type="http://schemas.openxmlformats.org/officeDocument/2006/relationships/hyperlink" Target="https://drive.google.com/open?id=1fNc7HDw2YFe_lxR9BS1rHAaSZ3K5FzLn" TargetMode="External"/><Relationship Id="rId61" Type="http://schemas.openxmlformats.org/officeDocument/2006/relationships/hyperlink" Target="https://drive.google.com/open?id=1yA50Lqcpy2Ye63OWATPgoqNxR2M7VvHy" TargetMode="External"/><Relationship Id="rId82" Type="http://schemas.openxmlformats.org/officeDocument/2006/relationships/hyperlink" Target="https://drive.google.com/open?id=1_oRvECR8g8KF1ndJ-uUg4DhOW0pgYtPh" TargetMode="External"/><Relationship Id="rId199" Type="http://schemas.openxmlformats.org/officeDocument/2006/relationships/hyperlink" Target="https://drive.google.com/open?id=1TFKjkdKR3PMxyY1yI-EVfg5lqjVIekh5" TargetMode="External"/><Relationship Id="rId203" Type="http://schemas.openxmlformats.org/officeDocument/2006/relationships/hyperlink" Target="https://drive.google.com/open?id=11zjx8umi9Mjn8edfuarGVmQ2ArgthQXr" TargetMode="External"/><Relationship Id="rId19" Type="http://schemas.openxmlformats.org/officeDocument/2006/relationships/hyperlink" Target="https://drive.google.com/open?id=1of1qBP9_m3Hj4neGOeMfa8bjkKsYfu9S" TargetMode="External"/><Relationship Id="rId224" Type="http://schemas.openxmlformats.org/officeDocument/2006/relationships/hyperlink" Target="https://drive.google.com/open?id=1mdeZdcSH50FYJje87whODquEKwJlIl8D" TargetMode="External"/><Relationship Id="rId245" Type="http://schemas.openxmlformats.org/officeDocument/2006/relationships/hyperlink" Target="https://drive.google.com/open?id=1DrWLkpQSzbNYsPhFAIRweM-D8PQTx5_u" TargetMode="External"/><Relationship Id="rId266" Type="http://schemas.openxmlformats.org/officeDocument/2006/relationships/hyperlink" Target="https://drive.google.com/open?id=19DZaDeJCit65B7yUwZFgKpMYP5CY_khD" TargetMode="External"/><Relationship Id="rId287" Type="http://schemas.openxmlformats.org/officeDocument/2006/relationships/hyperlink" Target="https://drive.google.com/open?id=1A5SM5U7oHFwrXo5I6uCd4c-dsO6tLpov" TargetMode="External"/><Relationship Id="rId30" Type="http://schemas.openxmlformats.org/officeDocument/2006/relationships/hyperlink" Target="https://drive.google.com/open?id=1M9cAZclnbS8E7HQ2kuY_yj8BH8U-Z9Rb" TargetMode="External"/><Relationship Id="rId105" Type="http://schemas.openxmlformats.org/officeDocument/2006/relationships/hyperlink" Target="https://drive.google.com/open?id=18h5KjjsEVLqSAEdWsV0J9I3hqaiqhTC_" TargetMode="External"/><Relationship Id="rId126" Type="http://schemas.openxmlformats.org/officeDocument/2006/relationships/hyperlink" Target="https://drive.google.com/open?id=1MH6b1RERyU4XP8cemXR2tP7IUa2tLlHg" TargetMode="External"/><Relationship Id="rId147" Type="http://schemas.openxmlformats.org/officeDocument/2006/relationships/hyperlink" Target="https://drive.google.com/open?id=1_Lz5ve0Yi0SnCuPit1btxULhr2ngrB_K" TargetMode="External"/><Relationship Id="rId168" Type="http://schemas.openxmlformats.org/officeDocument/2006/relationships/hyperlink" Target="https://drive.google.com/open?id=1f3ogE_Hu2inSHmxg16zwyxRHMgzAdm0e" TargetMode="External"/><Relationship Id="rId312" Type="http://schemas.openxmlformats.org/officeDocument/2006/relationships/hyperlink" Target="https://drive.google.com/open?id=1hfrsLvxK5z5TFDTY_hMudsOMG6xNoI5l" TargetMode="External"/><Relationship Id="rId333" Type="http://schemas.openxmlformats.org/officeDocument/2006/relationships/hyperlink" Target="https://drive.google.com/open?id=1ewqpcd9AL3USWbKfBlzoddyychjVfeCA" TargetMode="External"/><Relationship Id="rId354" Type="http://schemas.openxmlformats.org/officeDocument/2006/relationships/hyperlink" Target="https://drive.google.com/open?id=12CWPUzpJgpllLBrUvWaW4RDQP0S902AJ" TargetMode="External"/><Relationship Id="rId51" Type="http://schemas.openxmlformats.org/officeDocument/2006/relationships/hyperlink" Target="https://drive.google.com/open?id=1Oxuj9SKizh38062xpmh5NQJk1Dvkx6km" TargetMode="External"/><Relationship Id="rId72" Type="http://schemas.openxmlformats.org/officeDocument/2006/relationships/hyperlink" Target="https://drive.google.com/open?id=1JCUX2dCd9esCFFLo1RGw3Xu5wbZnlmoV" TargetMode="External"/><Relationship Id="rId93" Type="http://schemas.openxmlformats.org/officeDocument/2006/relationships/hyperlink" Target="https://drive.google.com/open?id=1KyoQwKrh6KMUz1r4HrS1cOo5n2dmHz63" TargetMode="External"/><Relationship Id="rId189" Type="http://schemas.openxmlformats.org/officeDocument/2006/relationships/hyperlink" Target="https://drive.google.com/open?id=1Y3Howlwkxcl3Ci9pGZ6Ph7He4MiWW3Ni" TargetMode="External"/><Relationship Id="rId375" Type="http://schemas.openxmlformats.org/officeDocument/2006/relationships/hyperlink" Target="https://drive.google.com/open?id=17zXh4IF9_8WmphSCsrh1OhjXyZsycvOz" TargetMode="External"/><Relationship Id="rId3" Type="http://schemas.openxmlformats.org/officeDocument/2006/relationships/hyperlink" Target="https://drive.google.com/open?id=1nzvH1PLJCxQPjZmBMrhnTvFdsjGeSFY-" TargetMode="External"/><Relationship Id="rId214" Type="http://schemas.openxmlformats.org/officeDocument/2006/relationships/hyperlink" Target="https://drive.google.com/open?id=15n2zyz_wHzt3IcCUgAfWLr6m9KQsAhoZ" TargetMode="External"/><Relationship Id="rId235" Type="http://schemas.openxmlformats.org/officeDocument/2006/relationships/hyperlink" Target="https://drive.google.com/open?id=1aWFgiI-hcM8BDtMCjXdJRBM4iVvmRGU_" TargetMode="External"/><Relationship Id="rId256" Type="http://schemas.openxmlformats.org/officeDocument/2006/relationships/hyperlink" Target="https://drive.google.com/open?id=1b8fzHyo3w_Yy4CJN2Up0bnKGTxoXaH8c" TargetMode="External"/><Relationship Id="rId277" Type="http://schemas.openxmlformats.org/officeDocument/2006/relationships/hyperlink" Target="https://drive.google.com/open?id=1JwtzrjEgU_z_CP78tsO5c8q4QXC_uflZ" TargetMode="External"/><Relationship Id="rId298" Type="http://schemas.openxmlformats.org/officeDocument/2006/relationships/hyperlink" Target="https://drive.google.com/open?id=1Ovt9zPEBUEIvrQFyDzF0BAH2hiy1FpAu" TargetMode="External"/><Relationship Id="rId116" Type="http://schemas.openxmlformats.org/officeDocument/2006/relationships/hyperlink" Target="https://drive.google.com/open?id=1UVY35HBHvEH8kCRGFc8P3juca-qwHLnD" TargetMode="External"/><Relationship Id="rId137" Type="http://schemas.openxmlformats.org/officeDocument/2006/relationships/hyperlink" Target="https://drive.google.com/open?id=14_aXe0Shm-czaxo9bypFTsC5FidPVS3Q" TargetMode="External"/><Relationship Id="rId158" Type="http://schemas.openxmlformats.org/officeDocument/2006/relationships/hyperlink" Target="https://drive.google.com/open?id=1dV2RmPENopXSehipmz6uYT0xozjWuSqT" TargetMode="External"/><Relationship Id="rId302" Type="http://schemas.openxmlformats.org/officeDocument/2006/relationships/hyperlink" Target="https://drive.google.com/open?id=1kBVMwOZTWD-X8HsArcIp0IpnEIgJsJXX" TargetMode="External"/><Relationship Id="rId323" Type="http://schemas.openxmlformats.org/officeDocument/2006/relationships/hyperlink" Target="https://drive.google.com/open?id=1xKJ2y-4H3RPFyHkaayM3P3MOZFu75LTb" TargetMode="External"/><Relationship Id="rId344" Type="http://schemas.openxmlformats.org/officeDocument/2006/relationships/hyperlink" Target="https://drive.google.com/open?id=1yr4hI7fWcV_ry53GdyYOiDKPkaVgzNew" TargetMode="External"/><Relationship Id="rId20" Type="http://schemas.openxmlformats.org/officeDocument/2006/relationships/hyperlink" Target="https://drive.google.com/open?id=1r3cTlXkdWpb9DisBaB_So8CIhQE5wo1_" TargetMode="External"/><Relationship Id="rId41" Type="http://schemas.openxmlformats.org/officeDocument/2006/relationships/hyperlink" Target="https://drive.google.com/open?id=1178I9qHFWn5z4NTVvYqiO9OTVwFRkYv9" TargetMode="External"/><Relationship Id="rId62" Type="http://schemas.openxmlformats.org/officeDocument/2006/relationships/hyperlink" Target="https://drive.google.com/open?id=1Vias6LnstTdjmtpSsWZKgL85Kqb2mZJA" TargetMode="External"/><Relationship Id="rId83" Type="http://schemas.openxmlformats.org/officeDocument/2006/relationships/hyperlink" Target="https://drive.google.com/open?id=1vH9SmaOwhsFvLzEe7VjRDsqeMLFT1ANB" TargetMode="External"/><Relationship Id="rId179" Type="http://schemas.openxmlformats.org/officeDocument/2006/relationships/hyperlink" Target="https://drive.google.com/open?id=1x32-RLRBFxwpP-64Z7QniGJpPPkRQh7k" TargetMode="External"/><Relationship Id="rId365" Type="http://schemas.openxmlformats.org/officeDocument/2006/relationships/hyperlink" Target="https://drive.google.com/open?id=1AnUA-VxQOMFMAgEME9kNR0yQz2VnU_ab" TargetMode="External"/><Relationship Id="rId190" Type="http://schemas.openxmlformats.org/officeDocument/2006/relationships/hyperlink" Target="https://drive.google.com/open?id=12W5JfCZLUhcg4l8puqMCn3A42I6SG0_6" TargetMode="External"/><Relationship Id="rId204" Type="http://schemas.openxmlformats.org/officeDocument/2006/relationships/hyperlink" Target="https://drive.google.com/open?id=1RLWxzU6-txkkSoHjsickGfHe-ihU_Y_z" TargetMode="External"/><Relationship Id="rId225" Type="http://schemas.openxmlformats.org/officeDocument/2006/relationships/hyperlink" Target="https://drive.google.com/open?id=14dadRnFAocUug2FOLUrl7CkRykDrPPhv" TargetMode="External"/><Relationship Id="rId246" Type="http://schemas.openxmlformats.org/officeDocument/2006/relationships/hyperlink" Target="https://drive.google.com/open?id=1zT5HF6dryfbNgwEeJ1-5FlMTq_nEeiXU" TargetMode="External"/><Relationship Id="rId267" Type="http://schemas.openxmlformats.org/officeDocument/2006/relationships/hyperlink" Target="https://drive.google.com/open?id=1wFuOWz7PsdiTj6zDM-5iJVfuV06_LYOJ" TargetMode="External"/><Relationship Id="rId288" Type="http://schemas.openxmlformats.org/officeDocument/2006/relationships/hyperlink" Target="https://drive.google.com/open?id=1ixb0H9BJxXkzB5dFZygrBASqSMOYSzRU" TargetMode="External"/><Relationship Id="rId106" Type="http://schemas.openxmlformats.org/officeDocument/2006/relationships/hyperlink" Target="https://drive.google.com/open?id=1-z80HMrLv8ax8WHrcKEtCX0dqd8xM83f" TargetMode="External"/><Relationship Id="rId127" Type="http://schemas.openxmlformats.org/officeDocument/2006/relationships/hyperlink" Target="https://drive.google.com/open?id=1vfbGcdz1bjHSuN5h6TpNCp9DCANR2Wjj" TargetMode="External"/><Relationship Id="rId313" Type="http://schemas.openxmlformats.org/officeDocument/2006/relationships/hyperlink" Target="https://drive.google.com/open?id=1S46b-oakxw1sztuYQzEa8D7aFN4CChH8" TargetMode="External"/><Relationship Id="rId10" Type="http://schemas.openxmlformats.org/officeDocument/2006/relationships/hyperlink" Target="https://drive.google.com/open?id=1337ouaTkafN8Tkm0rc-eLhdxwG9yUmga" TargetMode="External"/><Relationship Id="rId31" Type="http://schemas.openxmlformats.org/officeDocument/2006/relationships/hyperlink" Target="https://drive.google.com/open?id=1oAX00iV8nnKqHPqyd8Yl6uOQw4KEfRzb" TargetMode="External"/><Relationship Id="rId52" Type="http://schemas.openxmlformats.org/officeDocument/2006/relationships/hyperlink" Target="https://drive.google.com/open?id=1SuaGR2RVigXeDUX9RtHe-bxqP1GZc8eq" TargetMode="External"/><Relationship Id="rId73" Type="http://schemas.openxmlformats.org/officeDocument/2006/relationships/hyperlink" Target="https://drive.google.com/open?id=1dXBDV2TA8AsfLTjCxwDDNNofX393hNYu" TargetMode="External"/><Relationship Id="rId94" Type="http://schemas.openxmlformats.org/officeDocument/2006/relationships/hyperlink" Target="https://drive.google.com/open?id=1HNGD5EYrDRM-h7l3D5b-ynS2HIXWUqF1" TargetMode="External"/><Relationship Id="rId148" Type="http://schemas.openxmlformats.org/officeDocument/2006/relationships/hyperlink" Target="https://drive.google.com/open?id=15KCf78yM__kzHFxK_vai1arRsJJQSKMw" TargetMode="External"/><Relationship Id="rId169" Type="http://schemas.openxmlformats.org/officeDocument/2006/relationships/hyperlink" Target="https://drive.google.com/open?id=10QdosG12TH3JLR0zgWaZ0yjcVBVdLn06" TargetMode="External"/><Relationship Id="rId334" Type="http://schemas.openxmlformats.org/officeDocument/2006/relationships/hyperlink" Target="https://drive.google.com/open?id=1m-7UHwg49-risySAL5ZTAow92DLjMJhm" TargetMode="External"/><Relationship Id="rId355" Type="http://schemas.openxmlformats.org/officeDocument/2006/relationships/hyperlink" Target="https://drive.google.com/open?id=1ZRbVMkQ3v0DBJbxsZf7iHd4JNlEIn9w0" TargetMode="External"/><Relationship Id="rId376" Type="http://schemas.openxmlformats.org/officeDocument/2006/relationships/hyperlink" Target="https://drive.google.com/open?id=1_zgZrpivBlHikqAFo2f1GgaIBf0ACbxD" TargetMode="External"/><Relationship Id="rId4" Type="http://schemas.openxmlformats.org/officeDocument/2006/relationships/hyperlink" Target="https://drive.google.com/open?id=1e1pOmYLJEYmBSjJH-dhp3Rjwb3dsQf4Y" TargetMode="External"/><Relationship Id="rId180" Type="http://schemas.openxmlformats.org/officeDocument/2006/relationships/hyperlink" Target="https://drive.google.com/open?id=1tNjM_XSCLFvfqCHARNBhTAqs2WLRrrAT" TargetMode="External"/><Relationship Id="rId215" Type="http://schemas.openxmlformats.org/officeDocument/2006/relationships/hyperlink" Target="https://drive.google.com/open?id=1uhLz2p-JFyWJgPcj1Rrl0hOx1WBBPh4B" TargetMode="External"/><Relationship Id="rId236" Type="http://schemas.openxmlformats.org/officeDocument/2006/relationships/hyperlink" Target="https://drive.google.com/open?id=109g-hAOaLWy41Gw2_SrxHooliC9jSrr1" TargetMode="External"/><Relationship Id="rId257" Type="http://schemas.openxmlformats.org/officeDocument/2006/relationships/hyperlink" Target="https://drive.google.com/open?id=1J-W4Kg-9538S7ELJqguI4MTkarTgGsIl" TargetMode="External"/><Relationship Id="rId278" Type="http://schemas.openxmlformats.org/officeDocument/2006/relationships/hyperlink" Target="https://drive.google.com/open?id=1CI607hKC4Ds0z4bSv6CZlR_wzXmjHpNs" TargetMode="External"/><Relationship Id="rId303" Type="http://schemas.openxmlformats.org/officeDocument/2006/relationships/hyperlink" Target="https://drive.google.com/open?id=138IDKo68FWB6O59SHOEM9OZ9_wbSGPo4" TargetMode="External"/><Relationship Id="rId42" Type="http://schemas.openxmlformats.org/officeDocument/2006/relationships/hyperlink" Target="https://drive.google.com/open?id=1ehE7f0fEhpeUx2M3QaJVyaY_eApV2L4I" TargetMode="External"/><Relationship Id="rId84" Type="http://schemas.openxmlformats.org/officeDocument/2006/relationships/hyperlink" Target="https://drive.google.com/open?id=1YccFQEew95gMgoPvQDCM5T40WTqywwNE" TargetMode="External"/><Relationship Id="rId138" Type="http://schemas.openxmlformats.org/officeDocument/2006/relationships/hyperlink" Target="https://drive.google.com/open?id=11hp2lKOwXJi2UDr-Yky5puvfNL2Asi6L" TargetMode="External"/><Relationship Id="rId345" Type="http://schemas.openxmlformats.org/officeDocument/2006/relationships/hyperlink" Target="https://drive.google.com/open?id=1NYVUo6ZAWUhjU6r91oMiZPgdoTqaW1Sc" TargetMode="External"/><Relationship Id="rId191" Type="http://schemas.openxmlformats.org/officeDocument/2006/relationships/hyperlink" Target="https://drive.google.com/open?id=1DAhgXSLQQTv2tUEQkIkwYH8kM2jxFe2R" TargetMode="External"/><Relationship Id="rId205" Type="http://schemas.openxmlformats.org/officeDocument/2006/relationships/hyperlink" Target="https://drive.google.com/open?id=1qDRaXyUQTeSSZ1xF4LHZwhDPZfi2KpmI" TargetMode="External"/><Relationship Id="rId247" Type="http://schemas.openxmlformats.org/officeDocument/2006/relationships/hyperlink" Target="https://drive.google.com/open?id=1wq-u4vOkwqeQkcpPCj8Ox0Vve_Wkepod" TargetMode="External"/><Relationship Id="rId107" Type="http://schemas.openxmlformats.org/officeDocument/2006/relationships/hyperlink" Target="https://drive.google.com/open?id=1ZUDSWaaZixOmSfrHkuH64jJG9J0nVfMm" TargetMode="External"/><Relationship Id="rId289" Type="http://schemas.openxmlformats.org/officeDocument/2006/relationships/hyperlink" Target="https://drive.google.com/open?id=1Eb6UBcfv4tgrvEFWHdhcbKT4DJKoBFkI" TargetMode="External"/><Relationship Id="rId11" Type="http://schemas.openxmlformats.org/officeDocument/2006/relationships/hyperlink" Target="https://drive.google.com/open?id=1xEAnELYHvkZg7iPfKsnRHZFTLsAtRnHx" TargetMode="External"/><Relationship Id="rId53" Type="http://schemas.openxmlformats.org/officeDocument/2006/relationships/hyperlink" Target="https://drive.google.com/open?id=1XGbwHVaa7kDITz3EQ2xIH6iYAPPXTQy-" TargetMode="External"/><Relationship Id="rId149" Type="http://schemas.openxmlformats.org/officeDocument/2006/relationships/hyperlink" Target="https://drive.google.com/open?id=1Lsyb-saORWvvcy-S9YIJIufnwYsusHSK" TargetMode="External"/><Relationship Id="rId314" Type="http://schemas.openxmlformats.org/officeDocument/2006/relationships/hyperlink" Target="https://drive.google.com/open?id=1j4so8Yx5c-cVqJFX_1v7jxj8U7uv8Zv4" TargetMode="External"/><Relationship Id="rId356" Type="http://schemas.openxmlformats.org/officeDocument/2006/relationships/hyperlink" Target="https://drive.google.com/open?id=1LwrpWGK5vFCvtDX99ymJN-lF1oOIwrzh" TargetMode="External"/><Relationship Id="rId95" Type="http://schemas.openxmlformats.org/officeDocument/2006/relationships/hyperlink" Target="https://drive.google.com/open?id=1OY_RA_yfWNOqZ9VW-jSeyfuxmA3Sg0dJ" TargetMode="External"/><Relationship Id="rId160" Type="http://schemas.openxmlformats.org/officeDocument/2006/relationships/hyperlink" Target="https://drive.google.com/open?id=1J9K_VsMwhINv7u5PMJvuG2w67axa5_Ho" TargetMode="External"/><Relationship Id="rId216" Type="http://schemas.openxmlformats.org/officeDocument/2006/relationships/hyperlink" Target="https://drive.google.com/open?id=1xbhiZL6-xun5o-rfqA9aOcC_L1speszU" TargetMode="External"/><Relationship Id="rId258" Type="http://schemas.openxmlformats.org/officeDocument/2006/relationships/hyperlink" Target="https://drive.google.com/open?id=1HnHR47G3ukqGROi_gbUuFbkfHaBAniP-" TargetMode="External"/><Relationship Id="rId22" Type="http://schemas.openxmlformats.org/officeDocument/2006/relationships/hyperlink" Target="https://drive.google.com/open?id=1T8nPpghfx2nToRntzi20h_UEsy6YeZF7" TargetMode="External"/><Relationship Id="rId64" Type="http://schemas.openxmlformats.org/officeDocument/2006/relationships/hyperlink" Target="https://drive.google.com/open?id=1vJwJweeDCqyGBLrIChs9sTKAwJVFT8yn" TargetMode="External"/><Relationship Id="rId118" Type="http://schemas.openxmlformats.org/officeDocument/2006/relationships/hyperlink" Target="https://drive.google.com/open?id=13aTIsevrJBchoy9McV3pD31-aBCIwgUK" TargetMode="External"/><Relationship Id="rId325" Type="http://schemas.openxmlformats.org/officeDocument/2006/relationships/hyperlink" Target="https://drive.google.com/open?id=1TO42aVbDI3I_ILTQRsjUnqWHZsbaqh7d" TargetMode="External"/><Relationship Id="rId367" Type="http://schemas.openxmlformats.org/officeDocument/2006/relationships/hyperlink" Target="https://drive.google.com/open?id=1jRV8BdWUIGt6PRd5NhXo59KqJIJV19J2" TargetMode="External"/><Relationship Id="rId171" Type="http://schemas.openxmlformats.org/officeDocument/2006/relationships/hyperlink" Target="https://drive.google.com/open?id=1HnZLcJljO8URIe-4nDJibnRzW_b5XFf3" TargetMode="External"/><Relationship Id="rId227" Type="http://schemas.openxmlformats.org/officeDocument/2006/relationships/hyperlink" Target="https://drive.google.com/open?id=1-zYgXEZ2RVgjx_m8fb-YkjK5-aw5JSvt" TargetMode="External"/><Relationship Id="rId269" Type="http://schemas.openxmlformats.org/officeDocument/2006/relationships/hyperlink" Target="https://drive.google.com/open?id=1Gsqcq885HG1nnxF3r8QX185NL-IHiyr4" TargetMode="External"/><Relationship Id="rId33" Type="http://schemas.openxmlformats.org/officeDocument/2006/relationships/hyperlink" Target="https://drive.google.com/open?id=1aOZGTKbTwk98omonGbqP1J_9-FIS-vkk" TargetMode="External"/><Relationship Id="rId129" Type="http://schemas.openxmlformats.org/officeDocument/2006/relationships/hyperlink" Target="https://drive.google.com/open?id=1GXeNdEOTcHUp9ranGabnawk_WGRn4Tp3" TargetMode="External"/><Relationship Id="rId280" Type="http://schemas.openxmlformats.org/officeDocument/2006/relationships/hyperlink" Target="https://drive.google.com/open?id=1MMKXz5SVu84ACbO0UQ9DnR2AurzXnmEg" TargetMode="External"/><Relationship Id="rId336" Type="http://schemas.openxmlformats.org/officeDocument/2006/relationships/hyperlink" Target="https://drive.google.com/open?id=11cOWwWaFhzVgAnpcq5b-Cn2HrMF9gpkb" TargetMode="External"/><Relationship Id="rId75" Type="http://schemas.openxmlformats.org/officeDocument/2006/relationships/hyperlink" Target="https://drive.google.com/open?id=1J7dskmhGroNQDUZIEJIyEgaW3cbUNoer" TargetMode="External"/><Relationship Id="rId140" Type="http://schemas.openxmlformats.org/officeDocument/2006/relationships/hyperlink" Target="https://drive.google.com/open?id=1lelUCtMz66OwPIYnltn4f_w9oB4KVadp" TargetMode="External"/><Relationship Id="rId182" Type="http://schemas.openxmlformats.org/officeDocument/2006/relationships/hyperlink" Target="https://drive.google.com/open?id=1QfZiaIgV6bNtLq7LlOk2zfo2s72-XZba" TargetMode="External"/><Relationship Id="rId378" Type="http://schemas.openxmlformats.org/officeDocument/2006/relationships/hyperlink" Target="https://drive.google.com/open?id=1Dd2OqRQoSu2offpg6FrnR33MP1m79qJE" TargetMode="External"/><Relationship Id="rId6" Type="http://schemas.openxmlformats.org/officeDocument/2006/relationships/hyperlink" Target="https://drive.google.com/open?id=1Ypm_6GQvBt9r_TyiZnW3f5TnZXW2Uosl" TargetMode="External"/><Relationship Id="rId238" Type="http://schemas.openxmlformats.org/officeDocument/2006/relationships/hyperlink" Target="https://drive.google.com/open?id=1hRfhfdr2cdaoykxekwIiE99wEhujJFQs" TargetMode="External"/><Relationship Id="rId291" Type="http://schemas.openxmlformats.org/officeDocument/2006/relationships/hyperlink" Target="https://drive.google.com/open?id=124dGKgv4RguSG4w-mZLUcQNdEdH7ak0i" TargetMode="External"/><Relationship Id="rId305" Type="http://schemas.openxmlformats.org/officeDocument/2006/relationships/hyperlink" Target="https://drive.google.com/open?id=1VfRzYMF0lES-SiKiuYFyX8Y8DEGykTXo" TargetMode="External"/><Relationship Id="rId347" Type="http://schemas.openxmlformats.org/officeDocument/2006/relationships/hyperlink" Target="https://drive.google.com/open?id=1TSWgzkGAploEXELRjCYI8IS3Nxjyn9vf" TargetMode="External"/><Relationship Id="rId44" Type="http://schemas.openxmlformats.org/officeDocument/2006/relationships/hyperlink" Target="https://drive.google.com/open?id=1RZkgemREQF_YUgvqeoP3ZRs8Uz08TrEa" TargetMode="External"/><Relationship Id="rId86" Type="http://schemas.openxmlformats.org/officeDocument/2006/relationships/hyperlink" Target="https://drive.google.com/open?id=1Qfnemj-P7ohfUN5nPJHHTLARKliAarTa" TargetMode="External"/><Relationship Id="rId151" Type="http://schemas.openxmlformats.org/officeDocument/2006/relationships/hyperlink" Target="https://drive.google.com/open?id=1t0aPVFcUjkiVD0HNY3qUkewuxl_rzp4c" TargetMode="External"/><Relationship Id="rId193" Type="http://schemas.openxmlformats.org/officeDocument/2006/relationships/hyperlink" Target="https://drive.google.com/open?id=1luOW66r6XHSvuVgpL-YQo8Bx2QG14znl" TargetMode="External"/><Relationship Id="rId207" Type="http://schemas.openxmlformats.org/officeDocument/2006/relationships/hyperlink" Target="https://drive.google.com/open?id=1Ou2S0AkpTAygfrYc6n21wd-2yf3Lp7bz" TargetMode="External"/><Relationship Id="rId249" Type="http://schemas.openxmlformats.org/officeDocument/2006/relationships/hyperlink" Target="https://drive.google.com/open?id=1jN0eH447AzdhHzxw_tqnWlHwOEsTh8xq" TargetMode="External"/><Relationship Id="rId13" Type="http://schemas.openxmlformats.org/officeDocument/2006/relationships/hyperlink" Target="https://drive.google.com/open?id=181G3xnBseSlJX2M0GpeefnCPKxfQDCCK" TargetMode="External"/><Relationship Id="rId109" Type="http://schemas.openxmlformats.org/officeDocument/2006/relationships/hyperlink" Target="https://drive.google.com/open?id=1YceBbUPRuBfbQQvRR2vD-xSvP7_gxs62" TargetMode="External"/><Relationship Id="rId260" Type="http://schemas.openxmlformats.org/officeDocument/2006/relationships/hyperlink" Target="https://drive.google.com/open?id=1aMBXgokvx_szIK-Eu5frwOttBPeiGgoS" TargetMode="External"/><Relationship Id="rId316" Type="http://schemas.openxmlformats.org/officeDocument/2006/relationships/hyperlink" Target="https://drive.google.com/open?id=14z9onsQ142y-Yjijcx31b-oH237sRBqm" TargetMode="External"/><Relationship Id="rId55" Type="http://schemas.openxmlformats.org/officeDocument/2006/relationships/hyperlink" Target="https://drive.google.com/open?id=1RKmv183WPWyP6qQlszDMQX4zTony8qSo" TargetMode="External"/><Relationship Id="rId97" Type="http://schemas.openxmlformats.org/officeDocument/2006/relationships/hyperlink" Target="https://drive.google.com/open?id=1LmFbgynvbrOfMlD4BJUGCdOIR13FJoa7" TargetMode="External"/><Relationship Id="rId120" Type="http://schemas.openxmlformats.org/officeDocument/2006/relationships/hyperlink" Target="https://drive.google.com/open?id=1ExfT9SdtdSoS49XtCBMtJcCt_8vitUKW" TargetMode="External"/><Relationship Id="rId358" Type="http://schemas.openxmlformats.org/officeDocument/2006/relationships/hyperlink" Target="https://drive.google.com/open?id=1Oc3iynsM8fvimbWjdx72CnHvdTp8dGBS" TargetMode="External"/><Relationship Id="rId162" Type="http://schemas.openxmlformats.org/officeDocument/2006/relationships/hyperlink" Target="https://drive.google.com/open?id=1IKG0wkv58R5x9s2B-JUj8jzcPAFA18V4" TargetMode="External"/><Relationship Id="rId218" Type="http://schemas.openxmlformats.org/officeDocument/2006/relationships/hyperlink" Target="https://drive.google.com/open?id=1c5sKXSrRljghAo1Hz2tgJP1ox6_cvuJv" TargetMode="External"/><Relationship Id="rId271" Type="http://schemas.openxmlformats.org/officeDocument/2006/relationships/hyperlink" Target="https://drive.google.com/open?id=13C_Qkags0td8FR7nyo3wDb0X72djRB_l" TargetMode="External"/><Relationship Id="rId24" Type="http://schemas.openxmlformats.org/officeDocument/2006/relationships/hyperlink" Target="https://drive.google.com/open?id=1b0L44RRq200vtIUEuMhefxGTCHww0w0V" TargetMode="External"/><Relationship Id="rId66" Type="http://schemas.openxmlformats.org/officeDocument/2006/relationships/hyperlink" Target="https://drive.google.com/open?id=1juh6R1MYJV-9W5abrPVJ35AvGv9Nph96" TargetMode="External"/><Relationship Id="rId131" Type="http://schemas.openxmlformats.org/officeDocument/2006/relationships/hyperlink" Target="https://drive.google.com/open?id=1r0lkD1dOnjUiBD0suBDwD9tgY32elyBO" TargetMode="External"/><Relationship Id="rId327" Type="http://schemas.openxmlformats.org/officeDocument/2006/relationships/hyperlink" Target="https://drive.google.com/open?id=16AHxr8YWRm8VmtrooACZ8NR9zGa3OfM3" TargetMode="External"/><Relationship Id="rId369" Type="http://schemas.openxmlformats.org/officeDocument/2006/relationships/hyperlink" Target="https://drive.google.com/open?id=1JpLyYLtK85BCDlPhRfH3Ke7ykKAAQg8N" TargetMode="External"/><Relationship Id="rId173" Type="http://schemas.openxmlformats.org/officeDocument/2006/relationships/hyperlink" Target="https://drive.google.com/open?id=1e-L8VvaMhC0_VgLqMU0J1EI-C0n7LsHC" TargetMode="External"/><Relationship Id="rId229" Type="http://schemas.openxmlformats.org/officeDocument/2006/relationships/hyperlink" Target="https://drive.google.com/open?id=1p8JWPRTUaSqk6W9Zlv-7LJjClM1V6Cwy" TargetMode="External"/><Relationship Id="rId240" Type="http://schemas.openxmlformats.org/officeDocument/2006/relationships/hyperlink" Target="https://drive.google.com/open?id=116TwfRIvOkPbY9oDcl0WV1G7LPRBPCuJ" TargetMode="External"/><Relationship Id="rId35" Type="http://schemas.openxmlformats.org/officeDocument/2006/relationships/hyperlink" Target="https://drive.google.com/open?id=1Qs9IBaQHqPumgoptEOkDLJQwoWRPud21" TargetMode="External"/><Relationship Id="rId77" Type="http://schemas.openxmlformats.org/officeDocument/2006/relationships/hyperlink" Target="https://drive.google.com/open?id=1iiPL_iFppWWvOdc1zOAY6oZr3PRL_LV4" TargetMode="External"/><Relationship Id="rId100" Type="http://schemas.openxmlformats.org/officeDocument/2006/relationships/hyperlink" Target="https://drive.google.com/open?id=1a8fMOSuySb9pic6bSFfppDpmPmT4UocK" TargetMode="External"/><Relationship Id="rId282" Type="http://schemas.openxmlformats.org/officeDocument/2006/relationships/hyperlink" Target="https://drive.google.com/open?id=1oof74U0EGhx6G6nrJBNjyhahz_ofQUkp" TargetMode="External"/><Relationship Id="rId338" Type="http://schemas.openxmlformats.org/officeDocument/2006/relationships/hyperlink" Target="https://drive.google.com/open?id=1EXwuEnbDbb5WjVpzpmw80V6FUhK4GZNH" TargetMode="External"/><Relationship Id="rId8" Type="http://schemas.openxmlformats.org/officeDocument/2006/relationships/hyperlink" Target="https://drive.google.com/open?id=1uC14fIcsodOjG6vzrWhPbZYE-DYRX2Qq" TargetMode="External"/><Relationship Id="rId142" Type="http://schemas.openxmlformats.org/officeDocument/2006/relationships/hyperlink" Target="https://drive.google.com/open?id=1R9ROQ6NEKNvvk6CET9aHxLcfxhTlmGnD" TargetMode="External"/><Relationship Id="rId184" Type="http://schemas.openxmlformats.org/officeDocument/2006/relationships/hyperlink" Target="https://drive.google.com/open?id=1q_KHnAqLf_Ew8jAZTrIpAhyrVUHT045A" TargetMode="External"/><Relationship Id="rId251" Type="http://schemas.openxmlformats.org/officeDocument/2006/relationships/hyperlink" Target="https://drive.google.com/open?id=1tCfQcd_FLGuYBKDDdD1bHAAiq9o4sCnC" TargetMode="External"/><Relationship Id="rId46" Type="http://schemas.openxmlformats.org/officeDocument/2006/relationships/hyperlink" Target="https://drive.google.com/open?id=1N_xO8M2RdRqjBN5HjzkvSLIFku6J6n9V" TargetMode="External"/><Relationship Id="rId293" Type="http://schemas.openxmlformats.org/officeDocument/2006/relationships/hyperlink" Target="https://drive.google.com/open?id=1kq1-UI-LINSlTTW1hj9mosc7aXkGy6Qs" TargetMode="External"/><Relationship Id="rId307" Type="http://schemas.openxmlformats.org/officeDocument/2006/relationships/hyperlink" Target="https://drive.google.com/open?id=1BAu_sKHWTbra9Oh6TpL2EojYNQa7HbQn" TargetMode="External"/><Relationship Id="rId349" Type="http://schemas.openxmlformats.org/officeDocument/2006/relationships/hyperlink" Target="https://drive.google.com/open?id=1roiqGXuY1xf0KhLJiPmeDF3OaQCOmqVG" TargetMode="External"/><Relationship Id="rId88" Type="http://schemas.openxmlformats.org/officeDocument/2006/relationships/hyperlink" Target="https://drive.google.com/open?id=1mG5Jtn66pUKmQaHDK0jvhybHKu7fkzvC" TargetMode="External"/><Relationship Id="rId111" Type="http://schemas.openxmlformats.org/officeDocument/2006/relationships/hyperlink" Target="https://drive.google.com/open?id=10dCIYWc-kR6kLU7xAC5wIeFJbDwGJfi6" TargetMode="External"/><Relationship Id="rId153" Type="http://schemas.openxmlformats.org/officeDocument/2006/relationships/hyperlink" Target="https://drive.google.com/open?id=1tpfPQDyWaOhjjYtxE2BwUBRMmI_EToZu" TargetMode="External"/><Relationship Id="rId195" Type="http://schemas.openxmlformats.org/officeDocument/2006/relationships/hyperlink" Target="https://drive.google.com/open?id=1D5j9l2BWti7ZMG1Jqp5ODCgNKBXEuvoC" TargetMode="External"/><Relationship Id="rId209" Type="http://schemas.openxmlformats.org/officeDocument/2006/relationships/hyperlink" Target="https://drive.google.com/open?id=1ocjc3XhtqIKEUglDBAhylrcUgvmB-xdt" TargetMode="External"/><Relationship Id="rId360" Type="http://schemas.openxmlformats.org/officeDocument/2006/relationships/hyperlink" Target="https://drive.google.com/open?id=1dE8kNqi38LgKLzHIks1K6PZ-8QXtjpxO" TargetMode="External"/><Relationship Id="rId220" Type="http://schemas.openxmlformats.org/officeDocument/2006/relationships/hyperlink" Target="https://drive.google.com/open?id=1w4eXRM3ojK2-yodSnqQwCgxKtTV4arhm" TargetMode="External"/><Relationship Id="rId15" Type="http://schemas.openxmlformats.org/officeDocument/2006/relationships/hyperlink" Target="https://drive.google.com/open?id=1ByK6-MbvhEnACnx6ugQVDeKEzuRqcAjg" TargetMode="External"/><Relationship Id="rId57" Type="http://schemas.openxmlformats.org/officeDocument/2006/relationships/hyperlink" Target="https://drive.google.com/open?id=1KFneMy0QBl0Enl2m_kS-ysf2PvrZHWyX" TargetMode="External"/><Relationship Id="rId262" Type="http://schemas.openxmlformats.org/officeDocument/2006/relationships/hyperlink" Target="https://drive.google.com/open?id=1Zev3dqzGjoRbEKnvDOh8XvckLWBm-WFv" TargetMode="External"/><Relationship Id="rId318" Type="http://schemas.openxmlformats.org/officeDocument/2006/relationships/hyperlink" Target="https://drive.google.com/open?id=1qOAYwZ_ghkz5L79u9ZJoUve5B9vbJEWt" TargetMode="External"/><Relationship Id="rId99" Type="http://schemas.openxmlformats.org/officeDocument/2006/relationships/hyperlink" Target="https://drive.google.com/open?id=1nET1YVeyV2jTdjwnGALYLii_sm7kGDLY" TargetMode="External"/><Relationship Id="rId122" Type="http://schemas.openxmlformats.org/officeDocument/2006/relationships/hyperlink" Target="https://drive.google.com/open?id=1HhiBO1KtBV7ueNXypvUFYIqXvFXlwzZ7" TargetMode="External"/><Relationship Id="rId164" Type="http://schemas.openxmlformats.org/officeDocument/2006/relationships/hyperlink" Target="https://drive.google.com/open?id=19Af3hHzBiwrnAcYqshC0Dlo_XMqnVVIr" TargetMode="External"/><Relationship Id="rId371" Type="http://schemas.openxmlformats.org/officeDocument/2006/relationships/hyperlink" Target="https://drive.google.com/open?id=1eSd50lIOurh0i1qxHuoMAAKBX559d5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56" workbookViewId="0">
      <pane ySplit="2" topLeftCell="A3" activePane="bottomLeft" state="frozen"/>
      <selection pane="bottomLeft" activeCell="P4" sqref="P4"/>
    </sheetView>
    <sheetView zoomScale="91" zoomScaleNormal="96" workbookViewId="1">
      <selection activeCell="B2" sqref="B2"/>
    </sheetView>
  </sheetViews>
  <sheetFormatPr defaultColWidth="14.42578125" defaultRowHeight="15" customHeight="1"/>
  <cols>
    <col min="1" max="1" width="8.7109375" customWidth="1"/>
    <col min="2" max="2" width="16.28515625" customWidth="1"/>
    <col min="3" max="3" width="12.42578125" customWidth="1"/>
    <col min="4" max="4" width="14.7109375" customWidth="1"/>
    <col min="5" max="5" width="13.85546875" customWidth="1"/>
    <col min="6" max="6" width="10.5703125" customWidth="1"/>
    <col min="7" max="7" width="31.5703125" customWidth="1"/>
    <col min="8" max="8" width="32.42578125" customWidth="1"/>
    <col min="9" max="9" width="8.28515625" customWidth="1"/>
    <col min="10" max="10" width="8.85546875" customWidth="1"/>
    <col min="11" max="11" width="8.28515625" style="47" customWidth="1"/>
    <col min="12" max="12" width="8.28515625" style="72" customWidth="1"/>
    <col min="13" max="13" width="8.28515625" style="77" customWidth="1"/>
    <col min="14" max="14" width="8.28515625" customWidth="1"/>
    <col min="15" max="15" width="8.28515625" style="64" customWidth="1"/>
    <col min="16" max="16" width="8.28515625" style="68" customWidth="1"/>
    <col min="17" max="18" width="11.7109375" customWidth="1"/>
    <col min="19" max="19" width="43.7109375" customWidth="1"/>
    <col min="20" max="20" width="15" hidden="1" customWidth="1"/>
    <col min="21" max="21" width="18.140625" style="48" hidden="1" customWidth="1"/>
    <col min="22" max="22" width="8.7109375" hidden="1" customWidth="1"/>
    <col min="23" max="23" width="15.7109375" hidden="1" customWidth="1"/>
    <col min="24" max="24" width="16.140625" style="57" hidden="1" customWidth="1"/>
    <col min="25" max="25" width="17.7109375" hidden="1" customWidth="1"/>
    <col min="26" max="26" width="8.7109375" hidden="1" customWidth="1"/>
    <col min="27" max="33" width="8.7109375" customWidth="1"/>
  </cols>
  <sheetData>
    <row r="1" spans="1:26" ht="18" customHeight="1">
      <c r="A1" s="96" t="s">
        <v>0</v>
      </c>
      <c r="B1" s="86">
        <v>1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5" t="s">
        <v>7</v>
      </c>
      <c r="J1" s="81" t="s">
        <v>8</v>
      </c>
      <c r="K1" s="51"/>
      <c r="L1" s="51"/>
      <c r="M1" s="51"/>
      <c r="N1" s="30"/>
      <c r="O1" s="79" t="s">
        <v>8</v>
      </c>
      <c r="P1" s="80" t="s">
        <v>8</v>
      </c>
      <c r="Q1" s="90" t="s">
        <v>9</v>
      </c>
      <c r="R1" s="110"/>
      <c r="S1" s="91" t="s">
        <v>10</v>
      </c>
    </row>
    <row r="2" spans="1:26" ht="18" customHeight="1">
      <c r="A2" s="111"/>
      <c r="B2" s="85"/>
      <c r="C2" s="111"/>
      <c r="D2" s="111"/>
      <c r="E2" s="111"/>
      <c r="F2" s="111"/>
      <c r="G2" s="111"/>
      <c r="H2" s="111"/>
      <c r="I2" s="112"/>
      <c r="J2" s="78" t="s">
        <v>11</v>
      </c>
      <c r="K2" s="52" t="s">
        <v>12</v>
      </c>
      <c r="L2" s="52" t="s">
        <v>13</v>
      </c>
      <c r="M2" s="73" t="s">
        <v>14</v>
      </c>
      <c r="N2" s="52" t="s">
        <v>15</v>
      </c>
      <c r="O2" s="60" t="s">
        <v>16</v>
      </c>
      <c r="P2" s="82" t="s">
        <v>17</v>
      </c>
      <c r="Q2" s="31" t="s">
        <v>18</v>
      </c>
      <c r="R2" s="28" t="s">
        <v>19</v>
      </c>
      <c r="S2" s="111"/>
      <c r="T2" s="37" t="s">
        <v>20</v>
      </c>
      <c r="U2" s="49" t="s">
        <v>13</v>
      </c>
      <c r="V2" s="37" t="s">
        <v>21</v>
      </c>
      <c r="W2" s="39" t="s">
        <v>14</v>
      </c>
      <c r="X2" s="58" t="s">
        <v>15</v>
      </c>
      <c r="Y2" s="39" t="s">
        <v>16</v>
      </c>
      <c r="Z2" s="39" t="s">
        <v>17</v>
      </c>
    </row>
    <row r="3" spans="1:26" ht="18" customHeight="1">
      <c r="A3" s="3">
        <v>1</v>
      </c>
      <c r="B3" s="3">
        <v>6412213103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3">
        <v>3</v>
      </c>
      <c r="J3" s="44" t="str">
        <f t="shared" ref="J3:J66" si="0">IF(IFERROR(VLOOKUP(B3,DATA,1,FALSE),),"1","0")</f>
        <v>0</v>
      </c>
      <c r="K3" s="53">
        <v>1</v>
      </c>
      <c r="L3" s="69" t="str">
        <f t="shared" ref="L3:L66" si="1">IF(IFERROR(VLOOKUP(B3,DATA7,1,FALSE),),"1","0")</f>
        <v>0</v>
      </c>
      <c r="M3" s="74" t="str">
        <f t="shared" ref="M3:M66" si="2">IF(IFERROR(VLOOKUP(B3,DATA9,1,FALSE),),"1","0")</f>
        <v>1</v>
      </c>
      <c r="N3" s="29" t="str">
        <f t="shared" ref="N3:N66" si="3">IF(IFERROR(VLOOKUP(B3,DATA10,1,FALSE),),"1","0")</f>
        <v>0</v>
      </c>
      <c r="O3" s="61" t="str">
        <f t="shared" ref="O3:O66" ca="1" si="4">IF(IFERROR(VLOOKUP(B3,DATA11,1,FALSE),),"1","0")</f>
        <v>1</v>
      </c>
      <c r="P3" s="65" t="str">
        <f t="shared" ref="P3:P66" si="5">IF(IFERROR(VLOOKUP(B3,DATA12,1,FALSE),),"1","0")</f>
        <v>1</v>
      </c>
      <c r="Q3" s="46">
        <f ca="1">J3+K3+L3+M3+N3+O3+P3</f>
        <v>4</v>
      </c>
      <c r="R3" s="83" t="str">
        <f t="shared" ref="R3:R66" ca="1" si="6">IF(Q3&gt;=3,"ผ่าน",IF(Q3&lt;3,"ไม่ผ่าน"))</f>
        <v>ผ่าน</v>
      </c>
      <c r="S3" s="3" t="s">
        <v>28</v>
      </c>
      <c r="T3" s="32">
        <v>6612314132</v>
      </c>
      <c r="U3" s="50">
        <v>6610633222</v>
      </c>
      <c r="V3" s="36">
        <v>6612314132</v>
      </c>
      <c r="W3" s="36">
        <v>6312743215</v>
      </c>
      <c r="X3" s="59">
        <v>6610403305</v>
      </c>
      <c r="Y3" s="40">
        <f ca="1">IFERROR(__xludf.DUMMYFUNCTION("""COMPUTED_VALUE"""),6612314132)</f>
        <v>6612314132</v>
      </c>
      <c r="Z3" s="36">
        <v>6610633104</v>
      </c>
    </row>
    <row r="4" spans="1:26" ht="18" customHeight="1">
      <c r="A4" s="3">
        <v>2</v>
      </c>
      <c r="B4" s="3">
        <v>6412213109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26</v>
      </c>
      <c r="H4" s="4" t="s">
        <v>27</v>
      </c>
      <c r="I4" s="3">
        <v>3</v>
      </c>
      <c r="J4" s="44" t="str">
        <f t="shared" si="0"/>
        <v>0</v>
      </c>
      <c r="K4" s="54">
        <v>1</v>
      </c>
      <c r="L4" s="69" t="str">
        <f t="shared" si="1"/>
        <v>0</v>
      </c>
      <c r="M4" s="74" t="str">
        <f t="shared" si="2"/>
        <v>1</v>
      </c>
      <c r="N4" s="29" t="str">
        <f t="shared" si="3"/>
        <v>0</v>
      </c>
      <c r="O4" s="61" t="str">
        <f t="shared" ca="1" si="4"/>
        <v>1</v>
      </c>
      <c r="P4" s="65" t="str">
        <f t="shared" si="5"/>
        <v>1</v>
      </c>
      <c r="Q4" s="46">
        <f t="shared" ref="Q4:Q67" ca="1" si="7">J4+K4+L4+M4+N4+O4+P4</f>
        <v>4</v>
      </c>
      <c r="R4" s="83" t="str">
        <f t="shared" ca="1" si="6"/>
        <v>ผ่าน</v>
      </c>
      <c r="S4" s="3" t="s">
        <v>28</v>
      </c>
      <c r="T4" s="32">
        <v>6410488124</v>
      </c>
      <c r="U4" s="50">
        <v>6612236114</v>
      </c>
      <c r="V4" s="36">
        <v>6610403305</v>
      </c>
      <c r="W4" s="36">
        <v>6312743223</v>
      </c>
      <c r="X4" s="59">
        <v>6610403326</v>
      </c>
      <c r="Y4" s="41">
        <f ca="1">IFERROR(__xludf.DUMMYFUNCTION("""COMPUTED_VALUE"""),6610403109)</f>
        <v>6610403109</v>
      </c>
      <c r="Z4" s="36">
        <v>6610633106</v>
      </c>
    </row>
    <row r="5" spans="1:26" ht="18" customHeight="1">
      <c r="A5" s="3">
        <v>3</v>
      </c>
      <c r="B5" s="3">
        <v>6412213110</v>
      </c>
      <c r="C5" s="4" t="s">
        <v>29</v>
      </c>
      <c r="D5" s="4" t="s">
        <v>33</v>
      </c>
      <c r="E5" s="4" t="s">
        <v>34</v>
      </c>
      <c r="F5" s="4" t="s">
        <v>35</v>
      </c>
      <c r="G5" s="4" t="s">
        <v>26</v>
      </c>
      <c r="H5" s="4" t="s">
        <v>27</v>
      </c>
      <c r="I5" s="3">
        <v>3</v>
      </c>
      <c r="J5" s="44" t="str">
        <f t="shared" si="0"/>
        <v>0</v>
      </c>
      <c r="K5" s="54" t="str">
        <f t="shared" ref="K3:K66" si="8">IF(IFERROR(VLOOKUP(B5,DATA8,1,FALSE),),"1","0")</f>
        <v>1</v>
      </c>
      <c r="L5" s="69" t="str">
        <f t="shared" si="1"/>
        <v>0</v>
      </c>
      <c r="M5" s="74" t="str">
        <f t="shared" si="2"/>
        <v>1</v>
      </c>
      <c r="N5" s="29" t="str">
        <f t="shared" si="3"/>
        <v>0</v>
      </c>
      <c r="O5" s="61" t="str">
        <f t="shared" ca="1" si="4"/>
        <v>1</v>
      </c>
      <c r="P5" s="65" t="str">
        <f t="shared" si="5"/>
        <v>1</v>
      </c>
      <c r="Q5" s="46">
        <f t="shared" ca="1" si="7"/>
        <v>4</v>
      </c>
      <c r="R5" s="83" t="str">
        <f t="shared" ca="1" si="6"/>
        <v>ผ่าน</v>
      </c>
      <c r="S5" s="3" t="s">
        <v>28</v>
      </c>
      <c r="T5" s="32">
        <v>6512258120</v>
      </c>
      <c r="U5" s="50">
        <v>6612721109</v>
      </c>
      <c r="V5" s="36">
        <v>6610403309</v>
      </c>
      <c r="W5" s="36">
        <v>6312743207</v>
      </c>
      <c r="X5" s="59">
        <v>6410403225</v>
      </c>
      <c r="Y5" s="40">
        <f ca="1">IFERROR(__xludf.DUMMYFUNCTION("""COMPUTED_VALUE"""),6610403121)</f>
        <v>6610403121</v>
      </c>
      <c r="Z5" s="36">
        <v>6410633229</v>
      </c>
    </row>
    <row r="6" spans="1:26" ht="18" customHeight="1">
      <c r="A6" s="3">
        <v>4</v>
      </c>
      <c r="B6" s="3">
        <v>6412213113</v>
      </c>
      <c r="C6" s="4" t="s">
        <v>29</v>
      </c>
      <c r="D6" s="4" t="s">
        <v>36</v>
      </c>
      <c r="E6" s="4" t="s">
        <v>37</v>
      </c>
      <c r="F6" s="4" t="s">
        <v>38</v>
      </c>
      <c r="G6" s="4" t="s">
        <v>26</v>
      </c>
      <c r="H6" s="4" t="s">
        <v>27</v>
      </c>
      <c r="I6" s="3">
        <v>3</v>
      </c>
      <c r="J6" s="44" t="str">
        <f t="shared" si="0"/>
        <v>0</v>
      </c>
      <c r="K6" s="54">
        <v>1</v>
      </c>
      <c r="L6" s="69" t="str">
        <f t="shared" si="1"/>
        <v>0</v>
      </c>
      <c r="M6" s="74" t="str">
        <f t="shared" si="2"/>
        <v>1</v>
      </c>
      <c r="N6" s="29" t="str">
        <f t="shared" si="3"/>
        <v>0</v>
      </c>
      <c r="O6" s="61" t="str">
        <f t="shared" ca="1" si="4"/>
        <v>1</v>
      </c>
      <c r="P6" s="65" t="str">
        <f t="shared" si="5"/>
        <v>1</v>
      </c>
      <c r="Q6" s="46">
        <f t="shared" ca="1" si="7"/>
        <v>4</v>
      </c>
      <c r="R6" s="83" t="str">
        <f t="shared" ca="1" si="6"/>
        <v>ผ่าน</v>
      </c>
      <c r="S6" s="3" t="s">
        <v>28</v>
      </c>
      <c r="T6" s="32">
        <v>6410488201</v>
      </c>
      <c r="U6" s="50">
        <v>6612721127</v>
      </c>
      <c r="V6" s="36">
        <v>6610403124</v>
      </c>
      <c r="W6" s="36">
        <v>6310106114</v>
      </c>
      <c r="X6" s="59">
        <v>6410403105</v>
      </c>
      <c r="Y6" s="41">
        <f ca="1">IFERROR(__xludf.DUMMYFUNCTION("""COMPUTED_VALUE"""),6610403124)</f>
        <v>6610403124</v>
      </c>
      <c r="Z6" s="36">
        <v>6610414201</v>
      </c>
    </row>
    <row r="7" spans="1:26" ht="18" customHeight="1">
      <c r="A7" s="3">
        <v>5</v>
      </c>
      <c r="B7" s="3">
        <v>6412213114</v>
      </c>
      <c r="C7" s="4" t="s">
        <v>29</v>
      </c>
      <c r="D7" s="4" t="s">
        <v>39</v>
      </c>
      <c r="E7" s="4" t="s">
        <v>40</v>
      </c>
      <c r="F7" s="4" t="s">
        <v>41</v>
      </c>
      <c r="G7" s="4" t="s">
        <v>26</v>
      </c>
      <c r="H7" s="4" t="s">
        <v>27</v>
      </c>
      <c r="I7" s="3">
        <v>3</v>
      </c>
      <c r="J7" s="44" t="str">
        <f t="shared" si="0"/>
        <v>0</v>
      </c>
      <c r="K7" s="54">
        <v>1</v>
      </c>
      <c r="L7" s="69" t="str">
        <f t="shared" si="1"/>
        <v>0</v>
      </c>
      <c r="M7" s="74" t="str">
        <f t="shared" si="2"/>
        <v>1</v>
      </c>
      <c r="N7" s="29" t="str">
        <f t="shared" si="3"/>
        <v>0</v>
      </c>
      <c r="O7" s="61" t="str">
        <f t="shared" ca="1" si="4"/>
        <v>1</v>
      </c>
      <c r="P7" s="65" t="str">
        <f t="shared" si="5"/>
        <v>1</v>
      </c>
      <c r="Q7" s="46">
        <f t="shared" ca="1" si="7"/>
        <v>4</v>
      </c>
      <c r="R7" s="83" t="str">
        <f t="shared" ca="1" si="6"/>
        <v>ผ่าน</v>
      </c>
      <c r="S7" s="3" t="s">
        <v>28</v>
      </c>
      <c r="T7" s="32">
        <v>6610403305</v>
      </c>
      <c r="U7" s="50">
        <v>6612721207</v>
      </c>
      <c r="V7" s="36">
        <v>6610403109</v>
      </c>
      <c r="W7" s="36">
        <v>6310073108</v>
      </c>
      <c r="X7" s="59">
        <v>6510403131</v>
      </c>
      <c r="Y7" s="40">
        <f ca="1">IFERROR(__xludf.DUMMYFUNCTION("""COMPUTED_VALUE"""),6610403305)</f>
        <v>6610403305</v>
      </c>
      <c r="Z7" s="36">
        <v>6412743226</v>
      </c>
    </row>
    <row r="8" spans="1:26" ht="18" customHeight="1">
      <c r="A8" s="3">
        <v>6</v>
      </c>
      <c r="B8" s="3">
        <v>6412213115</v>
      </c>
      <c r="C8" s="4" t="s">
        <v>29</v>
      </c>
      <c r="D8" s="4" t="s">
        <v>42</v>
      </c>
      <c r="E8" s="4" t="s">
        <v>43</v>
      </c>
      <c r="F8" s="4" t="s">
        <v>44</v>
      </c>
      <c r="G8" s="4" t="s">
        <v>26</v>
      </c>
      <c r="H8" s="4" t="s">
        <v>27</v>
      </c>
      <c r="I8" s="3">
        <v>3</v>
      </c>
      <c r="J8" s="44" t="str">
        <f t="shared" si="0"/>
        <v>0</v>
      </c>
      <c r="K8" s="54">
        <v>1</v>
      </c>
      <c r="L8" s="69" t="str">
        <f t="shared" si="1"/>
        <v>0</v>
      </c>
      <c r="M8" s="74" t="str">
        <f t="shared" si="2"/>
        <v>1</v>
      </c>
      <c r="N8" s="29" t="str">
        <f t="shared" si="3"/>
        <v>0</v>
      </c>
      <c r="O8" s="61" t="str">
        <f t="shared" ca="1" si="4"/>
        <v>1</v>
      </c>
      <c r="P8" s="65" t="str">
        <f t="shared" si="5"/>
        <v>1</v>
      </c>
      <c r="Q8" s="46">
        <f t="shared" ca="1" si="7"/>
        <v>4</v>
      </c>
      <c r="R8" s="83" t="str">
        <f t="shared" ca="1" si="6"/>
        <v>ผ่าน</v>
      </c>
      <c r="S8" s="3" t="s">
        <v>28</v>
      </c>
      <c r="T8" s="32">
        <v>6510059103</v>
      </c>
      <c r="U8" s="50">
        <v>6610633204</v>
      </c>
      <c r="V8" s="36">
        <v>6610633132</v>
      </c>
      <c r="W8" s="36">
        <v>6315964104</v>
      </c>
      <c r="X8" s="59">
        <v>6510403209</v>
      </c>
      <c r="Y8" s="41">
        <f ca="1">IFERROR(__xludf.DUMMYFUNCTION("""COMPUTED_VALUE"""),6610403326)</f>
        <v>6610403326</v>
      </c>
      <c r="Z8" s="36">
        <v>6412236223</v>
      </c>
    </row>
    <row r="9" spans="1:26" ht="18" customHeight="1">
      <c r="A9" s="3">
        <v>7</v>
      </c>
      <c r="B9" s="3">
        <v>6412213116</v>
      </c>
      <c r="C9" s="4" t="s">
        <v>22</v>
      </c>
      <c r="D9" s="4" t="s">
        <v>45</v>
      </c>
      <c r="E9" s="4" t="s">
        <v>46</v>
      </c>
      <c r="F9" s="4" t="s">
        <v>47</v>
      </c>
      <c r="G9" s="4" t="s">
        <v>26</v>
      </c>
      <c r="H9" s="4" t="s">
        <v>27</v>
      </c>
      <c r="I9" s="3">
        <v>3</v>
      </c>
      <c r="J9" s="44" t="str">
        <f t="shared" si="0"/>
        <v>0</v>
      </c>
      <c r="K9" s="54">
        <v>1</v>
      </c>
      <c r="L9" s="69" t="str">
        <f t="shared" si="1"/>
        <v>0</v>
      </c>
      <c r="M9" s="74" t="str">
        <f t="shared" si="2"/>
        <v>1</v>
      </c>
      <c r="N9" s="29" t="str">
        <f t="shared" si="3"/>
        <v>0</v>
      </c>
      <c r="O9" s="61" t="str">
        <f t="shared" ca="1" si="4"/>
        <v>1</v>
      </c>
      <c r="P9" s="65" t="str">
        <f t="shared" si="5"/>
        <v>1</v>
      </c>
      <c r="Q9" s="46">
        <f t="shared" ca="1" si="7"/>
        <v>4</v>
      </c>
      <c r="R9" s="83" t="str">
        <f t="shared" ca="1" si="6"/>
        <v>ผ่าน</v>
      </c>
      <c r="S9" s="3" t="s">
        <v>28</v>
      </c>
      <c r="T9" s="32">
        <v>6310226205</v>
      </c>
      <c r="U9" s="50">
        <v>6610633104</v>
      </c>
      <c r="V9" s="36">
        <v>6610633223</v>
      </c>
      <c r="W9" s="36">
        <v>6312269106</v>
      </c>
      <c r="X9" s="59">
        <v>6410403224</v>
      </c>
      <c r="Y9" s="40">
        <f ca="1">IFERROR(__xludf.DUMMYFUNCTION("""COMPUTED_VALUE"""),6610633104)</f>
        <v>6610633104</v>
      </c>
      <c r="Z9" s="36">
        <v>6510079211</v>
      </c>
    </row>
    <row r="10" spans="1:26" ht="18" customHeight="1">
      <c r="A10" s="3">
        <v>8</v>
      </c>
      <c r="B10" s="3">
        <v>6312213103</v>
      </c>
      <c r="C10" s="4" t="s">
        <v>29</v>
      </c>
      <c r="D10" s="4" t="s">
        <v>48</v>
      </c>
      <c r="E10" s="4" t="s">
        <v>49</v>
      </c>
      <c r="F10" s="4" t="s">
        <v>50</v>
      </c>
      <c r="G10" s="4" t="s">
        <v>26</v>
      </c>
      <c r="H10" s="4" t="s">
        <v>27</v>
      </c>
      <c r="I10" s="3">
        <v>4</v>
      </c>
      <c r="J10" s="45" t="str">
        <f t="shared" si="0"/>
        <v>1</v>
      </c>
      <c r="K10" s="54">
        <v>1</v>
      </c>
      <c r="L10" s="69" t="str">
        <f t="shared" si="1"/>
        <v>0</v>
      </c>
      <c r="M10" s="74" t="str">
        <f t="shared" si="2"/>
        <v>1</v>
      </c>
      <c r="N10" s="29" t="str">
        <f t="shared" si="3"/>
        <v>0</v>
      </c>
      <c r="O10" s="61" t="str">
        <f t="shared" ca="1" si="4"/>
        <v>1</v>
      </c>
      <c r="P10" s="65" t="str">
        <f t="shared" si="5"/>
        <v>1</v>
      </c>
      <c r="Q10" s="46">
        <f t="shared" ca="1" si="7"/>
        <v>5</v>
      </c>
      <c r="R10" s="83" t="str">
        <f t="shared" ca="1" si="6"/>
        <v>ผ่าน</v>
      </c>
      <c r="S10" s="3" t="s">
        <v>28</v>
      </c>
      <c r="T10" s="32">
        <v>6412269125</v>
      </c>
      <c r="U10" s="50">
        <v>6610633108</v>
      </c>
      <c r="V10" s="36">
        <v>6610633123</v>
      </c>
      <c r="W10" s="36">
        <v>6312325105</v>
      </c>
      <c r="X10" s="59">
        <v>6410403228</v>
      </c>
      <c r="Y10" s="41">
        <f ca="1">IFERROR(__xludf.DUMMYFUNCTION("""COMPUTED_VALUE"""),6610633106)</f>
        <v>6610633106</v>
      </c>
      <c r="Z10" s="36">
        <v>6612314132</v>
      </c>
    </row>
    <row r="11" spans="1:26" ht="18" customHeight="1">
      <c r="A11" s="3">
        <v>9</v>
      </c>
      <c r="B11" s="3">
        <v>6312213105</v>
      </c>
      <c r="C11" s="4" t="s">
        <v>29</v>
      </c>
      <c r="D11" s="4" t="s">
        <v>51</v>
      </c>
      <c r="E11" s="4" t="s">
        <v>52</v>
      </c>
      <c r="F11" s="4" t="s">
        <v>53</v>
      </c>
      <c r="G11" s="4" t="s">
        <v>26</v>
      </c>
      <c r="H11" s="4" t="s">
        <v>27</v>
      </c>
      <c r="I11" s="3">
        <v>4</v>
      </c>
      <c r="J11" s="44" t="str">
        <f t="shared" si="0"/>
        <v>0</v>
      </c>
      <c r="K11" s="54">
        <v>1</v>
      </c>
      <c r="L11" s="69" t="str">
        <f t="shared" si="1"/>
        <v>0</v>
      </c>
      <c r="M11" s="74" t="str">
        <f t="shared" si="2"/>
        <v>0</v>
      </c>
      <c r="N11" s="29" t="str">
        <f t="shared" si="3"/>
        <v>0</v>
      </c>
      <c r="O11" s="61">
        <v>1</v>
      </c>
      <c r="P11" s="65">
        <v>1</v>
      </c>
      <c r="Q11" s="46">
        <f t="shared" si="7"/>
        <v>3</v>
      </c>
      <c r="R11" s="83" t="str">
        <f t="shared" si="6"/>
        <v>ผ่าน</v>
      </c>
      <c r="S11" s="3" t="s">
        <v>28</v>
      </c>
      <c r="T11" s="32">
        <v>6510079211</v>
      </c>
      <c r="U11" s="50">
        <v>6610633118</v>
      </c>
      <c r="V11" s="36">
        <v>6610633112</v>
      </c>
      <c r="W11" s="36">
        <v>6310094126</v>
      </c>
      <c r="X11" s="59">
        <v>6410403204</v>
      </c>
      <c r="Y11" s="40">
        <f ca="1">IFERROR(__xludf.DUMMYFUNCTION("""COMPUTED_VALUE"""),6610633107)</f>
        <v>6610633107</v>
      </c>
      <c r="Z11" s="36">
        <v>6412743206</v>
      </c>
    </row>
    <row r="12" spans="1:26" ht="18" customHeight="1">
      <c r="A12" s="3">
        <v>10</v>
      </c>
      <c r="B12" s="3">
        <v>6312213108</v>
      </c>
      <c r="C12" s="4" t="s">
        <v>29</v>
      </c>
      <c r="D12" s="4" t="s">
        <v>54</v>
      </c>
      <c r="E12" s="4" t="s">
        <v>55</v>
      </c>
      <c r="F12" s="4" t="s">
        <v>56</v>
      </c>
      <c r="G12" s="4" t="s">
        <v>26</v>
      </c>
      <c r="H12" s="4" t="s">
        <v>27</v>
      </c>
      <c r="I12" s="3">
        <v>4</v>
      </c>
      <c r="J12" s="44" t="str">
        <f t="shared" si="0"/>
        <v>0</v>
      </c>
      <c r="K12" s="54">
        <v>1</v>
      </c>
      <c r="L12" s="69" t="str">
        <f t="shared" si="1"/>
        <v>0</v>
      </c>
      <c r="M12" s="74" t="str">
        <f t="shared" si="2"/>
        <v>0</v>
      </c>
      <c r="N12" s="29" t="str">
        <f t="shared" si="3"/>
        <v>0</v>
      </c>
      <c r="O12" s="61">
        <v>1</v>
      </c>
      <c r="P12" s="65">
        <v>1</v>
      </c>
      <c r="Q12" s="46">
        <f t="shared" si="7"/>
        <v>3</v>
      </c>
      <c r="R12" s="83" t="str">
        <f t="shared" si="6"/>
        <v>ผ่าน</v>
      </c>
      <c r="S12" s="3" t="s">
        <v>28</v>
      </c>
      <c r="T12" s="32">
        <v>6410073125</v>
      </c>
      <c r="U12" s="50">
        <v>6610488114</v>
      </c>
      <c r="V12" s="36">
        <v>6610633111</v>
      </c>
      <c r="W12" s="36">
        <v>6310094136</v>
      </c>
      <c r="X12" s="59">
        <v>6412236113</v>
      </c>
      <c r="Y12" s="41">
        <f ca="1">IFERROR(__xludf.DUMMYFUNCTION("""COMPUTED_VALUE"""),6610633108)</f>
        <v>6610633108</v>
      </c>
      <c r="Z12" s="36">
        <v>6510633111</v>
      </c>
    </row>
    <row r="13" spans="1:26" ht="18" customHeight="1">
      <c r="A13" s="3">
        <v>11</v>
      </c>
      <c r="B13" s="3">
        <v>6312213117</v>
      </c>
      <c r="C13" s="4" t="s">
        <v>29</v>
      </c>
      <c r="D13" s="4" t="s">
        <v>57</v>
      </c>
      <c r="E13" s="4" t="s">
        <v>58</v>
      </c>
      <c r="F13" s="4" t="s">
        <v>59</v>
      </c>
      <c r="G13" s="4" t="s">
        <v>26</v>
      </c>
      <c r="H13" s="4" t="s">
        <v>27</v>
      </c>
      <c r="I13" s="3">
        <v>4</v>
      </c>
      <c r="J13" s="44" t="str">
        <f t="shared" si="0"/>
        <v>0</v>
      </c>
      <c r="K13" s="54">
        <v>1</v>
      </c>
      <c r="L13" s="69" t="str">
        <f t="shared" si="1"/>
        <v>0</v>
      </c>
      <c r="M13" s="74" t="str">
        <f t="shared" si="2"/>
        <v>0</v>
      </c>
      <c r="N13" s="29" t="str">
        <f t="shared" si="3"/>
        <v>0</v>
      </c>
      <c r="O13" s="61">
        <v>1</v>
      </c>
      <c r="P13" s="65">
        <v>1</v>
      </c>
      <c r="Q13" s="46">
        <f t="shared" si="7"/>
        <v>3</v>
      </c>
      <c r="R13" s="83" t="str">
        <f t="shared" si="6"/>
        <v>ผ่าน</v>
      </c>
      <c r="S13" s="3" t="s">
        <v>28</v>
      </c>
      <c r="T13" s="32">
        <v>6610392110</v>
      </c>
      <c r="U13" s="50">
        <v>6610488125</v>
      </c>
      <c r="V13" s="36">
        <v>6610392126</v>
      </c>
      <c r="W13" s="36">
        <v>6310094130</v>
      </c>
      <c r="X13" s="59">
        <v>6412236205</v>
      </c>
      <c r="Y13" s="40">
        <f ca="1">IFERROR(__xludf.DUMMYFUNCTION("""COMPUTED_VALUE"""),6610633118)</f>
        <v>6610633118</v>
      </c>
      <c r="Z13" s="36">
        <v>6412236231</v>
      </c>
    </row>
    <row r="14" spans="1:26" ht="18" customHeight="1">
      <c r="A14" s="3">
        <v>12</v>
      </c>
      <c r="B14" s="3">
        <v>6312213121</v>
      </c>
      <c r="C14" s="4" t="s">
        <v>29</v>
      </c>
      <c r="D14" s="4" t="s">
        <v>60</v>
      </c>
      <c r="E14" s="4" t="s">
        <v>61</v>
      </c>
      <c r="F14" s="4" t="s">
        <v>62</v>
      </c>
      <c r="G14" s="4" t="s">
        <v>26</v>
      </c>
      <c r="H14" s="4" t="s">
        <v>27</v>
      </c>
      <c r="I14" s="3">
        <v>4</v>
      </c>
      <c r="J14" s="44" t="str">
        <f t="shared" si="0"/>
        <v>0</v>
      </c>
      <c r="K14" s="54">
        <v>1</v>
      </c>
      <c r="L14" s="69" t="str">
        <f t="shared" si="1"/>
        <v>0</v>
      </c>
      <c r="M14" s="74" t="str">
        <f t="shared" si="2"/>
        <v>1</v>
      </c>
      <c r="N14" s="29" t="str">
        <f t="shared" si="3"/>
        <v>0</v>
      </c>
      <c r="O14" s="61" t="str">
        <f t="shared" ca="1" si="4"/>
        <v>1</v>
      </c>
      <c r="P14" s="65" t="str">
        <f t="shared" si="5"/>
        <v>1</v>
      </c>
      <c r="Q14" s="46">
        <f t="shared" ca="1" si="7"/>
        <v>4</v>
      </c>
      <c r="R14" s="83" t="str">
        <f t="shared" ca="1" si="6"/>
        <v>ผ่าน</v>
      </c>
      <c r="S14" s="3" t="s">
        <v>28</v>
      </c>
      <c r="T14" s="32">
        <v>6510488204</v>
      </c>
      <c r="U14" s="50">
        <v>6610488214</v>
      </c>
      <c r="V14" s="36">
        <v>6610392109</v>
      </c>
      <c r="W14" s="36">
        <v>6315964107</v>
      </c>
      <c r="X14" s="59">
        <v>6412236230</v>
      </c>
      <c r="Y14" s="41">
        <f ca="1">IFERROR(__xludf.DUMMYFUNCTION("""COMPUTED_VALUE"""),6610633202)</f>
        <v>6610633202</v>
      </c>
      <c r="Z14" s="36">
        <v>6512798123</v>
      </c>
    </row>
    <row r="15" spans="1:26" ht="18" customHeight="1">
      <c r="A15" s="3">
        <v>13</v>
      </c>
      <c r="B15" s="3">
        <v>6612314111</v>
      </c>
      <c r="C15" s="4" t="s">
        <v>29</v>
      </c>
      <c r="D15" s="4" t="s">
        <v>63</v>
      </c>
      <c r="E15" s="4" t="s">
        <v>64</v>
      </c>
      <c r="F15" s="4" t="s">
        <v>65</v>
      </c>
      <c r="G15" s="4" t="s">
        <v>26</v>
      </c>
      <c r="H15" s="4" t="s">
        <v>66</v>
      </c>
      <c r="I15" s="3">
        <v>1</v>
      </c>
      <c r="J15" s="45" t="str">
        <f t="shared" si="0"/>
        <v>1</v>
      </c>
      <c r="K15" s="54">
        <v>1</v>
      </c>
      <c r="L15" s="69" t="str">
        <f t="shared" si="1"/>
        <v>0</v>
      </c>
      <c r="M15" s="74" t="str">
        <f t="shared" si="2"/>
        <v>0</v>
      </c>
      <c r="N15" s="29" t="str">
        <f t="shared" si="3"/>
        <v>0</v>
      </c>
      <c r="O15" s="61" t="str">
        <f t="shared" ca="1" si="4"/>
        <v>0</v>
      </c>
      <c r="P15" s="65" t="str">
        <f t="shared" si="5"/>
        <v>0</v>
      </c>
      <c r="Q15" s="46">
        <f t="shared" ca="1" si="7"/>
        <v>2</v>
      </c>
      <c r="R15" s="3" t="str">
        <f ca="1">IF(Q15&gt;=3,"ผ่าน",IF(Q15&lt;3,"ไม่ผ่าน"))</f>
        <v>ไม่ผ่าน</v>
      </c>
      <c r="S15" s="3" t="s">
        <v>28</v>
      </c>
      <c r="T15" s="32">
        <v>6410488208</v>
      </c>
      <c r="U15" s="50">
        <v>6610414208</v>
      </c>
      <c r="V15" s="36">
        <v>6610392115</v>
      </c>
      <c r="W15" s="36">
        <v>6315964112</v>
      </c>
      <c r="X15" s="59">
        <v>6612236114</v>
      </c>
      <c r="Y15" s="40">
        <f ca="1">IFERROR(__xludf.DUMMYFUNCTION("""COMPUTED_VALUE"""),6610633203)</f>
        <v>6610633203</v>
      </c>
      <c r="Z15" s="36">
        <v>6412798105</v>
      </c>
    </row>
    <row r="16" spans="1:26" ht="18" customHeight="1">
      <c r="A16" s="3">
        <v>14</v>
      </c>
      <c r="B16" s="3">
        <v>6612314112</v>
      </c>
      <c r="C16" s="4" t="s">
        <v>29</v>
      </c>
      <c r="D16" s="4" t="s">
        <v>67</v>
      </c>
      <c r="E16" s="4" t="s">
        <v>68</v>
      </c>
      <c r="F16" s="4" t="s">
        <v>69</v>
      </c>
      <c r="G16" s="4" t="s">
        <v>26</v>
      </c>
      <c r="H16" s="4" t="s">
        <v>66</v>
      </c>
      <c r="I16" s="3">
        <v>1</v>
      </c>
      <c r="J16" s="44" t="str">
        <f t="shared" si="0"/>
        <v>0</v>
      </c>
      <c r="K16" s="54">
        <v>1</v>
      </c>
      <c r="L16" s="69" t="str">
        <f t="shared" si="1"/>
        <v>0</v>
      </c>
      <c r="M16" s="74" t="str">
        <f t="shared" si="2"/>
        <v>0</v>
      </c>
      <c r="N16" s="29" t="str">
        <f t="shared" si="3"/>
        <v>0</v>
      </c>
      <c r="O16" s="61" t="str">
        <f t="shared" ca="1" si="4"/>
        <v>0</v>
      </c>
      <c r="P16" s="65" t="str">
        <f t="shared" si="5"/>
        <v>0</v>
      </c>
      <c r="Q16" s="46">
        <f t="shared" ca="1" si="7"/>
        <v>1</v>
      </c>
      <c r="R16" s="3" t="str">
        <f t="shared" ca="1" si="6"/>
        <v>ไม่ผ่าน</v>
      </c>
      <c r="S16" s="3" t="s">
        <v>28</v>
      </c>
      <c r="T16" s="32">
        <v>6412269112</v>
      </c>
      <c r="U16" s="50"/>
      <c r="V16" s="36">
        <v>6610392224</v>
      </c>
      <c r="W16" s="36">
        <v>6315964117</v>
      </c>
      <c r="X16" s="59">
        <v>6612236129</v>
      </c>
      <c r="Y16" s="41">
        <f ca="1">IFERROR(__xludf.DUMMYFUNCTION("""COMPUTED_VALUE"""),6610633204)</f>
        <v>6610633204</v>
      </c>
      <c r="Z16" s="36">
        <v>6412743228</v>
      </c>
    </row>
    <row r="17" spans="1:26" ht="18" customHeight="1">
      <c r="A17" s="3">
        <v>15</v>
      </c>
      <c r="B17" s="3">
        <v>6612314113</v>
      </c>
      <c r="C17" s="4" t="s">
        <v>29</v>
      </c>
      <c r="D17" s="4" t="s">
        <v>70</v>
      </c>
      <c r="E17" s="4" t="s">
        <v>71</v>
      </c>
      <c r="F17" s="4" t="s">
        <v>72</v>
      </c>
      <c r="G17" s="4" t="s">
        <v>26</v>
      </c>
      <c r="H17" s="4" t="s">
        <v>66</v>
      </c>
      <c r="I17" s="3">
        <v>1</v>
      </c>
      <c r="J17" s="44" t="str">
        <f t="shared" si="0"/>
        <v>0</v>
      </c>
      <c r="K17" s="54">
        <v>1</v>
      </c>
      <c r="L17" s="69" t="str">
        <f t="shared" si="1"/>
        <v>0</v>
      </c>
      <c r="M17" s="74" t="str">
        <f t="shared" si="2"/>
        <v>0</v>
      </c>
      <c r="N17" s="29" t="str">
        <f t="shared" si="3"/>
        <v>0</v>
      </c>
      <c r="O17" s="61" t="str">
        <f t="shared" ca="1" si="4"/>
        <v>1</v>
      </c>
      <c r="P17" s="65" t="str">
        <f t="shared" si="5"/>
        <v>0</v>
      </c>
      <c r="Q17" s="46">
        <f t="shared" ca="1" si="7"/>
        <v>2</v>
      </c>
      <c r="R17" s="3" t="str">
        <f t="shared" ca="1" si="6"/>
        <v>ไม่ผ่าน</v>
      </c>
      <c r="S17" s="3" t="s">
        <v>28</v>
      </c>
      <c r="T17" s="32">
        <v>6510633122</v>
      </c>
      <c r="U17" s="50">
        <v>6610633209</v>
      </c>
      <c r="V17" s="36">
        <v>6610392226</v>
      </c>
      <c r="W17" s="36">
        <v>6315964118</v>
      </c>
      <c r="X17" s="59">
        <v>6612721113</v>
      </c>
      <c r="Y17" s="40">
        <f ca="1">IFERROR(__xludf.DUMMYFUNCTION("""COMPUTED_VALUE"""),6610633207)</f>
        <v>6610633207</v>
      </c>
      <c r="Z17" s="36">
        <v>6312269112</v>
      </c>
    </row>
    <row r="18" spans="1:26" ht="18" customHeight="1">
      <c r="A18" s="3">
        <v>16</v>
      </c>
      <c r="B18" s="3">
        <v>6612314114</v>
      </c>
      <c r="C18" s="4" t="s">
        <v>29</v>
      </c>
      <c r="D18" s="4" t="s">
        <v>73</v>
      </c>
      <c r="E18" s="4" t="s">
        <v>74</v>
      </c>
      <c r="F18" s="4" t="s">
        <v>75</v>
      </c>
      <c r="G18" s="4" t="s">
        <v>26</v>
      </c>
      <c r="H18" s="4" t="s">
        <v>66</v>
      </c>
      <c r="I18" s="3">
        <v>1</v>
      </c>
      <c r="J18" s="45" t="str">
        <f t="shared" si="0"/>
        <v>1</v>
      </c>
      <c r="K18" s="54" t="str">
        <f t="shared" si="8"/>
        <v>0</v>
      </c>
      <c r="L18" s="69" t="str">
        <f t="shared" si="1"/>
        <v>0</v>
      </c>
      <c r="M18" s="74" t="str">
        <f t="shared" si="2"/>
        <v>1</v>
      </c>
      <c r="N18" s="29" t="str">
        <f t="shared" si="3"/>
        <v>0</v>
      </c>
      <c r="O18" s="61" t="str">
        <f t="shared" ca="1" si="4"/>
        <v>1</v>
      </c>
      <c r="P18" s="65" t="str">
        <f t="shared" si="5"/>
        <v>1</v>
      </c>
      <c r="Q18" s="46">
        <f t="shared" ca="1" si="7"/>
        <v>4</v>
      </c>
      <c r="R18" s="83" t="str">
        <f t="shared" ca="1" si="6"/>
        <v>ผ่าน</v>
      </c>
      <c r="S18" s="3" t="s">
        <v>28</v>
      </c>
      <c r="T18" s="32">
        <v>6410048139</v>
      </c>
      <c r="U18" s="50">
        <v>6612236126</v>
      </c>
      <c r="V18" s="36">
        <v>6610392212</v>
      </c>
      <c r="W18" s="36">
        <v>6315964111</v>
      </c>
      <c r="X18" s="59">
        <v>6612721109</v>
      </c>
      <c r="Y18" s="41">
        <f ca="1">IFERROR(__xludf.DUMMYFUNCTION("""COMPUTED_VALUE"""),6610392101)</f>
        <v>6610392101</v>
      </c>
      <c r="Z18" s="36">
        <v>6610073104</v>
      </c>
    </row>
    <row r="19" spans="1:26" ht="18" customHeight="1">
      <c r="A19" s="3">
        <v>17</v>
      </c>
      <c r="B19" s="3">
        <v>6612314126</v>
      </c>
      <c r="C19" s="4" t="s">
        <v>29</v>
      </c>
      <c r="D19" s="4" t="s">
        <v>76</v>
      </c>
      <c r="E19" s="4" t="s">
        <v>77</v>
      </c>
      <c r="F19" s="4" t="s">
        <v>78</v>
      </c>
      <c r="G19" s="4" t="s">
        <v>26</v>
      </c>
      <c r="H19" s="4" t="s">
        <v>66</v>
      </c>
      <c r="I19" s="3">
        <v>1</v>
      </c>
      <c r="J19" s="45" t="str">
        <f t="shared" si="0"/>
        <v>1</v>
      </c>
      <c r="K19" s="54">
        <v>1</v>
      </c>
      <c r="L19" s="69" t="str">
        <f t="shared" si="1"/>
        <v>0</v>
      </c>
      <c r="M19" s="74" t="str">
        <f t="shared" si="2"/>
        <v>0</v>
      </c>
      <c r="N19" s="29" t="str">
        <f t="shared" si="3"/>
        <v>0</v>
      </c>
      <c r="O19" s="61" t="str">
        <f t="shared" ca="1" si="4"/>
        <v>0</v>
      </c>
      <c r="P19" s="65" t="str">
        <f t="shared" si="5"/>
        <v>0</v>
      </c>
      <c r="Q19" s="46">
        <f t="shared" ca="1" si="7"/>
        <v>2</v>
      </c>
      <c r="R19" s="3" t="str">
        <f t="shared" ca="1" si="6"/>
        <v>ไม่ผ่าน</v>
      </c>
      <c r="S19" s="3" t="s">
        <v>28</v>
      </c>
      <c r="T19" s="32">
        <v>6410048158</v>
      </c>
      <c r="U19" s="50">
        <v>6612236129</v>
      </c>
      <c r="V19" s="36">
        <v>6610392104</v>
      </c>
      <c r="W19" s="36">
        <v>6312213103</v>
      </c>
      <c r="X19" s="59">
        <v>6612721207</v>
      </c>
      <c r="Y19" s="40">
        <f ca="1">IFERROR(__xludf.DUMMYFUNCTION("""COMPUTED_VALUE"""),6610392104)</f>
        <v>6610392104</v>
      </c>
      <c r="Z19" s="36">
        <v>6410073112</v>
      </c>
    </row>
    <row r="20" spans="1:26" ht="18" customHeight="1">
      <c r="A20" s="3">
        <v>18</v>
      </c>
      <c r="B20" s="3">
        <v>6612314130</v>
      </c>
      <c r="C20" s="4" t="s">
        <v>29</v>
      </c>
      <c r="D20" s="4" t="s">
        <v>79</v>
      </c>
      <c r="E20" s="4" t="s">
        <v>80</v>
      </c>
      <c r="F20" s="4" t="s">
        <v>38</v>
      </c>
      <c r="G20" s="4" t="s">
        <v>26</v>
      </c>
      <c r="H20" s="4" t="s">
        <v>66</v>
      </c>
      <c r="I20" s="3">
        <v>1</v>
      </c>
      <c r="J20" s="45" t="str">
        <f t="shared" si="0"/>
        <v>1</v>
      </c>
      <c r="K20" s="54" t="str">
        <f t="shared" si="8"/>
        <v>1</v>
      </c>
      <c r="L20" s="69" t="str">
        <f t="shared" si="1"/>
        <v>0</v>
      </c>
      <c r="M20" s="74" t="str">
        <f t="shared" si="2"/>
        <v>1</v>
      </c>
      <c r="N20" s="29" t="str">
        <f t="shared" si="3"/>
        <v>0</v>
      </c>
      <c r="O20" s="61" t="str">
        <f t="shared" ca="1" si="4"/>
        <v>0</v>
      </c>
      <c r="P20" s="65" t="str">
        <f t="shared" si="5"/>
        <v>0</v>
      </c>
      <c r="Q20" s="46">
        <f t="shared" ca="1" si="7"/>
        <v>3</v>
      </c>
      <c r="R20" s="83" t="str">
        <f t="shared" ca="1" si="6"/>
        <v>ผ่าน</v>
      </c>
      <c r="S20" s="3" t="s">
        <v>28</v>
      </c>
      <c r="T20" s="32">
        <v>6310403107</v>
      </c>
      <c r="U20" s="50">
        <v>6612236212</v>
      </c>
      <c r="V20" s="36">
        <v>6610392101</v>
      </c>
      <c r="W20" s="36">
        <v>6312213121</v>
      </c>
      <c r="X20" s="59">
        <v>6612721127</v>
      </c>
      <c r="Y20" s="41">
        <f ca="1">IFERROR(__xludf.DUMMYFUNCTION("""COMPUTED_VALUE"""),6610392203)</f>
        <v>6610392203</v>
      </c>
      <c r="Z20" s="36">
        <v>6610073109</v>
      </c>
    </row>
    <row r="21" spans="1:26" ht="18" customHeight="1">
      <c r="A21" s="3">
        <v>19</v>
      </c>
      <c r="B21" s="3">
        <v>6612314132</v>
      </c>
      <c r="C21" s="4" t="s">
        <v>29</v>
      </c>
      <c r="D21" s="4" t="s">
        <v>81</v>
      </c>
      <c r="E21" s="4" t="s">
        <v>82</v>
      </c>
      <c r="F21" s="4" t="s">
        <v>83</v>
      </c>
      <c r="G21" s="4" t="s">
        <v>26</v>
      </c>
      <c r="H21" s="4" t="s">
        <v>66</v>
      </c>
      <c r="I21" s="3">
        <v>1</v>
      </c>
      <c r="J21" s="45" t="str">
        <f t="shared" si="0"/>
        <v>1</v>
      </c>
      <c r="K21" s="54" t="str">
        <f t="shared" si="8"/>
        <v>1</v>
      </c>
      <c r="L21" s="69" t="str">
        <f t="shared" si="1"/>
        <v>0</v>
      </c>
      <c r="M21" s="74" t="str">
        <f t="shared" si="2"/>
        <v>1</v>
      </c>
      <c r="N21" s="29" t="str">
        <f t="shared" si="3"/>
        <v>0</v>
      </c>
      <c r="O21" s="61" t="str">
        <f t="shared" ca="1" si="4"/>
        <v>1</v>
      </c>
      <c r="P21" s="65" t="str">
        <f t="shared" si="5"/>
        <v>1</v>
      </c>
      <c r="Q21" s="46">
        <f t="shared" ca="1" si="7"/>
        <v>5</v>
      </c>
      <c r="R21" s="83" t="str">
        <f t="shared" ca="1" si="6"/>
        <v>ผ่าน</v>
      </c>
      <c r="S21" s="3" t="s">
        <v>28</v>
      </c>
      <c r="T21" s="32">
        <v>6412743122</v>
      </c>
      <c r="U21" s="50">
        <v>6612721113</v>
      </c>
      <c r="V21" s="36">
        <v>6610073115</v>
      </c>
      <c r="W21" s="36">
        <v>6312213121</v>
      </c>
      <c r="X21" s="59">
        <v>6510207206</v>
      </c>
      <c r="Y21" s="40">
        <f ca="1">IFERROR(__xludf.DUMMYFUNCTION("""COMPUTED_VALUE"""),6610392213)</f>
        <v>6610392213</v>
      </c>
      <c r="Z21" s="36">
        <v>6412743246</v>
      </c>
    </row>
    <row r="22" spans="1:26" ht="18" customHeight="1">
      <c r="A22" s="3">
        <v>20</v>
      </c>
      <c r="B22" s="3">
        <v>6612314133</v>
      </c>
      <c r="C22" s="4" t="s">
        <v>29</v>
      </c>
      <c r="D22" s="4" t="s">
        <v>84</v>
      </c>
      <c r="E22" s="4" t="s">
        <v>85</v>
      </c>
      <c r="F22" s="4" t="s">
        <v>86</v>
      </c>
      <c r="G22" s="4" t="s">
        <v>26</v>
      </c>
      <c r="H22" s="4" t="s">
        <v>66</v>
      </c>
      <c r="I22" s="3">
        <v>1</v>
      </c>
      <c r="J22" s="44" t="str">
        <f t="shared" si="0"/>
        <v>0</v>
      </c>
      <c r="K22" s="54">
        <v>1</v>
      </c>
      <c r="L22" s="69" t="str">
        <f t="shared" si="1"/>
        <v>0</v>
      </c>
      <c r="M22" s="74" t="str">
        <f t="shared" si="2"/>
        <v>0</v>
      </c>
      <c r="N22" s="29" t="str">
        <f t="shared" si="3"/>
        <v>0</v>
      </c>
      <c r="O22" s="61" t="str">
        <f t="shared" ca="1" si="4"/>
        <v>1</v>
      </c>
      <c r="P22" s="65" t="str">
        <f t="shared" si="5"/>
        <v>0</v>
      </c>
      <c r="Q22" s="46">
        <f t="shared" ca="1" si="7"/>
        <v>2</v>
      </c>
      <c r="R22" s="3" t="str">
        <f t="shared" ca="1" si="6"/>
        <v>ไม่ผ่าน</v>
      </c>
      <c r="S22" s="3" t="s">
        <v>28</v>
      </c>
      <c r="T22" s="32">
        <v>6315964103</v>
      </c>
      <c r="U22" s="50">
        <v>6610633110</v>
      </c>
      <c r="V22" s="36">
        <v>6610073117</v>
      </c>
      <c r="W22" s="36">
        <v>6315964103</v>
      </c>
      <c r="X22" s="59">
        <v>6410633229</v>
      </c>
      <c r="Y22" s="41">
        <f ca="1">IFERROR(__xludf.DUMMYFUNCTION("""COMPUTED_VALUE"""),6610392224)</f>
        <v>6610392224</v>
      </c>
      <c r="Z22" s="36">
        <v>6410083108</v>
      </c>
    </row>
    <row r="23" spans="1:26" ht="18" customHeight="1">
      <c r="A23" s="3">
        <v>21</v>
      </c>
      <c r="B23" s="3">
        <v>6612314135</v>
      </c>
      <c r="C23" s="4" t="s">
        <v>29</v>
      </c>
      <c r="D23" s="4" t="s">
        <v>87</v>
      </c>
      <c r="E23" s="4" t="s">
        <v>88</v>
      </c>
      <c r="F23" s="4" t="s">
        <v>89</v>
      </c>
      <c r="G23" s="4" t="s">
        <v>26</v>
      </c>
      <c r="H23" s="4" t="s">
        <v>66</v>
      </c>
      <c r="I23" s="3">
        <v>1</v>
      </c>
      <c r="J23" s="44" t="str">
        <f t="shared" si="0"/>
        <v>0</v>
      </c>
      <c r="K23" s="54">
        <v>1</v>
      </c>
      <c r="L23" s="69" t="str">
        <f t="shared" si="1"/>
        <v>0</v>
      </c>
      <c r="M23" s="74" t="str">
        <f t="shared" si="2"/>
        <v>0</v>
      </c>
      <c r="N23" s="29" t="str">
        <f t="shared" si="3"/>
        <v>0</v>
      </c>
      <c r="O23" s="61" t="str">
        <f t="shared" ca="1" si="4"/>
        <v>0</v>
      </c>
      <c r="P23" s="65" t="str">
        <f t="shared" si="5"/>
        <v>0</v>
      </c>
      <c r="Q23" s="46">
        <f t="shared" ca="1" si="7"/>
        <v>1</v>
      </c>
      <c r="R23" s="3" t="str">
        <f t="shared" ca="1" si="6"/>
        <v>ไม่ผ่าน</v>
      </c>
      <c r="S23" s="3" t="s">
        <v>28</v>
      </c>
      <c r="T23" s="32">
        <v>6410488203</v>
      </c>
      <c r="U23" s="50">
        <v>6610488216</v>
      </c>
      <c r="V23" s="36">
        <v>6610073107</v>
      </c>
      <c r="W23" s="36">
        <v>6315964117</v>
      </c>
      <c r="X23" s="59">
        <v>6510633213</v>
      </c>
      <c r="Y23" s="40">
        <f ca="1">IFERROR(__xludf.DUMMYFUNCTION("""COMPUTED_VALUE"""),6610392226)</f>
        <v>6610392226</v>
      </c>
      <c r="Z23" s="36">
        <v>6612743212</v>
      </c>
    </row>
    <row r="24" spans="1:26" ht="18" customHeight="1">
      <c r="A24" s="3">
        <v>22</v>
      </c>
      <c r="B24" s="3">
        <v>6412314102</v>
      </c>
      <c r="C24" s="4" t="s">
        <v>22</v>
      </c>
      <c r="D24" s="4" t="s">
        <v>90</v>
      </c>
      <c r="E24" s="4" t="s">
        <v>91</v>
      </c>
      <c r="F24" s="4" t="s">
        <v>92</v>
      </c>
      <c r="G24" s="4" t="s">
        <v>26</v>
      </c>
      <c r="H24" s="4" t="s">
        <v>66</v>
      </c>
      <c r="I24" s="3">
        <v>3</v>
      </c>
      <c r="J24" s="44" t="str">
        <f t="shared" si="0"/>
        <v>0</v>
      </c>
      <c r="K24" s="54">
        <v>1</v>
      </c>
      <c r="L24" s="69" t="str">
        <f t="shared" si="1"/>
        <v>0</v>
      </c>
      <c r="M24" s="74" t="str">
        <f t="shared" si="2"/>
        <v>1</v>
      </c>
      <c r="N24" s="29" t="str">
        <f t="shared" si="3"/>
        <v>0</v>
      </c>
      <c r="O24" s="61" t="str">
        <f t="shared" ca="1" si="4"/>
        <v>1</v>
      </c>
      <c r="P24" s="65" t="str">
        <f t="shared" si="5"/>
        <v>1</v>
      </c>
      <c r="Q24" s="46">
        <f t="shared" ca="1" si="7"/>
        <v>4</v>
      </c>
      <c r="R24" s="83" t="str">
        <f t="shared" ca="1" si="6"/>
        <v>ผ่าน</v>
      </c>
      <c r="S24" s="3" t="s">
        <v>28</v>
      </c>
      <c r="T24" s="32">
        <v>6310633114</v>
      </c>
      <c r="U24" s="50"/>
      <c r="V24" s="36">
        <v>6610073106</v>
      </c>
      <c r="W24" s="36">
        <v>6315964127</v>
      </c>
      <c r="X24" s="59">
        <v>6510633227</v>
      </c>
      <c r="Y24" s="41">
        <f ca="1">IFERROR(__xludf.DUMMYFUNCTION("""COMPUTED_VALUE"""),6610068102)</f>
        <v>6610068102</v>
      </c>
      <c r="Z24" s="36">
        <v>6610073118</v>
      </c>
    </row>
    <row r="25" spans="1:26" ht="18" customHeight="1">
      <c r="A25" s="3">
        <v>23</v>
      </c>
      <c r="B25" s="3">
        <v>6412314105</v>
      </c>
      <c r="C25" s="4" t="s">
        <v>29</v>
      </c>
      <c r="D25" s="4" t="s">
        <v>93</v>
      </c>
      <c r="E25" s="4" t="s">
        <v>94</v>
      </c>
      <c r="F25" s="4" t="s">
        <v>95</v>
      </c>
      <c r="G25" s="4" t="s">
        <v>26</v>
      </c>
      <c r="H25" s="4" t="s">
        <v>66</v>
      </c>
      <c r="I25" s="3">
        <v>3</v>
      </c>
      <c r="J25" s="44" t="str">
        <f t="shared" si="0"/>
        <v>0</v>
      </c>
      <c r="K25" s="54">
        <v>1</v>
      </c>
      <c r="L25" s="69" t="str">
        <f t="shared" si="1"/>
        <v>0</v>
      </c>
      <c r="M25" s="74" t="str">
        <f t="shared" si="2"/>
        <v>0</v>
      </c>
      <c r="N25" s="29" t="str">
        <f t="shared" si="3"/>
        <v>0</v>
      </c>
      <c r="O25" s="61" t="str">
        <f t="shared" ca="1" si="4"/>
        <v>1</v>
      </c>
      <c r="P25" s="65" t="str">
        <f t="shared" si="5"/>
        <v>1</v>
      </c>
      <c r="Q25" s="46">
        <f t="shared" ca="1" si="7"/>
        <v>3</v>
      </c>
      <c r="R25" s="83" t="str">
        <f t="shared" ca="1" si="6"/>
        <v>ผ่าน</v>
      </c>
      <c r="S25" s="3" t="s">
        <v>28</v>
      </c>
      <c r="T25" s="32">
        <v>6312798207</v>
      </c>
      <c r="U25" s="50">
        <v>6610633115</v>
      </c>
      <c r="V25" s="36">
        <v>6610073109</v>
      </c>
      <c r="W25" s="36">
        <v>6312743239</v>
      </c>
      <c r="X25" s="59">
        <v>6310633134</v>
      </c>
      <c r="Y25" s="40">
        <f ca="1">IFERROR(__xludf.DUMMYFUNCTION("""COMPUTED_VALUE"""),6610068107)</f>
        <v>6610068107</v>
      </c>
      <c r="Z25" s="36">
        <v>6410488208</v>
      </c>
    </row>
    <row r="26" spans="1:26" ht="18" customHeight="1">
      <c r="A26" s="3">
        <v>24</v>
      </c>
      <c r="B26" s="3">
        <v>6412314107</v>
      </c>
      <c r="C26" s="4" t="s">
        <v>29</v>
      </c>
      <c r="D26" s="4" t="s">
        <v>96</v>
      </c>
      <c r="E26" s="4" t="s">
        <v>97</v>
      </c>
      <c r="F26" s="4" t="s">
        <v>98</v>
      </c>
      <c r="G26" s="4" t="s">
        <v>26</v>
      </c>
      <c r="H26" s="4" t="s">
        <v>66</v>
      </c>
      <c r="I26" s="3">
        <v>3</v>
      </c>
      <c r="J26" s="44" t="str">
        <f t="shared" si="0"/>
        <v>0</v>
      </c>
      <c r="K26" s="54" t="str">
        <f t="shared" si="8"/>
        <v>1</v>
      </c>
      <c r="L26" s="69" t="str">
        <f t="shared" si="1"/>
        <v>0</v>
      </c>
      <c r="M26" s="74" t="str">
        <f t="shared" si="2"/>
        <v>0</v>
      </c>
      <c r="N26" s="29" t="str">
        <f t="shared" si="3"/>
        <v>0</v>
      </c>
      <c r="O26" s="61" t="str">
        <f t="shared" ca="1" si="4"/>
        <v>0</v>
      </c>
      <c r="P26" s="65" t="str">
        <f t="shared" si="5"/>
        <v>1</v>
      </c>
      <c r="Q26" s="46">
        <f t="shared" ca="1" si="7"/>
        <v>2</v>
      </c>
      <c r="R26" s="3" t="str">
        <f t="shared" ca="1" si="6"/>
        <v>ไม่ผ่าน</v>
      </c>
      <c r="S26" s="3" t="s">
        <v>28</v>
      </c>
      <c r="T26" s="32">
        <v>6510106114</v>
      </c>
      <c r="U26" s="50">
        <v>6610633227</v>
      </c>
      <c r="V26" s="36">
        <v>6610073116</v>
      </c>
      <c r="W26" s="36">
        <v>6315964101</v>
      </c>
      <c r="X26" s="59">
        <v>6510633211</v>
      </c>
      <c r="Y26" s="41">
        <f ca="1">IFERROR(__xludf.DUMMYFUNCTION("""COMPUTED_VALUE"""),6610068113)</f>
        <v>6610068113</v>
      </c>
      <c r="Z26" s="36">
        <v>6512798138</v>
      </c>
    </row>
    <row r="27" spans="1:26" ht="18" customHeight="1">
      <c r="A27" s="3">
        <v>25</v>
      </c>
      <c r="B27" s="3">
        <v>6312314110</v>
      </c>
      <c r="C27" s="4" t="s">
        <v>29</v>
      </c>
      <c r="D27" s="4" t="s">
        <v>99</v>
      </c>
      <c r="E27" s="4" t="s">
        <v>100</v>
      </c>
      <c r="F27" s="4" t="s">
        <v>101</v>
      </c>
      <c r="G27" s="4" t="s">
        <v>26</v>
      </c>
      <c r="H27" s="4" t="s">
        <v>66</v>
      </c>
      <c r="I27" s="3">
        <v>4</v>
      </c>
      <c r="J27" s="44" t="str">
        <f t="shared" si="0"/>
        <v>0</v>
      </c>
      <c r="K27" s="54" t="str">
        <f t="shared" si="8"/>
        <v>1</v>
      </c>
      <c r="L27" s="69" t="str">
        <f t="shared" si="1"/>
        <v>0</v>
      </c>
      <c r="M27" s="74" t="str">
        <f t="shared" si="2"/>
        <v>1</v>
      </c>
      <c r="N27" s="29" t="str">
        <f t="shared" si="3"/>
        <v>0</v>
      </c>
      <c r="O27" s="61" t="str">
        <f t="shared" ca="1" si="4"/>
        <v>1</v>
      </c>
      <c r="P27" s="65">
        <v>1</v>
      </c>
      <c r="Q27" s="46">
        <f t="shared" ca="1" si="7"/>
        <v>4</v>
      </c>
      <c r="R27" s="83" t="str">
        <f t="shared" ca="1" si="6"/>
        <v>ผ่าน</v>
      </c>
      <c r="S27" s="3" t="s">
        <v>28</v>
      </c>
      <c r="T27" s="32">
        <v>6410488205</v>
      </c>
      <c r="U27" s="50">
        <v>6612236224</v>
      </c>
      <c r="V27" s="36">
        <v>6610073114</v>
      </c>
      <c r="W27" s="36">
        <v>6315964117</v>
      </c>
      <c r="X27" s="59">
        <v>6410633124</v>
      </c>
      <c r="Y27" s="40">
        <f ca="1">IFERROR(__xludf.DUMMYFUNCTION("""COMPUTED_VALUE"""),6610068114)</f>
        <v>6610068114</v>
      </c>
      <c r="Z27" s="36">
        <v>6412743215</v>
      </c>
    </row>
    <row r="28" spans="1:26" ht="18" customHeight="1">
      <c r="A28" s="3">
        <v>26</v>
      </c>
      <c r="B28" s="3">
        <v>6312314114</v>
      </c>
      <c r="C28" s="4" t="s">
        <v>29</v>
      </c>
      <c r="D28" s="4" t="s">
        <v>102</v>
      </c>
      <c r="E28" s="4" t="s">
        <v>103</v>
      </c>
      <c r="F28" s="4" t="s">
        <v>104</v>
      </c>
      <c r="G28" s="4" t="s">
        <v>26</v>
      </c>
      <c r="H28" s="4" t="s">
        <v>66</v>
      </c>
      <c r="I28" s="3">
        <v>4</v>
      </c>
      <c r="J28" s="44" t="str">
        <f t="shared" si="0"/>
        <v>0</v>
      </c>
      <c r="K28" s="54" t="str">
        <f t="shared" si="8"/>
        <v>1</v>
      </c>
      <c r="L28" s="69" t="str">
        <f t="shared" si="1"/>
        <v>0</v>
      </c>
      <c r="M28" s="74" t="str">
        <f t="shared" si="2"/>
        <v>1</v>
      </c>
      <c r="N28" s="29" t="str">
        <f t="shared" si="3"/>
        <v>0</v>
      </c>
      <c r="O28" s="61" t="str">
        <f t="shared" ca="1" si="4"/>
        <v>1</v>
      </c>
      <c r="P28" s="65">
        <v>1</v>
      </c>
      <c r="Q28" s="46">
        <f t="shared" ca="1" si="7"/>
        <v>4</v>
      </c>
      <c r="R28" s="83" t="str">
        <f t="shared" ca="1" si="6"/>
        <v>ผ่าน</v>
      </c>
      <c r="S28" s="3" t="s">
        <v>28</v>
      </c>
      <c r="T28" s="32">
        <v>6410488104</v>
      </c>
      <c r="U28" s="50">
        <v>6610633121</v>
      </c>
      <c r="V28" s="36">
        <v>6610073118</v>
      </c>
      <c r="W28" s="36">
        <v>6312314110</v>
      </c>
      <c r="X28" s="59">
        <v>6610633132</v>
      </c>
      <c r="Y28" s="41">
        <f ca="1">IFERROR(__xludf.DUMMYFUNCTION("""COMPUTED_VALUE"""),6610068224)</f>
        <v>6610068224</v>
      </c>
      <c r="Z28" s="36">
        <v>6512798103</v>
      </c>
    </row>
    <row r="29" spans="1:26" ht="18" customHeight="1">
      <c r="A29" s="3">
        <v>27</v>
      </c>
      <c r="B29" s="3">
        <v>6312314115</v>
      </c>
      <c r="C29" s="4" t="s">
        <v>29</v>
      </c>
      <c r="D29" s="4" t="s">
        <v>105</v>
      </c>
      <c r="E29" s="4" t="s">
        <v>106</v>
      </c>
      <c r="F29" s="4" t="s">
        <v>107</v>
      </c>
      <c r="G29" s="4" t="s">
        <v>26</v>
      </c>
      <c r="H29" s="4" t="s">
        <v>66</v>
      </c>
      <c r="I29" s="3">
        <v>4</v>
      </c>
      <c r="J29" s="44" t="str">
        <f t="shared" si="0"/>
        <v>0</v>
      </c>
      <c r="K29" s="54" t="str">
        <f t="shared" si="8"/>
        <v>1</v>
      </c>
      <c r="L29" s="69" t="str">
        <f t="shared" si="1"/>
        <v>0</v>
      </c>
      <c r="M29" s="74" t="str">
        <f t="shared" si="2"/>
        <v>1</v>
      </c>
      <c r="N29" s="29" t="str">
        <f t="shared" si="3"/>
        <v>0</v>
      </c>
      <c r="O29" s="61" t="str">
        <f t="shared" ca="1" si="4"/>
        <v>1</v>
      </c>
      <c r="P29" s="65">
        <v>1</v>
      </c>
      <c r="Q29" s="46">
        <f t="shared" ca="1" si="7"/>
        <v>4</v>
      </c>
      <c r="R29" s="83" t="str">
        <f t="shared" ca="1" si="6"/>
        <v>ผ่าน</v>
      </c>
      <c r="S29" s="3" t="s">
        <v>28</v>
      </c>
      <c r="T29" s="32">
        <v>6610488202</v>
      </c>
      <c r="U29" s="50">
        <v>6612236121</v>
      </c>
      <c r="V29" s="36">
        <v>6610073108</v>
      </c>
      <c r="W29" s="36">
        <v>6312325113</v>
      </c>
      <c r="X29" s="59">
        <v>6310633110</v>
      </c>
      <c r="Y29" s="40">
        <f ca="1">IFERROR(__xludf.DUMMYFUNCTION("""COMPUTED_VALUE"""),6610488111)</f>
        <v>6610488111</v>
      </c>
      <c r="Z29" s="36">
        <v>6610073114</v>
      </c>
    </row>
    <row r="30" spans="1:26" ht="18" customHeight="1">
      <c r="A30" s="3">
        <v>28</v>
      </c>
      <c r="B30" s="3">
        <v>6312314120</v>
      </c>
      <c r="C30" s="4" t="s">
        <v>29</v>
      </c>
      <c r="D30" s="4" t="s">
        <v>108</v>
      </c>
      <c r="E30" s="4" t="s">
        <v>109</v>
      </c>
      <c r="F30" s="4" t="s">
        <v>110</v>
      </c>
      <c r="G30" s="4" t="s">
        <v>26</v>
      </c>
      <c r="H30" s="4" t="s">
        <v>66</v>
      </c>
      <c r="I30" s="3">
        <v>4</v>
      </c>
      <c r="J30" s="44" t="str">
        <f t="shared" si="0"/>
        <v>0</v>
      </c>
      <c r="K30" s="54" t="str">
        <f t="shared" si="8"/>
        <v>1</v>
      </c>
      <c r="L30" s="69" t="str">
        <f t="shared" si="1"/>
        <v>0</v>
      </c>
      <c r="M30" s="74" t="str">
        <f t="shared" si="2"/>
        <v>1</v>
      </c>
      <c r="N30" s="29" t="str">
        <f t="shared" si="3"/>
        <v>0</v>
      </c>
      <c r="O30" s="61" t="str">
        <f t="shared" ca="1" si="4"/>
        <v>1</v>
      </c>
      <c r="P30" s="65">
        <v>1</v>
      </c>
      <c r="Q30" s="46">
        <f t="shared" ca="1" si="7"/>
        <v>4</v>
      </c>
      <c r="R30" s="83" t="str">
        <f t="shared" ca="1" si="6"/>
        <v>ผ่าน</v>
      </c>
      <c r="S30" s="3" t="s">
        <v>28</v>
      </c>
      <c r="T30" s="32">
        <v>6310633133</v>
      </c>
      <c r="U30" s="50">
        <v>6610633202</v>
      </c>
      <c r="V30" s="36">
        <v>6610073103</v>
      </c>
      <c r="W30" s="36">
        <v>6310073106</v>
      </c>
      <c r="X30" s="59">
        <v>6510633115</v>
      </c>
      <c r="Y30" s="41">
        <f ca="1">IFERROR(__xludf.DUMMYFUNCTION("""COMPUTED_VALUE"""),6610488116)</f>
        <v>6610488116</v>
      </c>
      <c r="Z30" s="36">
        <v>6612798102</v>
      </c>
    </row>
    <row r="31" spans="1:26" ht="18" customHeight="1">
      <c r="A31" s="3">
        <v>29</v>
      </c>
      <c r="B31" s="3">
        <v>6312314124</v>
      </c>
      <c r="C31" s="4" t="s">
        <v>29</v>
      </c>
      <c r="D31" s="4" t="s">
        <v>111</v>
      </c>
      <c r="E31" s="4" t="s">
        <v>112</v>
      </c>
      <c r="F31" s="4" t="s">
        <v>65</v>
      </c>
      <c r="G31" s="4" t="s">
        <v>26</v>
      </c>
      <c r="H31" s="4" t="s">
        <v>66</v>
      </c>
      <c r="I31" s="3">
        <v>4</v>
      </c>
      <c r="J31" s="44" t="str">
        <f t="shared" si="0"/>
        <v>0</v>
      </c>
      <c r="K31" s="54" t="str">
        <f t="shared" si="8"/>
        <v>0</v>
      </c>
      <c r="L31" s="69" t="str">
        <f t="shared" si="1"/>
        <v>0</v>
      </c>
      <c r="M31" s="74" t="str">
        <f t="shared" si="2"/>
        <v>0</v>
      </c>
      <c r="N31" s="29" t="str">
        <f t="shared" si="3"/>
        <v>0</v>
      </c>
      <c r="O31" s="61" t="str">
        <f t="shared" ca="1" si="4"/>
        <v>0</v>
      </c>
      <c r="P31" s="65">
        <v>1</v>
      </c>
      <c r="Q31" s="46">
        <f t="shared" ca="1" si="7"/>
        <v>1</v>
      </c>
      <c r="R31" s="3" t="str">
        <f t="shared" ca="1" si="6"/>
        <v>ไม่ผ่าน</v>
      </c>
      <c r="S31" s="3" t="s">
        <v>28</v>
      </c>
      <c r="T31" s="32">
        <v>6410048122</v>
      </c>
      <c r="U31" s="50">
        <v>6610392203</v>
      </c>
      <c r="V31" s="36">
        <v>6610073104</v>
      </c>
      <c r="W31" s="36">
        <v>6310073109</v>
      </c>
      <c r="X31" s="59">
        <v>6510633116</v>
      </c>
      <c r="Y31" s="40">
        <f ca="1">IFERROR(__xludf.DUMMYFUNCTION("""COMPUTED_VALUE"""),6610488118)</f>
        <v>6610488118</v>
      </c>
      <c r="Z31" s="36">
        <v>6412798117</v>
      </c>
    </row>
    <row r="32" spans="1:26" ht="18" customHeight="1">
      <c r="A32" s="3">
        <v>30</v>
      </c>
      <c r="B32" s="3">
        <v>6410094115</v>
      </c>
      <c r="C32" s="4" t="s">
        <v>22</v>
      </c>
      <c r="D32" s="4" t="s">
        <v>113</v>
      </c>
      <c r="E32" s="4" t="s">
        <v>114</v>
      </c>
      <c r="F32" s="4" t="s">
        <v>115</v>
      </c>
      <c r="G32" s="4" t="s">
        <v>26</v>
      </c>
      <c r="H32" s="4" t="s">
        <v>116</v>
      </c>
      <c r="I32" s="3">
        <v>3</v>
      </c>
      <c r="J32" s="44" t="str">
        <f t="shared" si="0"/>
        <v>0</v>
      </c>
      <c r="K32" s="54" t="str">
        <f t="shared" si="8"/>
        <v>1</v>
      </c>
      <c r="L32" s="69" t="str">
        <f t="shared" si="1"/>
        <v>0</v>
      </c>
      <c r="M32" s="74" t="str">
        <f t="shared" si="2"/>
        <v>1</v>
      </c>
      <c r="N32" s="29" t="str">
        <f t="shared" si="3"/>
        <v>0</v>
      </c>
      <c r="O32" s="61" t="str">
        <f t="shared" ca="1" si="4"/>
        <v>1</v>
      </c>
      <c r="P32" s="65" t="str">
        <f t="shared" si="5"/>
        <v>1</v>
      </c>
      <c r="Q32" s="46">
        <f t="shared" ca="1" si="7"/>
        <v>4</v>
      </c>
      <c r="R32" s="83" t="str">
        <f t="shared" ca="1" si="6"/>
        <v>ผ่าน</v>
      </c>
      <c r="S32" s="3" t="s">
        <v>28</v>
      </c>
      <c r="T32" s="32">
        <v>6410048157</v>
      </c>
      <c r="U32" s="50">
        <v>6610068102</v>
      </c>
      <c r="V32" s="36">
        <v>6610073105</v>
      </c>
      <c r="W32" s="36">
        <v>6315964106</v>
      </c>
      <c r="X32" s="59">
        <v>6510633117</v>
      </c>
      <c r="Y32" s="41">
        <f ca="1">IFERROR(__xludf.DUMMYFUNCTION("""COMPUTED_VALUE"""),6610488125)</f>
        <v>6610488125</v>
      </c>
      <c r="Z32" s="36">
        <v>6510633224</v>
      </c>
    </row>
    <row r="33" spans="1:26" ht="18" customHeight="1">
      <c r="A33" s="3">
        <v>31</v>
      </c>
      <c r="B33" s="3">
        <v>6310094124</v>
      </c>
      <c r="C33" s="4" t="s">
        <v>29</v>
      </c>
      <c r="D33" s="4" t="s">
        <v>117</v>
      </c>
      <c r="E33" s="4" t="s">
        <v>118</v>
      </c>
      <c r="F33" s="4" t="s">
        <v>38</v>
      </c>
      <c r="G33" s="4" t="s">
        <v>26</v>
      </c>
      <c r="H33" s="4" t="s">
        <v>116</v>
      </c>
      <c r="I33" s="3">
        <v>4</v>
      </c>
      <c r="J33" s="44" t="str">
        <f t="shared" si="0"/>
        <v>0</v>
      </c>
      <c r="K33" s="54" t="str">
        <f t="shared" si="8"/>
        <v>1</v>
      </c>
      <c r="L33" s="69" t="str">
        <f t="shared" si="1"/>
        <v>0</v>
      </c>
      <c r="M33" s="74" t="str">
        <f t="shared" si="2"/>
        <v>1</v>
      </c>
      <c r="N33" s="29" t="str">
        <f t="shared" si="3"/>
        <v>0</v>
      </c>
      <c r="O33" s="61" t="str">
        <f t="shared" ca="1" si="4"/>
        <v>1</v>
      </c>
      <c r="P33" s="65" t="str">
        <f t="shared" si="5"/>
        <v>1</v>
      </c>
      <c r="Q33" s="46">
        <f t="shared" ca="1" si="7"/>
        <v>4</v>
      </c>
      <c r="R33" s="83" t="str">
        <f t="shared" ca="1" si="6"/>
        <v>ผ่าน</v>
      </c>
      <c r="S33" s="3" t="s">
        <v>28</v>
      </c>
      <c r="T33" s="32">
        <v>6612732118</v>
      </c>
      <c r="U33" s="50">
        <v>6610068113</v>
      </c>
      <c r="V33" s="36">
        <v>6610073102</v>
      </c>
      <c r="W33" s="36">
        <v>6315964102</v>
      </c>
      <c r="X33" s="59">
        <v>6510633224</v>
      </c>
      <c r="Y33" s="40">
        <f ca="1">IFERROR(__xludf.DUMMYFUNCTION("""COMPUTED_VALUE"""),6610488126)</f>
        <v>6610488126</v>
      </c>
      <c r="Z33" s="36">
        <v>6410073114</v>
      </c>
    </row>
    <row r="34" spans="1:26" ht="18" customHeight="1">
      <c r="A34" s="3">
        <v>32</v>
      </c>
      <c r="B34" s="3">
        <v>6310094126</v>
      </c>
      <c r="C34" s="4" t="s">
        <v>29</v>
      </c>
      <c r="D34" s="4" t="s">
        <v>119</v>
      </c>
      <c r="E34" s="4" t="s">
        <v>120</v>
      </c>
      <c r="F34" s="4" t="s">
        <v>121</v>
      </c>
      <c r="G34" s="4" t="s">
        <v>26</v>
      </c>
      <c r="H34" s="4" t="s">
        <v>116</v>
      </c>
      <c r="I34" s="3">
        <v>4</v>
      </c>
      <c r="J34" s="44" t="str">
        <f t="shared" si="0"/>
        <v>0</v>
      </c>
      <c r="K34" s="54" t="str">
        <f t="shared" si="8"/>
        <v>1</v>
      </c>
      <c r="L34" s="69" t="str">
        <f t="shared" si="1"/>
        <v>0</v>
      </c>
      <c r="M34" s="74" t="str">
        <f t="shared" si="2"/>
        <v>1</v>
      </c>
      <c r="N34" s="29" t="str">
        <f t="shared" si="3"/>
        <v>0</v>
      </c>
      <c r="O34" s="61" t="str">
        <f t="shared" ca="1" si="4"/>
        <v>1</v>
      </c>
      <c r="P34" s="65">
        <v>1</v>
      </c>
      <c r="Q34" s="46">
        <f t="shared" ca="1" si="7"/>
        <v>4</v>
      </c>
      <c r="R34" s="83" t="str">
        <f t="shared" ca="1" si="6"/>
        <v>ผ่าน</v>
      </c>
      <c r="S34" s="3" t="s">
        <v>28</v>
      </c>
      <c r="T34" s="32">
        <v>6310633201</v>
      </c>
      <c r="U34" s="50">
        <v>6610488117</v>
      </c>
      <c r="V34" s="36">
        <v>6612855107</v>
      </c>
      <c r="W34" s="36">
        <v>6310094124</v>
      </c>
      <c r="X34" s="59">
        <v>6510633111</v>
      </c>
      <c r="Y34" s="41">
        <f ca="1">IFERROR(__xludf.DUMMYFUNCTION("""COMPUTED_VALUE"""),6610488127)</f>
        <v>6610488127</v>
      </c>
      <c r="Z34" s="36">
        <v>6510633230</v>
      </c>
    </row>
    <row r="35" spans="1:26" ht="18" customHeight="1">
      <c r="A35" s="3">
        <v>33</v>
      </c>
      <c r="B35" s="3">
        <v>6310094130</v>
      </c>
      <c r="C35" s="4" t="s">
        <v>29</v>
      </c>
      <c r="D35" s="4" t="s">
        <v>122</v>
      </c>
      <c r="E35" s="4" t="s">
        <v>123</v>
      </c>
      <c r="F35" s="4" t="s">
        <v>124</v>
      </c>
      <c r="G35" s="4" t="s">
        <v>26</v>
      </c>
      <c r="H35" s="4" t="s">
        <v>116</v>
      </c>
      <c r="I35" s="3">
        <v>4</v>
      </c>
      <c r="J35" s="44" t="str">
        <f t="shared" si="0"/>
        <v>0</v>
      </c>
      <c r="K35" s="54" t="str">
        <f t="shared" si="8"/>
        <v>1</v>
      </c>
      <c r="L35" s="69" t="str">
        <f t="shared" si="1"/>
        <v>0</v>
      </c>
      <c r="M35" s="74" t="str">
        <f t="shared" si="2"/>
        <v>1</v>
      </c>
      <c r="N35" s="29" t="str">
        <f t="shared" si="3"/>
        <v>0</v>
      </c>
      <c r="O35" s="61" t="str">
        <f t="shared" ca="1" si="4"/>
        <v>1</v>
      </c>
      <c r="P35" s="65">
        <v>1</v>
      </c>
      <c r="Q35" s="46">
        <f t="shared" ca="1" si="7"/>
        <v>4</v>
      </c>
      <c r="R35" s="83" t="str">
        <f t="shared" ca="1" si="6"/>
        <v>ผ่าน</v>
      </c>
      <c r="S35" s="3" t="s">
        <v>28</v>
      </c>
      <c r="T35" s="32">
        <v>6410106130</v>
      </c>
      <c r="U35" s="50">
        <v>6610633207</v>
      </c>
      <c r="V35" s="36">
        <v>6610068224</v>
      </c>
      <c r="W35" s="36">
        <v>6312314114</v>
      </c>
      <c r="X35" s="59">
        <v>6310633113</v>
      </c>
      <c r="Y35" s="40">
        <f ca="1">IFERROR(__xludf.DUMMYFUNCTION("""COMPUTED_VALUE"""),6610488129)</f>
        <v>6610488129</v>
      </c>
      <c r="Z35" s="36">
        <v>6410488102</v>
      </c>
    </row>
    <row r="36" spans="1:26" ht="18" customHeight="1">
      <c r="A36" s="3">
        <v>34</v>
      </c>
      <c r="B36" s="3">
        <v>6310094134</v>
      </c>
      <c r="C36" s="4" t="s">
        <v>29</v>
      </c>
      <c r="D36" s="4" t="s">
        <v>125</v>
      </c>
      <c r="E36" s="4" t="s">
        <v>126</v>
      </c>
      <c r="F36" s="4" t="s">
        <v>127</v>
      </c>
      <c r="G36" s="4" t="s">
        <v>26</v>
      </c>
      <c r="H36" s="4" t="s">
        <v>116</v>
      </c>
      <c r="I36" s="3">
        <v>4</v>
      </c>
      <c r="J36" s="44" t="str">
        <f t="shared" si="0"/>
        <v>0</v>
      </c>
      <c r="K36" s="54" t="str">
        <f t="shared" si="8"/>
        <v>1</v>
      </c>
      <c r="L36" s="69" t="str">
        <f t="shared" si="1"/>
        <v>0</v>
      </c>
      <c r="M36" s="74" t="str">
        <f t="shared" si="2"/>
        <v>1</v>
      </c>
      <c r="N36" s="29" t="str">
        <f t="shared" si="3"/>
        <v>0</v>
      </c>
      <c r="O36" s="61" t="str">
        <f t="shared" ca="1" si="4"/>
        <v>1</v>
      </c>
      <c r="P36" s="65">
        <v>1</v>
      </c>
      <c r="Q36" s="46">
        <f t="shared" ca="1" si="7"/>
        <v>4</v>
      </c>
      <c r="R36" s="83" t="str">
        <f t="shared" ca="1" si="6"/>
        <v>ผ่าน</v>
      </c>
      <c r="S36" s="3" t="s">
        <v>28</v>
      </c>
      <c r="T36" s="32">
        <v>6310633113</v>
      </c>
      <c r="U36" s="50">
        <v>6610633215</v>
      </c>
      <c r="V36" s="36">
        <v>6612798117</v>
      </c>
      <c r="W36" s="36">
        <v>6310073101</v>
      </c>
      <c r="X36" s="59">
        <v>6610633115</v>
      </c>
      <c r="Y36" s="41">
        <f ca="1">IFERROR(__xludf.DUMMYFUNCTION("""COMPUTED_VALUE"""),6610488224)</f>
        <v>6610488224</v>
      </c>
      <c r="Z36" s="36">
        <v>6510488204</v>
      </c>
    </row>
    <row r="37" spans="1:26" ht="18" customHeight="1">
      <c r="A37" s="3">
        <v>35</v>
      </c>
      <c r="B37" s="3">
        <v>6310094136</v>
      </c>
      <c r="C37" s="4" t="s">
        <v>29</v>
      </c>
      <c r="D37" s="4" t="s">
        <v>128</v>
      </c>
      <c r="E37" s="4" t="s">
        <v>129</v>
      </c>
      <c r="F37" s="4" t="s">
        <v>130</v>
      </c>
      <c r="G37" s="4" t="s">
        <v>26</v>
      </c>
      <c r="H37" s="4" t="s">
        <v>116</v>
      </c>
      <c r="I37" s="3">
        <v>4</v>
      </c>
      <c r="J37" s="44" t="str">
        <f t="shared" si="0"/>
        <v>0</v>
      </c>
      <c r="K37" s="54" t="str">
        <f t="shared" si="8"/>
        <v>1</v>
      </c>
      <c r="L37" s="69" t="str">
        <f t="shared" si="1"/>
        <v>0</v>
      </c>
      <c r="M37" s="74" t="str">
        <f t="shared" si="2"/>
        <v>1</v>
      </c>
      <c r="N37" s="29" t="str">
        <f t="shared" si="3"/>
        <v>0</v>
      </c>
      <c r="O37" s="61" t="str">
        <f t="shared" ca="1" si="4"/>
        <v>1</v>
      </c>
      <c r="P37" s="65">
        <v>1</v>
      </c>
      <c r="Q37" s="46">
        <f t="shared" ca="1" si="7"/>
        <v>4</v>
      </c>
      <c r="R37" s="83" t="str">
        <f t="shared" ca="1" si="6"/>
        <v>ผ่าน</v>
      </c>
      <c r="S37" s="3" t="s">
        <v>28</v>
      </c>
      <c r="T37" s="32">
        <v>661048822</v>
      </c>
      <c r="U37" s="50">
        <v>6610633225</v>
      </c>
      <c r="V37" s="36">
        <v>6612798114</v>
      </c>
      <c r="W37" s="36">
        <v>6315964119</v>
      </c>
      <c r="X37" s="59">
        <v>6410633115</v>
      </c>
      <c r="Y37" s="40">
        <f ca="1">IFERROR(__xludf.DUMMYFUNCTION("""COMPUTED_VALUE"""),6610414208)</f>
        <v>6610414208</v>
      </c>
      <c r="Z37" s="36">
        <v>6610633112</v>
      </c>
    </row>
    <row r="38" spans="1:26" ht="18" customHeight="1">
      <c r="A38" s="3">
        <v>36</v>
      </c>
      <c r="B38" s="3">
        <v>6610403109</v>
      </c>
      <c r="C38" s="4" t="s">
        <v>29</v>
      </c>
      <c r="D38" s="4" t="s">
        <v>131</v>
      </c>
      <c r="E38" s="4" t="s">
        <v>132</v>
      </c>
      <c r="F38" s="4" t="s">
        <v>133</v>
      </c>
      <c r="G38" s="4" t="s">
        <v>26</v>
      </c>
      <c r="H38" s="4" t="s">
        <v>134</v>
      </c>
      <c r="I38" s="3">
        <v>1</v>
      </c>
      <c r="J38" s="44" t="str">
        <f t="shared" si="0"/>
        <v>0</v>
      </c>
      <c r="K38" s="54" t="str">
        <f t="shared" si="8"/>
        <v>1</v>
      </c>
      <c r="L38" s="69" t="str">
        <f t="shared" si="1"/>
        <v>0</v>
      </c>
      <c r="M38" s="74" t="str">
        <f t="shared" si="2"/>
        <v>1</v>
      </c>
      <c r="N38" s="29" t="str">
        <f t="shared" si="3"/>
        <v>0</v>
      </c>
      <c r="O38" s="61" t="str">
        <f t="shared" ca="1" si="4"/>
        <v>1</v>
      </c>
      <c r="P38" s="65" t="str">
        <f t="shared" si="5"/>
        <v>1</v>
      </c>
      <c r="Q38" s="46">
        <f t="shared" ca="1" si="7"/>
        <v>4</v>
      </c>
      <c r="R38" s="83" t="str">
        <f t="shared" ca="1" si="6"/>
        <v>ผ่าน</v>
      </c>
      <c r="S38" s="3" t="s">
        <v>28</v>
      </c>
      <c r="T38" s="32">
        <v>6610403326</v>
      </c>
      <c r="U38" s="50">
        <v>6510633106</v>
      </c>
      <c r="V38" s="36">
        <v>6612798107</v>
      </c>
      <c r="W38" s="36">
        <v>6410048127</v>
      </c>
      <c r="X38" s="59">
        <v>6410633113</v>
      </c>
      <c r="Y38" s="41">
        <f ca="1">IFERROR(__xludf.DUMMYFUNCTION("""COMPUTED_VALUE"""),6612258203)</f>
        <v>6612258203</v>
      </c>
      <c r="Z38" s="36">
        <v>6410633223</v>
      </c>
    </row>
    <row r="39" spans="1:26" ht="18" customHeight="1">
      <c r="A39" s="3">
        <v>37</v>
      </c>
      <c r="B39" s="3">
        <v>6610403116</v>
      </c>
      <c r="C39" s="4" t="s">
        <v>29</v>
      </c>
      <c r="D39" s="4" t="s">
        <v>135</v>
      </c>
      <c r="E39" s="4" t="s">
        <v>136</v>
      </c>
      <c r="F39" s="4" t="s">
        <v>137</v>
      </c>
      <c r="G39" s="4" t="s">
        <v>26</v>
      </c>
      <c r="H39" s="4" t="s">
        <v>134</v>
      </c>
      <c r="I39" s="3">
        <v>1</v>
      </c>
      <c r="J39" s="44" t="str">
        <f t="shared" si="0"/>
        <v>0</v>
      </c>
      <c r="K39" s="54" t="str">
        <f t="shared" si="8"/>
        <v>1</v>
      </c>
      <c r="L39" s="69" t="str">
        <f t="shared" si="1"/>
        <v>0</v>
      </c>
      <c r="M39" s="74" t="str">
        <f t="shared" si="2"/>
        <v>0</v>
      </c>
      <c r="N39" s="29" t="str">
        <f t="shared" si="3"/>
        <v>0</v>
      </c>
      <c r="O39" s="61" t="str">
        <f t="shared" ca="1" si="4"/>
        <v>0</v>
      </c>
      <c r="P39" s="65" t="str">
        <f t="shared" si="5"/>
        <v>1</v>
      </c>
      <c r="Q39" s="46">
        <f t="shared" ca="1" si="7"/>
        <v>2</v>
      </c>
      <c r="R39" s="3" t="str">
        <f t="shared" ca="1" si="6"/>
        <v>ไม่ผ่าน</v>
      </c>
      <c r="S39" s="3" t="s">
        <v>28</v>
      </c>
      <c r="T39" s="32">
        <v>6412743228</v>
      </c>
      <c r="U39" s="50">
        <v>6510633108</v>
      </c>
      <c r="V39" s="36">
        <v>6612798115</v>
      </c>
      <c r="W39" s="36">
        <v>6410048152</v>
      </c>
      <c r="X39" s="59">
        <v>6610633104</v>
      </c>
      <c r="Y39" s="40">
        <f ca="1">IFERROR(__xludf.DUMMYFUNCTION("""COMPUTED_VALUE"""),6612258212)</f>
        <v>6612258212</v>
      </c>
      <c r="Z39" s="36">
        <v>6510488106</v>
      </c>
    </row>
    <row r="40" spans="1:26" ht="18" customHeight="1">
      <c r="A40" s="3">
        <v>38</v>
      </c>
      <c r="B40" s="3">
        <v>6610403121</v>
      </c>
      <c r="C40" s="4" t="s">
        <v>29</v>
      </c>
      <c r="D40" s="4" t="s">
        <v>138</v>
      </c>
      <c r="E40" s="4" t="s">
        <v>139</v>
      </c>
      <c r="F40" s="4" t="s">
        <v>140</v>
      </c>
      <c r="G40" s="4" t="s">
        <v>26</v>
      </c>
      <c r="H40" s="4" t="s">
        <v>134</v>
      </c>
      <c r="I40" s="3">
        <v>1</v>
      </c>
      <c r="J40" s="45" t="str">
        <f t="shared" si="0"/>
        <v>1</v>
      </c>
      <c r="K40" s="54" t="str">
        <f t="shared" si="8"/>
        <v>0</v>
      </c>
      <c r="L40" s="69" t="str">
        <f t="shared" si="1"/>
        <v>0</v>
      </c>
      <c r="M40" s="74" t="str">
        <f t="shared" si="2"/>
        <v>1</v>
      </c>
      <c r="N40" s="29" t="str">
        <f t="shared" si="3"/>
        <v>0</v>
      </c>
      <c r="O40" s="61" t="str">
        <f t="shared" ca="1" si="4"/>
        <v>1</v>
      </c>
      <c r="P40" s="65" t="str">
        <f t="shared" si="5"/>
        <v>0</v>
      </c>
      <c r="Q40" s="46">
        <f t="shared" ca="1" si="7"/>
        <v>3</v>
      </c>
      <c r="R40" s="83" t="str">
        <f t="shared" ca="1" si="6"/>
        <v>ผ่าน</v>
      </c>
      <c r="S40" s="3" t="s">
        <v>28</v>
      </c>
      <c r="T40" s="32">
        <v>6412236126</v>
      </c>
      <c r="U40" s="50">
        <v>6510633111</v>
      </c>
      <c r="V40" s="36">
        <v>6612798109</v>
      </c>
      <c r="W40" s="36">
        <v>6410048139</v>
      </c>
      <c r="X40" s="59">
        <v>6610633214</v>
      </c>
      <c r="Y40" s="41">
        <f ca="1">IFERROR(__xludf.DUMMYFUNCTION("""COMPUTED_VALUE"""),6612258213)</f>
        <v>6612258213</v>
      </c>
      <c r="Z40" s="36">
        <v>6511506215</v>
      </c>
    </row>
    <row r="41" spans="1:26" ht="18" customHeight="1">
      <c r="A41" s="3">
        <v>39</v>
      </c>
      <c r="B41" s="3">
        <v>6610403124</v>
      </c>
      <c r="C41" s="4" t="s">
        <v>29</v>
      </c>
      <c r="D41" s="4" t="s">
        <v>141</v>
      </c>
      <c r="E41" s="4" t="s">
        <v>142</v>
      </c>
      <c r="F41" s="4" t="s">
        <v>143</v>
      </c>
      <c r="G41" s="4" t="s">
        <v>26</v>
      </c>
      <c r="H41" s="4" t="s">
        <v>134</v>
      </c>
      <c r="I41" s="3">
        <v>1</v>
      </c>
      <c r="J41" s="44" t="str">
        <f t="shared" si="0"/>
        <v>0</v>
      </c>
      <c r="K41" s="54" t="str">
        <f t="shared" si="8"/>
        <v>1</v>
      </c>
      <c r="L41" s="69" t="str">
        <f t="shared" si="1"/>
        <v>0</v>
      </c>
      <c r="M41" s="74" t="str">
        <f t="shared" si="2"/>
        <v>1</v>
      </c>
      <c r="N41" s="29" t="str">
        <f t="shared" si="3"/>
        <v>0</v>
      </c>
      <c r="O41" s="61" t="str">
        <f t="shared" ca="1" si="4"/>
        <v>1</v>
      </c>
      <c r="P41" s="65" t="str">
        <f t="shared" si="5"/>
        <v>1</v>
      </c>
      <c r="Q41" s="46">
        <f t="shared" ca="1" si="7"/>
        <v>4</v>
      </c>
      <c r="R41" s="83" t="str">
        <f t="shared" ca="1" si="6"/>
        <v>ผ่าน</v>
      </c>
      <c r="S41" s="3" t="s">
        <v>28</v>
      </c>
      <c r="T41" s="32">
        <v>6410488105</v>
      </c>
      <c r="U41" s="50">
        <v>6510633227</v>
      </c>
      <c r="V41" s="36">
        <v>6610488129</v>
      </c>
      <c r="W41" s="36">
        <v>6312743232</v>
      </c>
      <c r="X41" s="59">
        <v>6610633108</v>
      </c>
      <c r="Y41" s="40">
        <f ca="1">IFERROR(__xludf.DUMMYFUNCTION("""COMPUTED_VALUE"""),6612798102)</f>
        <v>6612798102</v>
      </c>
      <c r="Z41" s="36">
        <v>6512258120</v>
      </c>
    </row>
    <row r="42" spans="1:26" ht="18" customHeight="1">
      <c r="A42" s="3">
        <v>40</v>
      </c>
      <c r="B42" s="3">
        <v>6610403305</v>
      </c>
      <c r="C42" s="4" t="s">
        <v>29</v>
      </c>
      <c r="D42" s="4" t="s">
        <v>144</v>
      </c>
      <c r="E42" s="4" t="s">
        <v>145</v>
      </c>
      <c r="F42" s="4" t="s">
        <v>146</v>
      </c>
      <c r="G42" s="4" t="s">
        <v>26</v>
      </c>
      <c r="H42" s="4" t="s">
        <v>134</v>
      </c>
      <c r="I42" s="3">
        <v>1</v>
      </c>
      <c r="J42" s="45" t="str">
        <f t="shared" si="0"/>
        <v>1</v>
      </c>
      <c r="K42" s="54" t="str">
        <f t="shared" si="8"/>
        <v>1</v>
      </c>
      <c r="L42" s="69" t="str">
        <f t="shared" si="1"/>
        <v>0</v>
      </c>
      <c r="M42" s="74" t="str">
        <f t="shared" si="2"/>
        <v>0</v>
      </c>
      <c r="N42" s="29" t="str">
        <f t="shared" si="3"/>
        <v>1</v>
      </c>
      <c r="O42" s="61" t="str">
        <f t="shared" ca="1" si="4"/>
        <v>1</v>
      </c>
      <c r="P42" s="65" t="str">
        <f t="shared" si="5"/>
        <v>0</v>
      </c>
      <c r="Q42" s="46">
        <f t="shared" ca="1" si="7"/>
        <v>4</v>
      </c>
      <c r="R42" s="83" t="str">
        <f t="shared" ca="1" si="6"/>
        <v>ผ่าน</v>
      </c>
      <c r="S42" s="3" t="s">
        <v>28</v>
      </c>
      <c r="T42" s="32">
        <v>6612314111</v>
      </c>
      <c r="U42" s="50">
        <v>6510633230</v>
      </c>
      <c r="V42" s="36">
        <v>6610488116</v>
      </c>
      <c r="W42" s="36">
        <v>6410048116</v>
      </c>
      <c r="X42" s="59">
        <v>6510633122</v>
      </c>
      <c r="Y42" s="41">
        <f ca="1">IFERROR(__xludf.DUMMYFUNCTION("""COMPUTED_VALUE"""),6612798107)</f>
        <v>6612798107</v>
      </c>
      <c r="Z42" s="36">
        <v>6510633227</v>
      </c>
    </row>
    <row r="43" spans="1:26" ht="18" customHeight="1">
      <c r="A43" s="3">
        <v>41</v>
      </c>
      <c r="B43" s="3">
        <v>6610403309</v>
      </c>
      <c r="C43" s="4" t="s">
        <v>29</v>
      </c>
      <c r="D43" s="4" t="s">
        <v>147</v>
      </c>
      <c r="E43" s="4" t="s">
        <v>148</v>
      </c>
      <c r="F43" s="4" t="s">
        <v>124</v>
      </c>
      <c r="G43" s="4" t="s">
        <v>26</v>
      </c>
      <c r="H43" s="4" t="s">
        <v>134</v>
      </c>
      <c r="I43" s="3">
        <v>1</v>
      </c>
      <c r="J43" s="45" t="str">
        <f t="shared" si="0"/>
        <v>1</v>
      </c>
      <c r="K43" s="54" t="str">
        <f t="shared" si="8"/>
        <v>1</v>
      </c>
      <c r="L43" s="69" t="str">
        <f t="shared" si="1"/>
        <v>0</v>
      </c>
      <c r="M43" s="74" t="str">
        <f t="shared" si="2"/>
        <v>1</v>
      </c>
      <c r="N43" s="29" t="str">
        <f t="shared" si="3"/>
        <v>0</v>
      </c>
      <c r="O43" s="61" t="str">
        <f t="shared" ca="1" si="4"/>
        <v>1</v>
      </c>
      <c r="P43" s="65" t="str">
        <f t="shared" si="5"/>
        <v>1</v>
      </c>
      <c r="Q43" s="46">
        <f t="shared" ca="1" si="7"/>
        <v>5</v>
      </c>
      <c r="R43" s="83" t="str">
        <f t="shared" ca="1" si="6"/>
        <v>ผ่าน</v>
      </c>
      <c r="S43" s="3" t="s">
        <v>28</v>
      </c>
      <c r="T43" s="32">
        <v>6610633104</v>
      </c>
      <c r="U43" s="50">
        <v>6510633116</v>
      </c>
      <c r="V43" s="36">
        <v>6610488118</v>
      </c>
      <c r="W43" s="36">
        <v>6410048154</v>
      </c>
      <c r="X43" s="59">
        <v>6610633225</v>
      </c>
      <c r="Y43" s="40">
        <f ca="1">IFERROR(__xludf.DUMMYFUNCTION("""COMPUTED_VALUE"""),6612798109)</f>
        <v>6612798109</v>
      </c>
      <c r="Z43" s="36">
        <v>6410488124</v>
      </c>
    </row>
    <row r="44" spans="1:26" ht="18" customHeight="1">
      <c r="A44" s="3">
        <v>42</v>
      </c>
      <c r="B44" s="3">
        <v>6610403326</v>
      </c>
      <c r="C44" s="4" t="s">
        <v>29</v>
      </c>
      <c r="D44" s="4" t="s">
        <v>149</v>
      </c>
      <c r="E44" s="4" t="s">
        <v>150</v>
      </c>
      <c r="F44" s="4" t="s">
        <v>151</v>
      </c>
      <c r="G44" s="4" t="s">
        <v>26</v>
      </c>
      <c r="H44" s="4" t="s">
        <v>134</v>
      </c>
      <c r="I44" s="3">
        <v>1</v>
      </c>
      <c r="J44" s="45" t="str">
        <f t="shared" si="0"/>
        <v>1</v>
      </c>
      <c r="K44" s="54" t="str">
        <f t="shared" si="8"/>
        <v>1</v>
      </c>
      <c r="L44" s="69" t="str">
        <f t="shared" si="1"/>
        <v>0</v>
      </c>
      <c r="M44" s="74" t="str">
        <f t="shared" si="2"/>
        <v>0</v>
      </c>
      <c r="N44" s="29" t="str">
        <f t="shared" si="3"/>
        <v>1</v>
      </c>
      <c r="O44" s="61" t="str">
        <f t="shared" ca="1" si="4"/>
        <v>1</v>
      </c>
      <c r="P44" s="65" t="str">
        <f t="shared" si="5"/>
        <v>0</v>
      </c>
      <c r="Q44" s="46">
        <f t="shared" ca="1" si="7"/>
        <v>4</v>
      </c>
      <c r="R44" s="83" t="str">
        <f t="shared" ca="1" si="6"/>
        <v>ผ่าน</v>
      </c>
      <c r="S44" s="3" t="s">
        <v>28</v>
      </c>
      <c r="T44" s="32">
        <v>6412236205</v>
      </c>
      <c r="U44" s="50">
        <v>6510403226</v>
      </c>
      <c r="V44" s="36">
        <v>6610488210</v>
      </c>
      <c r="W44" s="36">
        <v>6410048260</v>
      </c>
      <c r="X44" s="59"/>
      <c r="Y44" s="41">
        <f ca="1">IFERROR(__xludf.DUMMYFUNCTION("""COMPUTED_VALUE"""),6612798115)</f>
        <v>6612798115</v>
      </c>
      <c r="Z44" s="36">
        <v>6512247130</v>
      </c>
    </row>
    <row r="45" spans="1:26" ht="18" customHeight="1">
      <c r="A45" s="3">
        <v>43</v>
      </c>
      <c r="B45" s="3">
        <v>6510403107</v>
      </c>
      <c r="C45" s="4" t="s">
        <v>29</v>
      </c>
      <c r="D45" s="4" t="s">
        <v>152</v>
      </c>
      <c r="E45" s="4" t="s">
        <v>153</v>
      </c>
      <c r="F45" s="4" t="s">
        <v>154</v>
      </c>
      <c r="G45" s="4" t="s">
        <v>26</v>
      </c>
      <c r="H45" s="4" t="s">
        <v>134</v>
      </c>
      <c r="I45" s="3">
        <v>2</v>
      </c>
      <c r="J45" s="45" t="str">
        <f t="shared" si="0"/>
        <v>1</v>
      </c>
      <c r="K45" s="54" t="str">
        <f t="shared" si="8"/>
        <v>1</v>
      </c>
      <c r="L45" s="69" t="str">
        <f t="shared" si="1"/>
        <v>0</v>
      </c>
      <c r="M45" s="74" t="str">
        <f t="shared" si="2"/>
        <v>1</v>
      </c>
      <c r="N45" s="29" t="str">
        <f t="shared" si="3"/>
        <v>0</v>
      </c>
      <c r="O45" s="61" t="str">
        <f t="shared" ca="1" si="4"/>
        <v>1</v>
      </c>
      <c r="P45" s="65" t="str">
        <f t="shared" si="5"/>
        <v>1</v>
      </c>
      <c r="Q45" s="46">
        <f t="shared" ca="1" si="7"/>
        <v>5</v>
      </c>
      <c r="R45" s="83" t="str">
        <f t="shared" ca="1" si="6"/>
        <v>ผ่าน</v>
      </c>
      <c r="S45" s="3" t="s">
        <v>28</v>
      </c>
      <c r="T45" s="32">
        <v>6412269124</v>
      </c>
      <c r="U45" s="50">
        <v>6512732111</v>
      </c>
      <c r="V45" s="36">
        <v>6612743113</v>
      </c>
      <c r="W45" s="36">
        <v>6410048158</v>
      </c>
      <c r="X45" s="59">
        <v>6610633204</v>
      </c>
      <c r="Y45" s="40">
        <f ca="1">IFERROR(__xludf.DUMMYFUNCTION("""COMPUTED_VALUE"""),6612798118)</f>
        <v>6612798118</v>
      </c>
      <c r="Z45" s="36">
        <v>6510059103</v>
      </c>
    </row>
    <row r="46" spans="1:26" ht="18" customHeight="1">
      <c r="A46" s="3">
        <v>44</v>
      </c>
      <c r="B46" s="3">
        <v>6510403121</v>
      </c>
      <c r="C46" s="4" t="s">
        <v>29</v>
      </c>
      <c r="D46" s="4" t="s">
        <v>155</v>
      </c>
      <c r="E46" s="4" t="s">
        <v>156</v>
      </c>
      <c r="F46" s="4" t="s">
        <v>157</v>
      </c>
      <c r="G46" s="4" t="s">
        <v>26</v>
      </c>
      <c r="H46" s="4" t="s">
        <v>134</v>
      </c>
      <c r="I46" s="3">
        <v>2</v>
      </c>
      <c r="J46" s="44" t="str">
        <f t="shared" si="0"/>
        <v>0</v>
      </c>
      <c r="K46" s="54" t="str">
        <f t="shared" si="8"/>
        <v>1</v>
      </c>
      <c r="L46" s="69" t="str">
        <f t="shared" si="1"/>
        <v>0</v>
      </c>
      <c r="M46" s="74" t="str">
        <f t="shared" si="2"/>
        <v>1</v>
      </c>
      <c r="N46" s="29" t="str">
        <f t="shared" si="3"/>
        <v>0</v>
      </c>
      <c r="O46" s="61" t="str">
        <f t="shared" ca="1" si="4"/>
        <v>1</v>
      </c>
      <c r="P46" s="65" t="str">
        <f t="shared" si="5"/>
        <v>1</v>
      </c>
      <c r="Q46" s="46">
        <f t="shared" ca="1" si="7"/>
        <v>4</v>
      </c>
      <c r="R46" s="83" t="str">
        <f t="shared" ca="1" si="6"/>
        <v>ผ่าน</v>
      </c>
      <c r="S46" s="3" t="s">
        <v>28</v>
      </c>
      <c r="T46" s="32">
        <v>6410048102</v>
      </c>
      <c r="U46" s="50">
        <v>6510633207</v>
      </c>
      <c r="V46" s="36">
        <v>6612732108</v>
      </c>
      <c r="W46" s="36">
        <v>6410048111</v>
      </c>
      <c r="X46" s="59"/>
      <c r="Y46" s="41">
        <f ca="1">IFERROR(__xludf.DUMMYFUNCTION("""COMPUTED_VALUE"""),6612743212)</f>
        <v>6612743212</v>
      </c>
      <c r="Z46" s="36">
        <v>6410083101</v>
      </c>
    </row>
    <row r="47" spans="1:26" ht="18" customHeight="1">
      <c r="A47" s="3">
        <v>45</v>
      </c>
      <c r="B47" s="3">
        <v>6510403126</v>
      </c>
      <c r="C47" s="4" t="s">
        <v>29</v>
      </c>
      <c r="D47" s="4" t="s">
        <v>79</v>
      </c>
      <c r="E47" s="4" t="s">
        <v>158</v>
      </c>
      <c r="F47" s="4" t="s">
        <v>143</v>
      </c>
      <c r="G47" s="4" t="s">
        <v>26</v>
      </c>
      <c r="H47" s="4" t="s">
        <v>134</v>
      </c>
      <c r="I47" s="3">
        <v>2</v>
      </c>
      <c r="J47" s="45" t="str">
        <f t="shared" si="0"/>
        <v>1</v>
      </c>
      <c r="K47" s="54" t="str">
        <f t="shared" si="8"/>
        <v>1</v>
      </c>
      <c r="L47" s="69" t="str">
        <f t="shared" si="1"/>
        <v>0</v>
      </c>
      <c r="M47" s="74" t="str">
        <f t="shared" si="2"/>
        <v>1</v>
      </c>
      <c r="N47" s="29" t="str">
        <f t="shared" si="3"/>
        <v>0</v>
      </c>
      <c r="O47" s="61" t="str">
        <f t="shared" ca="1" si="4"/>
        <v>1</v>
      </c>
      <c r="P47" s="65" t="str">
        <f t="shared" si="5"/>
        <v>1</v>
      </c>
      <c r="Q47" s="46">
        <f t="shared" ca="1" si="7"/>
        <v>5</v>
      </c>
      <c r="R47" s="83" t="str">
        <f t="shared" ca="1" si="6"/>
        <v>ผ่าน</v>
      </c>
      <c r="S47" s="3" t="s">
        <v>28</v>
      </c>
      <c r="T47" s="32">
        <v>6310106204</v>
      </c>
      <c r="U47" s="50">
        <v>6510633103</v>
      </c>
      <c r="V47" s="36">
        <v>6612732121</v>
      </c>
      <c r="W47" s="36">
        <v>6310094134</v>
      </c>
      <c r="X47" s="59">
        <v>6410633111</v>
      </c>
      <c r="Y47" s="40">
        <f ca="1">IFERROR(__xludf.DUMMYFUNCTION("""COMPUTED_VALUE"""),6612743223)</f>
        <v>6612743223</v>
      </c>
      <c r="Z47" s="36">
        <v>6612732108</v>
      </c>
    </row>
    <row r="48" spans="1:26" ht="18" customHeight="1">
      <c r="A48" s="3">
        <v>46</v>
      </c>
      <c r="B48" s="3">
        <v>6510403130</v>
      </c>
      <c r="C48" s="4" t="s">
        <v>29</v>
      </c>
      <c r="D48" s="4" t="s">
        <v>159</v>
      </c>
      <c r="E48" s="4" t="s">
        <v>160</v>
      </c>
      <c r="F48" s="4" t="s">
        <v>161</v>
      </c>
      <c r="G48" s="4" t="s">
        <v>26</v>
      </c>
      <c r="H48" s="4" t="s">
        <v>134</v>
      </c>
      <c r="I48" s="3">
        <v>2</v>
      </c>
      <c r="J48" s="44" t="str">
        <f t="shared" si="0"/>
        <v>0</v>
      </c>
      <c r="K48" s="54" t="str">
        <f t="shared" si="8"/>
        <v>0</v>
      </c>
      <c r="L48" s="69" t="str">
        <f t="shared" si="1"/>
        <v>0</v>
      </c>
      <c r="M48" s="74" t="str">
        <f t="shared" si="2"/>
        <v>1</v>
      </c>
      <c r="N48" s="29" t="str">
        <f t="shared" si="3"/>
        <v>0</v>
      </c>
      <c r="O48" s="61" t="str">
        <f t="shared" ca="1" si="4"/>
        <v>0</v>
      </c>
      <c r="P48" s="65" t="str">
        <f t="shared" si="5"/>
        <v>1</v>
      </c>
      <c r="Q48" s="46">
        <f t="shared" ca="1" si="7"/>
        <v>2</v>
      </c>
      <c r="R48" s="3" t="str">
        <f t="shared" ca="1" si="6"/>
        <v>ไม่ผ่าน</v>
      </c>
      <c r="S48" s="3" t="s">
        <v>28</v>
      </c>
      <c r="T48" s="32">
        <v>6315964119</v>
      </c>
      <c r="U48" s="50">
        <v>6510633122</v>
      </c>
      <c r="V48" s="36">
        <v>6612732118</v>
      </c>
      <c r="W48" s="36">
        <v>6310073110</v>
      </c>
      <c r="X48" s="59">
        <v>6310633229</v>
      </c>
      <c r="Y48" s="41">
        <f ca="1">IFERROR(__xludf.DUMMYFUNCTION("""COMPUTED_VALUE"""),6612732108)</f>
        <v>6612732108</v>
      </c>
      <c r="Z48" s="36">
        <v>6610488214</v>
      </c>
    </row>
    <row r="49" spans="1:26" ht="18" customHeight="1">
      <c r="A49" s="3">
        <v>47</v>
      </c>
      <c r="B49" s="3">
        <v>6510403131</v>
      </c>
      <c r="C49" s="4" t="s">
        <v>29</v>
      </c>
      <c r="D49" s="4" t="s">
        <v>162</v>
      </c>
      <c r="E49" s="4" t="s">
        <v>163</v>
      </c>
      <c r="F49" s="4" t="s">
        <v>164</v>
      </c>
      <c r="G49" s="4" t="s">
        <v>26</v>
      </c>
      <c r="H49" s="4" t="s">
        <v>134</v>
      </c>
      <c r="I49" s="3">
        <v>2</v>
      </c>
      <c r="J49" s="44" t="str">
        <f t="shared" si="0"/>
        <v>0</v>
      </c>
      <c r="K49" s="54" t="str">
        <f t="shared" si="8"/>
        <v>1</v>
      </c>
      <c r="L49" s="69" t="str">
        <f t="shared" si="1"/>
        <v>0</v>
      </c>
      <c r="M49" s="74" t="str">
        <f t="shared" si="2"/>
        <v>0</v>
      </c>
      <c r="N49" s="29" t="str">
        <f t="shared" si="3"/>
        <v>1</v>
      </c>
      <c r="O49" s="61" t="str">
        <f t="shared" ca="1" si="4"/>
        <v>1</v>
      </c>
      <c r="P49" s="65" t="str">
        <f t="shared" si="5"/>
        <v>1</v>
      </c>
      <c r="Q49" s="46">
        <f t="shared" ca="1" si="7"/>
        <v>4</v>
      </c>
      <c r="R49" s="83" t="str">
        <f t="shared" ca="1" si="6"/>
        <v>ผ่าน</v>
      </c>
      <c r="S49" s="3" t="s">
        <v>28</v>
      </c>
      <c r="T49" s="32">
        <v>6612236224</v>
      </c>
      <c r="U49" s="50">
        <v>6510403230</v>
      </c>
      <c r="V49" s="36">
        <v>6610414201</v>
      </c>
      <c r="W49" s="36">
        <v>6310403127</v>
      </c>
      <c r="X49" s="59">
        <v>6310633128</v>
      </c>
      <c r="Y49" s="40">
        <f ca="1">IFERROR(__xludf.DUMMYFUNCTION("""COMPUTED_VALUE"""),6612732118)</f>
        <v>6612732118</v>
      </c>
      <c r="Z49" s="36">
        <v>6412743137</v>
      </c>
    </row>
    <row r="50" spans="1:26" ht="18" customHeight="1">
      <c r="A50" s="3">
        <v>48</v>
      </c>
      <c r="B50" s="3">
        <v>6510403207</v>
      </c>
      <c r="C50" s="4" t="s">
        <v>29</v>
      </c>
      <c r="D50" s="4" t="s">
        <v>165</v>
      </c>
      <c r="E50" s="4" t="s">
        <v>166</v>
      </c>
      <c r="F50" s="4" t="s">
        <v>167</v>
      </c>
      <c r="G50" s="4" t="s">
        <v>26</v>
      </c>
      <c r="H50" s="4" t="s">
        <v>134</v>
      </c>
      <c r="I50" s="3">
        <v>2</v>
      </c>
      <c r="J50" s="44" t="str">
        <f t="shared" si="0"/>
        <v>0</v>
      </c>
      <c r="K50" s="54" t="str">
        <f t="shared" si="8"/>
        <v>1</v>
      </c>
      <c r="L50" s="69" t="str">
        <f t="shared" si="1"/>
        <v>0</v>
      </c>
      <c r="M50" s="74" t="str">
        <f t="shared" si="2"/>
        <v>1</v>
      </c>
      <c r="N50" s="29" t="str">
        <f t="shared" si="3"/>
        <v>0</v>
      </c>
      <c r="O50" s="61" t="str">
        <f t="shared" ca="1" si="4"/>
        <v>1</v>
      </c>
      <c r="P50" s="65" t="str">
        <f t="shared" si="5"/>
        <v>1</v>
      </c>
      <c r="Q50" s="46">
        <f t="shared" ca="1" si="7"/>
        <v>4</v>
      </c>
      <c r="R50" s="83" t="str">
        <f t="shared" ca="1" si="6"/>
        <v>ผ่าน</v>
      </c>
      <c r="S50" s="3" t="s">
        <v>28</v>
      </c>
      <c r="T50" s="32">
        <v>6412743133</v>
      </c>
      <c r="U50" s="50">
        <v>6510633211</v>
      </c>
      <c r="V50" s="36">
        <v>6610083114</v>
      </c>
      <c r="W50" s="36">
        <v>6310403125</v>
      </c>
      <c r="X50" s="59">
        <v>6310633133</v>
      </c>
      <c r="Y50" s="41">
        <f ca="1">IFERROR(__xludf.DUMMYFUNCTION("""COMPUTED_VALUE"""),6610073102)</f>
        <v>6610073102</v>
      </c>
      <c r="Z50" s="36">
        <v>6512247127</v>
      </c>
    </row>
    <row r="51" spans="1:26" ht="18" customHeight="1">
      <c r="A51" s="3">
        <v>49</v>
      </c>
      <c r="B51" s="3">
        <v>6510403208</v>
      </c>
      <c r="C51" s="4" t="s">
        <v>29</v>
      </c>
      <c r="D51" s="4" t="s">
        <v>168</v>
      </c>
      <c r="E51" s="4" t="s">
        <v>169</v>
      </c>
      <c r="F51" s="4" t="s">
        <v>170</v>
      </c>
      <c r="G51" s="4" t="s">
        <v>26</v>
      </c>
      <c r="H51" s="4" t="s">
        <v>134</v>
      </c>
      <c r="I51" s="3">
        <v>2</v>
      </c>
      <c r="J51" s="44" t="str">
        <f t="shared" si="0"/>
        <v>0</v>
      </c>
      <c r="K51" s="54" t="str">
        <f t="shared" si="8"/>
        <v>1</v>
      </c>
      <c r="L51" s="69" t="str">
        <f t="shared" si="1"/>
        <v>0</v>
      </c>
      <c r="M51" s="74" t="str">
        <f t="shared" si="2"/>
        <v>1</v>
      </c>
      <c r="N51" s="29" t="str">
        <f t="shared" si="3"/>
        <v>0</v>
      </c>
      <c r="O51" s="61" t="str">
        <f t="shared" ca="1" si="4"/>
        <v>1</v>
      </c>
      <c r="P51" s="65" t="str">
        <f t="shared" si="5"/>
        <v>1</v>
      </c>
      <c r="Q51" s="46">
        <f t="shared" ca="1" si="7"/>
        <v>4</v>
      </c>
      <c r="R51" s="83" t="str">
        <f t="shared" ca="1" si="6"/>
        <v>ผ่าน</v>
      </c>
      <c r="S51" s="3" t="s">
        <v>28</v>
      </c>
      <c r="T51" s="32">
        <v>6612732108</v>
      </c>
      <c r="U51" s="50">
        <v>6510633205</v>
      </c>
      <c r="V51" s="36">
        <v>6612258213</v>
      </c>
      <c r="W51" s="36">
        <v>6310403303</v>
      </c>
      <c r="X51" s="59">
        <v>6310633223</v>
      </c>
      <c r="Y51" s="40">
        <f ca="1">IFERROR(__xludf.DUMMYFUNCTION("""COMPUTED_VALUE"""),6610073103)</f>
        <v>6610073103</v>
      </c>
      <c r="Z51" s="36">
        <v>6612732118</v>
      </c>
    </row>
    <row r="52" spans="1:26" ht="18" customHeight="1">
      <c r="A52" s="3">
        <v>50</v>
      </c>
      <c r="B52" s="3">
        <v>6510403209</v>
      </c>
      <c r="C52" s="4" t="s">
        <v>29</v>
      </c>
      <c r="D52" s="4" t="s">
        <v>171</v>
      </c>
      <c r="E52" s="4" t="s">
        <v>172</v>
      </c>
      <c r="F52" s="4" t="s">
        <v>173</v>
      </c>
      <c r="G52" s="4" t="s">
        <v>26</v>
      </c>
      <c r="H52" s="4" t="s">
        <v>134</v>
      </c>
      <c r="I52" s="3">
        <v>2</v>
      </c>
      <c r="J52" s="44" t="str">
        <f t="shared" si="0"/>
        <v>0</v>
      </c>
      <c r="K52" s="54" t="str">
        <f t="shared" si="8"/>
        <v>1</v>
      </c>
      <c r="L52" s="69" t="str">
        <f t="shared" si="1"/>
        <v>0</v>
      </c>
      <c r="M52" s="74" t="str">
        <f t="shared" si="2"/>
        <v>0</v>
      </c>
      <c r="N52" s="29" t="str">
        <f t="shared" si="3"/>
        <v>1</v>
      </c>
      <c r="O52" s="61" t="str">
        <f t="shared" ca="1" si="4"/>
        <v>1</v>
      </c>
      <c r="P52" s="65" t="str">
        <f t="shared" si="5"/>
        <v>1</v>
      </c>
      <c r="Q52" s="46">
        <f t="shared" ca="1" si="7"/>
        <v>4</v>
      </c>
      <c r="R52" s="83" t="str">
        <f t="shared" ca="1" si="6"/>
        <v>ผ่าน</v>
      </c>
      <c r="S52" s="3" t="s">
        <v>28</v>
      </c>
      <c r="T52" s="32">
        <v>6610633223</v>
      </c>
      <c r="U52" s="50">
        <v>6510633107</v>
      </c>
      <c r="V52" s="36">
        <v>6612258203</v>
      </c>
      <c r="W52" s="36">
        <v>6312314120</v>
      </c>
      <c r="X52" s="59">
        <v>6410633120</v>
      </c>
      <c r="Y52" s="41">
        <f ca="1">IFERROR(__xludf.DUMMYFUNCTION("""COMPUTED_VALUE"""),6610073104)</f>
        <v>6610073104</v>
      </c>
      <c r="Z52" s="36">
        <v>6410488201</v>
      </c>
    </row>
    <row r="53" spans="1:26" ht="18" customHeight="1">
      <c r="A53" s="3">
        <v>51</v>
      </c>
      <c r="B53" s="3">
        <v>6510403210</v>
      </c>
      <c r="C53" s="4" t="s">
        <v>29</v>
      </c>
      <c r="D53" s="4" t="s">
        <v>174</v>
      </c>
      <c r="E53" s="4" t="s">
        <v>175</v>
      </c>
      <c r="F53" s="4" t="s">
        <v>176</v>
      </c>
      <c r="G53" s="4" t="s">
        <v>26</v>
      </c>
      <c r="H53" s="4" t="s">
        <v>134</v>
      </c>
      <c r="I53" s="3">
        <v>2</v>
      </c>
      <c r="J53" s="44" t="str">
        <f t="shared" si="0"/>
        <v>0</v>
      </c>
      <c r="K53" s="54" t="str">
        <f t="shared" si="8"/>
        <v>1</v>
      </c>
      <c r="L53" s="69" t="str">
        <f t="shared" si="1"/>
        <v>0</v>
      </c>
      <c r="M53" s="74" t="str">
        <f t="shared" si="2"/>
        <v>1</v>
      </c>
      <c r="N53" s="29" t="str">
        <f t="shared" si="3"/>
        <v>0</v>
      </c>
      <c r="O53" s="61" t="str">
        <f t="shared" ca="1" si="4"/>
        <v>1</v>
      </c>
      <c r="P53" s="65" t="str">
        <f t="shared" si="5"/>
        <v>1</v>
      </c>
      <c r="Q53" s="46">
        <f t="shared" ca="1" si="7"/>
        <v>4</v>
      </c>
      <c r="R53" s="83" t="str">
        <f t="shared" ca="1" si="6"/>
        <v>ผ่าน</v>
      </c>
      <c r="S53" s="3" t="s">
        <v>28</v>
      </c>
      <c r="T53" s="32">
        <v>6310106109</v>
      </c>
      <c r="U53" s="50">
        <v>6410633223</v>
      </c>
      <c r="V53" s="36">
        <v>6611506118</v>
      </c>
      <c r="W53" s="36">
        <v>6312325103</v>
      </c>
      <c r="X53" s="59">
        <v>6310633129</v>
      </c>
      <c r="Y53" s="40">
        <f ca="1">IFERROR(__xludf.DUMMYFUNCTION("""COMPUTED_VALUE"""),6610073105)</f>
        <v>6610073105</v>
      </c>
      <c r="Z53" s="36">
        <v>6410073104</v>
      </c>
    </row>
    <row r="54" spans="1:26" ht="18" customHeight="1">
      <c r="A54" s="3">
        <v>52</v>
      </c>
      <c r="B54" s="3">
        <v>6510403215</v>
      </c>
      <c r="C54" s="4" t="s">
        <v>29</v>
      </c>
      <c r="D54" s="4" t="s">
        <v>177</v>
      </c>
      <c r="E54" s="4" t="s">
        <v>178</v>
      </c>
      <c r="F54" s="4" t="s">
        <v>179</v>
      </c>
      <c r="G54" s="4" t="s">
        <v>26</v>
      </c>
      <c r="H54" s="4" t="s">
        <v>134</v>
      </c>
      <c r="I54" s="3">
        <v>2</v>
      </c>
      <c r="J54" s="44" t="str">
        <f t="shared" si="0"/>
        <v>0</v>
      </c>
      <c r="K54" s="54">
        <v>1</v>
      </c>
      <c r="L54" s="69" t="str">
        <f t="shared" si="1"/>
        <v>0</v>
      </c>
      <c r="M54" s="74" t="str">
        <f t="shared" si="2"/>
        <v>1</v>
      </c>
      <c r="N54" s="29" t="str">
        <f t="shared" si="3"/>
        <v>0</v>
      </c>
      <c r="O54" s="61" t="str">
        <f t="shared" ca="1" si="4"/>
        <v>0</v>
      </c>
      <c r="P54" s="65" t="str">
        <f t="shared" si="5"/>
        <v>1</v>
      </c>
      <c r="Q54" s="46">
        <f t="shared" ca="1" si="7"/>
        <v>3</v>
      </c>
      <c r="R54" s="83" t="str">
        <f t="shared" ca="1" si="6"/>
        <v>ผ่าน</v>
      </c>
      <c r="S54" s="3" t="s">
        <v>28</v>
      </c>
      <c r="T54" s="32">
        <v>6512247114</v>
      </c>
      <c r="U54" s="50">
        <v>6410633102</v>
      </c>
      <c r="V54" s="36">
        <v>6611506120</v>
      </c>
      <c r="W54" s="36">
        <v>6310403310</v>
      </c>
      <c r="X54" s="59">
        <v>6610633101</v>
      </c>
      <c r="Y54" s="41">
        <f ca="1">IFERROR(__xludf.DUMMYFUNCTION("""COMPUTED_VALUE"""),6610073109)</f>
        <v>6610073109</v>
      </c>
      <c r="Z54" s="36">
        <v>6412743122</v>
      </c>
    </row>
    <row r="55" spans="1:26" ht="18" customHeight="1">
      <c r="A55" s="3">
        <v>53</v>
      </c>
      <c r="B55" s="3">
        <v>6510403221</v>
      </c>
      <c r="C55" s="4" t="s">
        <v>29</v>
      </c>
      <c r="D55" s="4" t="s">
        <v>180</v>
      </c>
      <c r="E55" s="4" t="s">
        <v>181</v>
      </c>
      <c r="F55" s="4" t="s">
        <v>182</v>
      </c>
      <c r="G55" s="4" t="s">
        <v>26</v>
      </c>
      <c r="H55" s="4" t="s">
        <v>134</v>
      </c>
      <c r="I55" s="3">
        <v>2</v>
      </c>
      <c r="J55" s="45" t="str">
        <f t="shared" si="0"/>
        <v>1</v>
      </c>
      <c r="K55" s="54" t="str">
        <f t="shared" si="8"/>
        <v>1</v>
      </c>
      <c r="L55" s="69" t="str">
        <f t="shared" si="1"/>
        <v>0</v>
      </c>
      <c r="M55" s="74" t="str">
        <f t="shared" si="2"/>
        <v>1</v>
      </c>
      <c r="N55" s="29" t="str">
        <f t="shared" si="3"/>
        <v>0</v>
      </c>
      <c r="O55" s="61" t="str">
        <f t="shared" ca="1" si="4"/>
        <v>1</v>
      </c>
      <c r="P55" s="65" t="str">
        <f t="shared" si="5"/>
        <v>1</v>
      </c>
      <c r="Q55" s="46">
        <f t="shared" ca="1" si="7"/>
        <v>5</v>
      </c>
      <c r="R55" s="83" t="str">
        <f t="shared" ca="1" si="6"/>
        <v>ผ่าน</v>
      </c>
      <c r="S55" s="3" t="s">
        <v>28</v>
      </c>
      <c r="T55" s="32">
        <v>6412888103</v>
      </c>
      <c r="U55" s="50">
        <v>6410403225</v>
      </c>
      <c r="V55" s="36">
        <v>6510403126</v>
      </c>
      <c r="W55" s="36">
        <v>6310106214</v>
      </c>
      <c r="X55" s="59">
        <v>6610633207</v>
      </c>
      <c r="Y55" s="40">
        <f ca="1">IFERROR(__xludf.DUMMYFUNCTION("""COMPUTED_VALUE"""),6610073113)</f>
        <v>6610073113</v>
      </c>
      <c r="Z55" s="36">
        <v>6410106219</v>
      </c>
    </row>
    <row r="56" spans="1:26" ht="18" customHeight="1">
      <c r="A56" s="3">
        <v>54</v>
      </c>
      <c r="B56" s="3">
        <v>6510403222</v>
      </c>
      <c r="C56" s="4" t="s">
        <v>29</v>
      </c>
      <c r="D56" s="4" t="s">
        <v>183</v>
      </c>
      <c r="E56" s="4" t="s">
        <v>184</v>
      </c>
      <c r="F56" s="4" t="s">
        <v>185</v>
      </c>
      <c r="G56" s="4" t="s">
        <v>26</v>
      </c>
      <c r="H56" s="4" t="s">
        <v>134</v>
      </c>
      <c r="I56" s="3">
        <v>2</v>
      </c>
      <c r="J56" s="44" t="str">
        <f t="shared" si="0"/>
        <v>0</v>
      </c>
      <c r="K56" s="54" t="str">
        <f t="shared" si="8"/>
        <v>1</v>
      </c>
      <c r="L56" s="69" t="str">
        <f t="shared" si="1"/>
        <v>0</v>
      </c>
      <c r="M56" s="74" t="str">
        <f t="shared" si="2"/>
        <v>1</v>
      </c>
      <c r="N56" s="29" t="str">
        <f t="shared" si="3"/>
        <v>0</v>
      </c>
      <c r="O56" s="61" t="str">
        <f t="shared" ca="1" si="4"/>
        <v>1</v>
      </c>
      <c r="P56" s="65" t="str">
        <f t="shared" si="5"/>
        <v>1</v>
      </c>
      <c r="Q56" s="46">
        <f t="shared" ca="1" si="7"/>
        <v>4</v>
      </c>
      <c r="R56" s="83" t="str">
        <f t="shared" ca="1" si="6"/>
        <v>ผ่าน</v>
      </c>
      <c r="S56" s="3" t="s">
        <v>28</v>
      </c>
      <c r="T56" s="32">
        <v>6610488118</v>
      </c>
      <c r="U56" s="50">
        <v>6410403113</v>
      </c>
      <c r="V56" s="36">
        <v>6510403207</v>
      </c>
      <c r="W56" s="36">
        <v>6511506214</v>
      </c>
      <c r="X56" s="59">
        <v>6610633118</v>
      </c>
      <c r="Y56" s="41">
        <f ca="1">IFERROR(__xludf.DUMMYFUNCTION("""COMPUTED_VALUE"""),6610073114)</f>
        <v>6610073114</v>
      </c>
      <c r="Z56" s="36">
        <v>6410488205</v>
      </c>
    </row>
    <row r="57" spans="1:26" ht="18" customHeight="1">
      <c r="A57" s="3">
        <v>55</v>
      </c>
      <c r="B57" s="3">
        <v>6510403226</v>
      </c>
      <c r="C57" s="4" t="s">
        <v>29</v>
      </c>
      <c r="D57" s="4" t="s">
        <v>186</v>
      </c>
      <c r="E57" s="4" t="s">
        <v>187</v>
      </c>
      <c r="F57" s="4" t="s">
        <v>115</v>
      </c>
      <c r="G57" s="4" t="s">
        <v>26</v>
      </c>
      <c r="H57" s="4" t="s">
        <v>134</v>
      </c>
      <c r="I57" s="3">
        <v>2</v>
      </c>
      <c r="J57" s="44" t="str">
        <f t="shared" si="0"/>
        <v>0</v>
      </c>
      <c r="K57" s="54" t="str">
        <f t="shared" si="8"/>
        <v>0</v>
      </c>
      <c r="L57" s="69" t="str">
        <f t="shared" si="1"/>
        <v>1</v>
      </c>
      <c r="M57" s="74" t="str">
        <f t="shared" si="2"/>
        <v>1</v>
      </c>
      <c r="N57" s="29" t="str">
        <f t="shared" si="3"/>
        <v>0</v>
      </c>
      <c r="O57" s="61" t="str">
        <f t="shared" ca="1" si="4"/>
        <v>0</v>
      </c>
      <c r="P57" s="65" t="str">
        <f t="shared" si="5"/>
        <v>1</v>
      </c>
      <c r="Q57" s="46">
        <f t="shared" ca="1" si="7"/>
        <v>3</v>
      </c>
      <c r="R57" s="83" t="str">
        <f t="shared" ca="1" si="6"/>
        <v>ผ่าน</v>
      </c>
      <c r="S57" s="3" t="s">
        <v>28</v>
      </c>
      <c r="T57" s="32">
        <v>6310403120</v>
      </c>
      <c r="U57" s="50">
        <v>6412236230</v>
      </c>
      <c r="V57" s="36">
        <v>6510403208</v>
      </c>
      <c r="W57" s="36">
        <v>6412866227</v>
      </c>
      <c r="X57" s="59"/>
      <c r="Y57" s="40">
        <f ca="1">IFERROR(__xludf.DUMMYFUNCTION("""COMPUTED_VALUE"""),6610073115)</f>
        <v>6610073115</v>
      </c>
      <c r="Z57" s="36">
        <v>6512798113</v>
      </c>
    </row>
    <row r="58" spans="1:26" ht="18" customHeight="1">
      <c r="A58" s="3">
        <v>56</v>
      </c>
      <c r="B58" s="3">
        <v>6510403230</v>
      </c>
      <c r="C58" s="4" t="s">
        <v>29</v>
      </c>
      <c r="D58" s="4" t="s">
        <v>188</v>
      </c>
      <c r="E58" s="4" t="s">
        <v>189</v>
      </c>
      <c r="F58" s="4" t="s">
        <v>190</v>
      </c>
      <c r="G58" s="4" t="s">
        <v>26</v>
      </c>
      <c r="H58" s="4" t="s">
        <v>134</v>
      </c>
      <c r="I58" s="3">
        <v>2</v>
      </c>
      <c r="J58" s="44" t="str">
        <f t="shared" si="0"/>
        <v>0</v>
      </c>
      <c r="K58" s="54" t="str">
        <f t="shared" si="8"/>
        <v>0</v>
      </c>
      <c r="L58" s="69" t="str">
        <f t="shared" si="1"/>
        <v>1</v>
      </c>
      <c r="M58" s="74" t="str">
        <f t="shared" si="2"/>
        <v>1</v>
      </c>
      <c r="N58" s="29" t="str">
        <f t="shared" si="3"/>
        <v>0</v>
      </c>
      <c r="O58" s="61" t="str">
        <f t="shared" ca="1" si="4"/>
        <v>0</v>
      </c>
      <c r="P58" s="65" t="str">
        <f t="shared" si="5"/>
        <v>1</v>
      </c>
      <c r="Q58" s="46">
        <f t="shared" ca="1" si="7"/>
        <v>3</v>
      </c>
      <c r="R58" s="83" t="str">
        <f t="shared" ca="1" si="6"/>
        <v>ผ่าน</v>
      </c>
      <c r="S58" s="3" t="s">
        <v>28</v>
      </c>
      <c r="T58" s="32">
        <v>6510633106</v>
      </c>
      <c r="U58" s="50">
        <v>6410633101</v>
      </c>
      <c r="V58" s="36">
        <v>6510403131</v>
      </c>
      <c r="W58" s="36">
        <v>6311506205</v>
      </c>
      <c r="X58" s="59">
        <v>6510633103</v>
      </c>
      <c r="Y58" s="41">
        <f ca="1">IFERROR(__xludf.DUMMYFUNCTION("""COMPUTED_VALUE"""),6510403121)</f>
        <v>6510403121</v>
      </c>
      <c r="Z58" s="36">
        <v>6512798105</v>
      </c>
    </row>
    <row r="59" spans="1:26" ht="18" customHeight="1">
      <c r="A59" s="3">
        <v>57</v>
      </c>
      <c r="B59" s="3">
        <v>6410403105</v>
      </c>
      <c r="C59" s="4" t="s">
        <v>29</v>
      </c>
      <c r="D59" s="4" t="s">
        <v>191</v>
      </c>
      <c r="E59" s="4" t="s">
        <v>192</v>
      </c>
      <c r="F59" s="4" t="s">
        <v>193</v>
      </c>
      <c r="G59" s="4" t="s">
        <v>26</v>
      </c>
      <c r="H59" s="4" t="s">
        <v>134</v>
      </c>
      <c r="I59" s="3">
        <v>3</v>
      </c>
      <c r="J59" s="45" t="str">
        <f t="shared" si="0"/>
        <v>1</v>
      </c>
      <c r="K59" s="54" t="str">
        <f t="shared" si="8"/>
        <v>0</v>
      </c>
      <c r="L59" s="69" t="str">
        <f t="shared" si="1"/>
        <v>1</v>
      </c>
      <c r="M59" s="74" t="str">
        <f t="shared" si="2"/>
        <v>0</v>
      </c>
      <c r="N59" s="29" t="str">
        <f t="shared" si="3"/>
        <v>1</v>
      </c>
      <c r="O59" s="61" t="str">
        <f t="shared" ca="1" si="4"/>
        <v>1</v>
      </c>
      <c r="P59" s="65" t="str">
        <f t="shared" si="5"/>
        <v>1</v>
      </c>
      <c r="Q59" s="46">
        <f t="shared" ca="1" si="7"/>
        <v>5</v>
      </c>
      <c r="R59" s="83" t="str">
        <f t="shared" ca="1" si="6"/>
        <v>ผ่าน</v>
      </c>
      <c r="S59" s="3" t="s">
        <v>28</v>
      </c>
      <c r="T59" s="32">
        <v>6310633134</v>
      </c>
      <c r="U59" s="50">
        <v>6412798131</v>
      </c>
      <c r="V59" s="36">
        <v>6510403209</v>
      </c>
      <c r="W59" s="36">
        <v>6311506218</v>
      </c>
      <c r="X59" s="59">
        <v>6310633201</v>
      </c>
      <c r="Y59" s="40">
        <f ca="1">IFERROR(__xludf.DUMMYFUNCTION("""COMPUTED_VALUE"""),6510403210)</f>
        <v>6510403210</v>
      </c>
      <c r="Z59" s="36">
        <v>6510403222</v>
      </c>
    </row>
    <row r="60" spans="1:26" ht="18" customHeight="1">
      <c r="A60" s="3">
        <v>58</v>
      </c>
      <c r="B60" s="3">
        <v>6410403113</v>
      </c>
      <c r="C60" s="4" t="s">
        <v>29</v>
      </c>
      <c r="D60" s="4" t="s">
        <v>194</v>
      </c>
      <c r="E60" s="4" t="s">
        <v>195</v>
      </c>
      <c r="F60" s="4" t="s">
        <v>196</v>
      </c>
      <c r="G60" s="4" t="s">
        <v>26</v>
      </c>
      <c r="H60" s="4" t="s">
        <v>134</v>
      </c>
      <c r="I60" s="3">
        <v>3</v>
      </c>
      <c r="J60" s="45" t="str">
        <f t="shared" si="0"/>
        <v>1</v>
      </c>
      <c r="K60" s="54" t="str">
        <f t="shared" si="8"/>
        <v>0</v>
      </c>
      <c r="L60" s="69" t="str">
        <f t="shared" si="1"/>
        <v>1</v>
      </c>
      <c r="M60" s="74" t="str">
        <f t="shared" si="2"/>
        <v>1</v>
      </c>
      <c r="N60" s="29" t="str">
        <f t="shared" si="3"/>
        <v>0</v>
      </c>
      <c r="O60" s="61" t="str">
        <f t="shared" ca="1" si="4"/>
        <v>1</v>
      </c>
      <c r="P60" s="65" t="str">
        <f t="shared" si="5"/>
        <v>1</v>
      </c>
      <c r="Q60" s="46">
        <f t="shared" ca="1" si="7"/>
        <v>5</v>
      </c>
      <c r="R60" s="83" t="str">
        <f t="shared" ca="1" si="6"/>
        <v>ผ่าน</v>
      </c>
      <c r="S60" s="3" t="s">
        <v>28</v>
      </c>
      <c r="T60" s="32">
        <v>6310633128</v>
      </c>
      <c r="U60" s="50">
        <v>6410106119</v>
      </c>
      <c r="V60" s="36">
        <v>6510403221</v>
      </c>
      <c r="W60" s="36">
        <v>6311506120</v>
      </c>
      <c r="X60" s="59">
        <v>6310633106</v>
      </c>
      <c r="Y60" s="41">
        <f ca="1">IFERROR(__xludf.DUMMYFUNCTION("""COMPUTED_VALUE"""),6510403222)</f>
        <v>6510403222</v>
      </c>
      <c r="Z60" s="36">
        <v>6412743142</v>
      </c>
    </row>
    <row r="61" spans="1:26" ht="18" customHeight="1">
      <c r="A61" s="3">
        <v>59</v>
      </c>
      <c r="B61" s="3">
        <v>6410403204</v>
      </c>
      <c r="C61" s="4" t="s">
        <v>29</v>
      </c>
      <c r="D61" s="4" t="s">
        <v>197</v>
      </c>
      <c r="E61" s="4" t="s">
        <v>198</v>
      </c>
      <c r="F61" s="4" t="s">
        <v>199</v>
      </c>
      <c r="G61" s="4" t="s">
        <v>26</v>
      </c>
      <c r="H61" s="4" t="s">
        <v>134</v>
      </c>
      <c r="I61" s="3">
        <v>3</v>
      </c>
      <c r="J61" s="44" t="str">
        <f t="shared" si="0"/>
        <v>0</v>
      </c>
      <c r="K61" s="54" t="str">
        <f t="shared" si="8"/>
        <v>0</v>
      </c>
      <c r="L61" s="69" t="str">
        <f t="shared" si="1"/>
        <v>1</v>
      </c>
      <c r="M61" s="74" t="str">
        <f t="shared" si="2"/>
        <v>0</v>
      </c>
      <c r="N61" s="29" t="str">
        <f t="shared" si="3"/>
        <v>1</v>
      </c>
      <c r="O61" s="61" t="str">
        <f t="shared" ca="1" si="4"/>
        <v>1</v>
      </c>
      <c r="P61" s="65" t="str">
        <f t="shared" si="5"/>
        <v>1</v>
      </c>
      <c r="Q61" s="46">
        <f t="shared" ca="1" si="7"/>
        <v>4</v>
      </c>
      <c r="R61" s="83" t="str">
        <f t="shared" ca="1" si="6"/>
        <v>ผ่าน</v>
      </c>
      <c r="S61" s="3" t="s">
        <v>28</v>
      </c>
      <c r="T61" s="32">
        <v>6410633113</v>
      </c>
      <c r="U61" s="50">
        <v>6412743112</v>
      </c>
      <c r="V61" s="36">
        <v>6510403121</v>
      </c>
      <c r="W61" s="36">
        <v>6311506106</v>
      </c>
      <c r="X61" s="59">
        <v>6510633107</v>
      </c>
      <c r="Y61" s="40">
        <f ca="1">IFERROR(__xludf.DUMMYFUNCTION("""COMPUTED_VALUE"""),6510633106)</f>
        <v>6510633106</v>
      </c>
      <c r="Z61" s="36">
        <v>6610392121</v>
      </c>
    </row>
    <row r="62" spans="1:26" ht="18" customHeight="1">
      <c r="A62" s="3">
        <v>60</v>
      </c>
      <c r="B62" s="3">
        <v>6410403206</v>
      </c>
      <c r="C62" s="4" t="s">
        <v>29</v>
      </c>
      <c r="D62" s="4" t="s">
        <v>200</v>
      </c>
      <c r="E62" s="4" t="s">
        <v>201</v>
      </c>
      <c r="F62" s="4" t="s">
        <v>78</v>
      </c>
      <c r="G62" s="4" t="s">
        <v>26</v>
      </c>
      <c r="H62" s="4" t="s">
        <v>134</v>
      </c>
      <c r="I62" s="3">
        <v>3</v>
      </c>
      <c r="J62" s="44" t="str">
        <f t="shared" si="0"/>
        <v>0</v>
      </c>
      <c r="K62" s="54" t="str">
        <f t="shared" si="8"/>
        <v>1</v>
      </c>
      <c r="L62" s="69" t="str">
        <f t="shared" si="1"/>
        <v>0</v>
      </c>
      <c r="M62" s="74" t="str">
        <f t="shared" si="2"/>
        <v>1</v>
      </c>
      <c r="N62" s="29" t="str">
        <f t="shared" si="3"/>
        <v>0</v>
      </c>
      <c r="O62" s="61" t="str">
        <f t="shared" ca="1" si="4"/>
        <v>1</v>
      </c>
      <c r="P62" s="65" t="str">
        <f t="shared" si="5"/>
        <v>1</v>
      </c>
      <c r="Q62" s="46">
        <f t="shared" ca="1" si="7"/>
        <v>4</v>
      </c>
      <c r="R62" s="83" t="str">
        <f t="shared" ca="1" si="6"/>
        <v>ผ่าน</v>
      </c>
      <c r="S62" s="3" t="s">
        <v>28</v>
      </c>
      <c r="T62" s="32">
        <v>6312247109</v>
      </c>
      <c r="U62" s="50">
        <v>6412743142</v>
      </c>
      <c r="V62" s="36">
        <v>6510403222</v>
      </c>
      <c r="W62" s="36">
        <v>6311506115</v>
      </c>
      <c r="X62" s="59">
        <v>6610633121</v>
      </c>
      <c r="Y62" s="41">
        <f ca="1">IFERROR(__xludf.DUMMYFUNCTION("""COMPUTED_VALUE"""),6510633108)</f>
        <v>6510633108</v>
      </c>
      <c r="Z62" s="36">
        <v>6412743202</v>
      </c>
    </row>
    <row r="63" spans="1:26" ht="18" customHeight="1">
      <c r="A63" s="3">
        <v>61</v>
      </c>
      <c r="B63" s="3">
        <v>6410403213</v>
      </c>
      <c r="C63" s="4" t="s">
        <v>29</v>
      </c>
      <c r="D63" s="4" t="s">
        <v>202</v>
      </c>
      <c r="E63" s="4" t="s">
        <v>203</v>
      </c>
      <c r="F63" s="4" t="s">
        <v>204</v>
      </c>
      <c r="G63" s="4" t="s">
        <v>26</v>
      </c>
      <c r="H63" s="4" t="s">
        <v>134</v>
      </c>
      <c r="I63" s="3">
        <v>3</v>
      </c>
      <c r="J63" s="44" t="str">
        <f t="shared" si="0"/>
        <v>0</v>
      </c>
      <c r="K63" s="54" t="str">
        <f t="shared" si="8"/>
        <v>1</v>
      </c>
      <c r="L63" s="69" t="str">
        <f t="shared" si="1"/>
        <v>0</v>
      </c>
      <c r="M63" s="74" t="str">
        <f t="shared" si="2"/>
        <v>1</v>
      </c>
      <c r="N63" s="29" t="str">
        <f t="shared" si="3"/>
        <v>0</v>
      </c>
      <c r="O63" s="61" t="str">
        <f t="shared" ca="1" si="4"/>
        <v>1</v>
      </c>
      <c r="P63" s="65" t="str">
        <f t="shared" si="5"/>
        <v>1</v>
      </c>
      <c r="Q63" s="46">
        <f t="shared" ca="1" si="7"/>
        <v>4</v>
      </c>
      <c r="R63" s="83" t="str">
        <f t="shared" ca="1" si="6"/>
        <v>ผ่าน</v>
      </c>
      <c r="S63" s="3" t="s">
        <v>28</v>
      </c>
      <c r="T63" s="32">
        <v>6610633107</v>
      </c>
      <c r="U63" s="50">
        <v>6410414213</v>
      </c>
      <c r="V63" s="36">
        <v>6510403210</v>
      </c>
      <c r="W63" s="36">
        <v>6410059113</v>
      </c>
      <c r="X63" s="59">
        <v>6610633106</v>
      </c>
      <c r="Y63" s="40">
        <f ca="1">IFERROR(__xludf.DUMMYFUNCTION("""COMPUTED_VALUE"""),6510633111)</f>
        <v>6510633111</v>
      </c>
      <c r="Z63" s="36">
        <v>6410106121</v>
      </c>
    </row>
    <row r="64" spans="1:26" ht="18" customHeight="1">
      <c r="A64" s="3">
        <v>62</v>
      </c>
      <c r="B64" s="3">
        <v>6410403222</v>
      </c>
      <c r="C64" s="4" t="s">
        <v>29</v>
      </c>
      <c r="D64" s="4" t="s">
        <v>205</v>
      </c>
      <c r="E64" s="4" t="s">
        <v>206</v>
      </c>
      <c r="F64" s="4" t="s">
        <v>207</v>
      </c>
      <c r="G64" s="4" t="s">
        <v>26</v>
      </c>
      <c r="H64" s="4" t="s">
        <v>134</v>
      </c>
      <c r="I64" s="3">
        <v>3</v>
      </c>
      <c r="J64" s="44" t="str">
        <f t="shared" si="0"/>
        <v>0</v>
      </c>
      <c r="K64" s="54">
        <v>1</v>
      </c>
      <c r="L64" s="69" t="str">
        <f t="shared" si="1"/>
        <v>0</v>
      </c>
      <c r="M64" s="74" t="str">
        <f t="shared" si="2"/>
        <v>1</v>
      </c>
      <c r="N64" s="29" t="str">
        <f t="shared" si="3"/>
        <v>0</v>
      </c>
      <c r="O64" s="61" t="str">
        <f t="shared" ca="1" si="4"/>
        <v>1</v>
      </c>
      <c r="P64" s="65" t="str">
        <f t="shared" si="5"/>
        <v>1</v>
      </c>
      <c r="Q64" s="46">
        <f t="shared" ca="1" si="7"/>
        <v>4</v>
      </c>
      <c r="R64" s="83" t="str">
        <f t="shared" ca="1" si="6"/>
        <v>ผ่าน</v>
      </c>
      <c r="S64" s="3" t="s">
        <v>28</v>
      </c>
      <c r="T64" s="32">
        <v>6412236113</v>
      </c>
      <c r="U64" s="50">
        <v>6410059110</v>
      </c>
      <c r="V64" s="36">
        <v>6510403107</v>
      </c>
      <c r="W64" s="36">
        <v>6410059112</v>
      </c>
      <c r="X64" s="59">
        <v>6310633131</v>
      </c>
      <c r="Y64" s="41">
        <f ca="1">IFERROR(__xludf.DUMMYFUNCTION("""COMPUTED_VALUE"""),6510633115)</f>
        <v>6510633115</v>
      </c>
      <c r="Z64" s="36">
        <v>6510488225</v>
      </c>
    </row>
    <row r="65" spans="1:26" ht="18" customHeight="1">
      <c r="A65" s="3">
        <v>63</v>
      </c>
      <c r="B65" s="3">
        <v>6410403224</v>
      </c>
      <c r="C65" s="4" t="s">
        <v>29</v>
      </c>
      <c r="D65" s="4" t="s">
        <v>208</v>
      </c>
      <c r="E65" s="4" t="s">
        <v>209</v>
      </c>
      <c r="F65" s="4" t="s">
        <v>210</v>
      </c>
      <c r="G65" s="4" t="s">
        <v>26</v>
      </c>
      <c r="H65" s="4" t="s">
        <v>134</v>
      </c>
      <c r="I65" s="3">
        <v>3</v>
      </c>
      <c r="J65" s="45" t="str">
        <f t="shared" si="0"/>
        <v>1</v>
      </c>
      <c r="K65" s="54" t="str">
        <f t="shared" si="8"/>
        <v>0</v>
      </c>
      <c r="L65" s="69" t="str">
        <f t="shared" si="1"/>
        <v>1</v>
      </c>
      <c r="M65" s="74" t="str">
        <f t="shared" si="2"/>
        <v>0</v>
      </c>
      <c r="N65" s="29" t="str">
        <f t="shared" si="3"/>
        <v>1</v>
      </c>
      <c r="O65" s="61" t="str">
        <f t="shared" ca="1" si="4"/>
        <v>1</v>
      </c>
      <c r="P65" s="65" t="str">
        <f t="shared" si="5"/>
        <v>1</v>
      </c>
      <c r="Q65" s="46">
        <f t="shared" ca="1" si="7"/>
        <v>5</v>
      </c>
      <c r="R65" s="83" t="str">
        <f t="shared" ca="1" si="6"/>
        <v>ผ่าน</v>
      </c>
      <c r="S65" s="3" t="s">
        <v>28</v>
      </c>
      <c r="T65" s="32">
        <v>6610633106</v>
      </c>
      <c r="U65" s="50">
        <v>6410633208</v>
      </c>
      <c r="V65" s="36">
        <v>6510633213</v>
      </c>
      <c r="W65" s="36">
        <v>6412866222</v>
      </c>
      <c r="X65" s="59">
        <v>6510633106</v>
      </c>
      <c r="Y65" s="40">
        <f ca="1">IFERROR(__xludf.DUMMYFUNCTION("""COMPUTED_VALUE"""),6510633116)</f>
        <v>6510633116</v>
      </c>
      <c r="Z65" s="36">
        <v>6510403121</v>
      </c>
    </row>
    <row r="66" spans="1:26" ht="18" customHeight="1">
      <c r="A66" s="3">
        <v>64</v>
      </c>
      <c r="B66" s="3">
        <v>6410403225</v>
      </c>
      <c r="C66" s="4" t="s">
        <v>29</v>
      </c>
      <c r="D66" s="4" t="s">
        <v>211</v>
      </c>
      <c r="E66" s="4" t="s">
        <v>212</v>
      </c>
      <c r="F66" s="4" t="s">
        <v>213</v>
      </c>
      <c r="G66" s="4" t="s">
        <v>26</v>
      </c>
      <c r="H66" s="4" t="s">
        <v>134</v>
      </c>
      <c r="I66" s="3">
        <v>3</v>
      </c>
      <c r="J66" s="45" t="str">
        <f t="shared" si="0"/>
        <v>1</v>
      </c>
      <c r="K66" s="54" t="str">
        <f t="shared" si="8"/>
        <v>0</v>
      </c>
      <c r="L66" s="69" t="str">
        <f t="shared" si="1"/>
        <v>1</v>
      </c>
      <c r="M66" s="74" t="str">
        <f t="shared" si="2"/>
        <v>0</v>
      </c>
      <c r="N66" s="29" t="str">
        <f t="shared" si="3"/>
        <v>1</v>
      </c>
      <c r="O66" s="61" t="str">
        <f t="shared" ca="1" si="4"/>
        <v>1</v>
      </c>
      <c r="P66" s="65" t="str">
        <f t="shared" si="5"/>
        <v>1</v>
      </c>
      <c r="Q66" s="46">
        <f t="shared" ca="1" si="7"/>
        <v>5</v>
      </c>
      <c r="R66" s="83" t="str">
        <f t="shared" ca="1" si="6"/>
        <v>ผ่าน</v>
      </c>
      <c r="S66" s="3" t="s">
        <v>28</v>
      </c>
      <c r="T66" s="32">
        <v>6610633132</v>
      </c>
      <c r="U66" s="50">
        <v>6410633104</v>
      </c>
      <c r="V66" s="36">
        <v>6510633118</v>
      </c>
      <c r="W66" s="36">
        <v>6512798114</v>
      </c>
      <c r="X66" s="59"/>
      <c r="Y66" s="41">
        <f ca="1">IFERROR(__xludf.DUMMYFUNCTION("""COMPUTED_VALUE"""),6510633120)</f>
        <v>6510633120</v>
      </c>
      <c r="Z66" s="36">
        <v>6412258116</v>
      </c>
    </row>
    <row r="67" spans="1:26" ht="18" customHeight="1">
      <c r="A67" s="3">
        <v>65</v>
      </c>
      <c r="B67" s="3">
        <v>6410403228</v>
      </c>
      <c r="C67" s="4" t="s">
        <v>29</v>
      </c>
      <c r="D67" s="4" t="s">
        <v>214</v>
      </c>
      <c r="E67" s="4" t="s">
        <v>215</v>
      </c>
      <c r="F67" s="4" t="s">
        <v>216</v>
      </c>
      <c r="G67" s="4" t="s">
        <v>26</v>
      </c>
      <c r="H67" s="4" t="s">
        <v>134</v>
      </c>
      <c r="I67" s="3">
        <v>3</v>
      </c>
      <c r="J67" s="44" t="str">
        <f t="shared" ref="J67:J130" si="9">IF(IFERROR(VLOOKUP(B67,DATA,1,FALSE),),"1","0")</f>
        <v>0</v>
      </c>
      <c r="K67" s="54" t="str">
        <f t="shared" ref="K67:K130" si="10">IF(IFERROR(VLOOKUP(B67,DATA8,1,FALSE),),"1","0")</f>
        <v>0</v>
      </c>
      <c r="L67" s="69" t="str">
        <f t="shared" ref="L67:L130" si="11">IF(IFERROR(VLOOKUP(B67,DATA7,1,FALSE),),"1","0")</f>
        <v>1</v>
      </c>
      <c r="M67" s="74" t="str">
        <f t="shared" ref="M67:M130" si="12">IF(IFERROR(VLOOKUP(B67,DATA9,1,FALSE),),"1","0")</f>
        <v>0</v>
      </c>
      <c r="N67" s="29" t="str">
        <f t="shared" ref="N67:N130" si="13">IF(IFERROR(VLOOKUP(B67,DATA10,1,FALSE),),"1","0")</f>
        <v>1</v>
      </c>
      <c r="O67" s="61" t="str">
        <f t="shared" ref="O67:O130" ca="1" si="14">IF(IFERROR(VLOOKUP(B67,DATA11,1,FALSE),),"1","0")</f>
        <v>1</v>
      </c>
      <c r="P67" s="65" t="str">
        <f t="shared" ref="P67:P130" si="15">IF(IFERROR(VLOOKUP(B67,DATA12,1,FALSE),),"1","0")</f>
        <v>1</v>
      </c>
      <c r="Q67" s="46">
        <f t="shared" ca="1" si="7"/>
        <v>4</v>
      </c>
      <c r="R67" s="83" t="str">
        <f t="shared" ref="R67:R130" ca="1" si="16">IF(Q67&gt;=3,"ผ่าน",IF(Q67&lt;3,"ไม่ผ่าน"))</f>
        <v>ผ่าน</v>
      </c>
      <c r="S67" s="3" t="s">
        <v>28</v>
      </c>
      <c r="T67" s="32">
        <v>6312269101</v>
      </c>
      <c r="U67" s="50">
        <v>6410633207</v>
      </c>
      <c r="V67" s="36">
        <v>6510633117</v>
      </c>
      <c r="W67" s="36">
        <v>6311506208</v>
      </c>
      <c r="X67" s="59">
        <v>6610633202</v>
      </c>
      <c r="Y67" s="40">
        <f ca="1">IFERROR(__xludf.DUMMYFUNCTION("""COMPUTED_VALUE"""),6510633122)</f>
        <v>6510633122</v>
      </c>
      <c r="Z67" s="36">
        <v>6610392101</v>
      </c>
    </row>
    <row r="68" spans="1:26" ht="18" customHeight="1">
      <c r="A68" s="3">
        <v>66</v>
      </c>
      <c r="B68" s="3">
        <v>6410403230</v>
      </c>
      <c r="C68" s="4" t="s">
        <v>29</v>
      </c>
      <c r="D68" s="4" t="s">
        <v>217</v>
      </c>
      <c r="E68" s="4" t="s">
        <v>218</v>
      </c>
      <c r="F68" s="4" t="s">
        <v>219</v>
      </c>
      <c r="G68" s="4" t="s">
        <v>26</v>
      </c>
      <c r="H68" s="4" t="s">
        <v>134</v>
      </c>
      <c r="I68" s="3">
        <v>3</v>
      </c>
      <c r="J68" s="44" t="str">
        <f t="shared" si="9"/>
        <v>0</v>
      </c>
      <c r="K68" s="54" t="str">
        <f t="shared" si="10"/>
        <v>1</v>
      </c>
      <c r="L68" s="69" t="str">
        <f t="shared" si="11"/>
        <v>0</v>
      </c>
      <c r="M68" s="74" t="str">
        <f t="shared" si="12"/>
        <v>1</v>
      </c>
      <c r="N68" s="29" t="str">
        <f t="shared" si="13"/>
        <v>0</v>
      </c>
      <c r="O68" s="61" t="str">
        <f t="shared" ca="1" si="14"/>
        <v>1</v>
      </c>
      <c r="P68" s="65" t="str">
        <f t="shared" si="15"/>
        <v>1</v>
      </c>
      <c r="Q68" s="46">
        <f t="shared" ref="Q68:Q131" ca="1" si="17">J68+K68+L68+M68+N68+O68+P68</f>
        <v>4</v>
      </c>
      <c r="R68" s="83" t="str">
        <f t="shared" ca="1" si="16"/>
        <v>ผ่าน</v>
      </c>
      <c r="S68" s="3" t="s">
        <v>28</v>
      </c>
      <c r="T68" s="32">
        <v>6512743224</v>
      </c>
      <c r="U68" s="50">
        <v>6410633231</v>
      </c>
      <c r="V68" s="36">
        <v>6510392111</v>
      </c>
      <c r="W68" s="36">
        <v>6511506217</v>
      </c>
      <c r="X68" s="59">
        <v>6310633205</v>
      </c>
      <c r="Y68" s="41">
        <f ca="1">IFERROR(__xludf.DUMMYFUNCTION("""COMPUTED_VALUE"""),6510633211)</f>
        <v>6510633211</v>
      </c>
      <c r="Z68" s="36">
        <v>6510633211</v>
      </c>
    </row>
    <row r="69" spans="1:26" ht="18" customHeight="1">
      <c r="A69" s="3">
        <v>67</v>
      </c>
      <c r="B69" s="3">
        <v>6410403232</v>
      </c>
      <c r="C69" s="4" t="s">
        <v>29</v>
      </c>
      <c r="D69" s="4" t="s">
        <v>220</v>
      </c>
      <c r="E69" s="4" t="s">
        <v>221</v>
      </c>
      <c r="F69" s="4" t="s">
        <v>222</v>
      </c>
      <c r="G69" s="4" t="s">
        <v>26</v>
      </c>
      <c r="H69" s="4" t="s">
        <v>134</v>
      </c>
      <c r="I69" s="3">
        <v>3</v>
      </c>
      <c r="J69" s="44" t="str">
        <f t="shared" si="9"/>
        <v>0</v>
      </c>
      <c r="K69" s="54" t="str">
        <f t="shared" si="10"/>
        <v>1</v>
      </c>
      <c r="L69" s="69" t="str">
        <f t="shared" si="11"/>
        <v>0</v>
      </c>
      <c r="M69" s="74" t="str">
        <f t="shared" si="12"/>
        <v>1</v>
      </c>
      <c r="N69" s="29" t="str">
        <f t="shared" si="13"/>
        <v>0</v>
      </c>
      <c r="O69" s="61" t="str">
        <f t="shared" ca="1" si="14"/>
        <v>1</v>
      </c>
      <c r="P69" s="65" t="str">
        <f t="shared" si="15"/>
        <v>1</v>
      </c>
      <c r="Q69" s="46">
        <f t="shared" ca="1" si="17"/>
        <v>4</v>
      </c>
      <c r="R69" s="83" t="str">
        <f t="shared" ca="1" si="16"/>
        <v>ผ่าน</v>
      </c>
      <c r="S69" s="3" t="s">
        <v>28</v>
      </c>
      <c r="T69" s="32">
        <v>6410633119</v>
      </c>
      <c r="U69" s="50">
        <v>6410633201</v>
      </c>
      <c r="V69" s="36">
        <v>6510392124</v>
      </c>
      <c r="W69" s="36">
        <v>6512798123</v>
      </c>
      <c r="X69" s="59">
        <v>6610633223</v>
      </c>
      <c r="Y69" s="40">
        <f ca="1">IFERROR(__xludf.DUMMYFUNCTION("""COMPUTED_VALUE"""),6510633224)</f>
        <v>6510633224</v>
      </c>
      <c r="Z69" s="36">
        <v>6410488206</v>
      </c>
    </row>
    <row r="70" spans="1:26" ht="18" customHeight="1">
      <c r="A70" s="3">
        <v>68</v>
      </c>
      <c r="B70" s="3">
        <v>6310403107</v>
      </c>
      <c r="C70" s="4" t="s">
        <v>29</v>
      </c>
      <c r="D70" s="4" t="s">
        <v>223</v>
      </c>
      <c r="E70" s="4" t="s">
        <v>224</v>
      </c>
      <c r="F70" s="4" t="s">
        <v>190</v>
      </c>
      <c r="G70" s="4" t="s">
        <v>26</v>
      </c>
      <c r="H70" s="4" t="s">
        <v>134</v>
      </c>
      <c r="I70" s="3">
        <v>4</v>
      </c>
      <c r="J70" s="45" t="str">
        <f t="shared" si="9"/>
        <v>1</v>
      </c>
      <c r="K70" s="54" t="str">
        <f t="shared" si="10"/>
        <v>1</v>
      </c>
      <c r="L70" s="69" t="str">
        <f t="shared" si="11"/>
        <v>0</v>
      </c>
      <c r="M70" s="74" t="str">
        <f t="shared" si="12"/>
        <v>1</v>
      </c>
      <c r="N70" s="29" t="str">
        <f t="shared" si="13"/>
        <v>0</v>
      </c>
      <c r="O70" s="61">
        <v>1</v>
      </c>
      <c r="P70" s="65">
        <v>1</v>
      </c>
      <c r="Q70" s="46">
        <f t="shared" si="17"/>
        <v>5</v>
      </c>
      <c r="R70" s="83" t="str">
        <f t="shared" si="16"/>
        <v>ผ่าน</v>
      </c>
      <c r="S70" s="3" t="s">
        <v>28</v>
      </c>
      <c r="T70" s="32">
        <v>6512247127</v>
      </c>
      <c r="U70" s="50">
        <v>6410633229</v>
      </c>
      <c r="V70" s="36">
        <v>6510392117</v>
      </c>
      <c r="W70" s="36">
        <v>6512798105</v>
      </c>
      <c r="X70" s="59">
        <v>6510392215</v>
      </c>
      <c r="Y70" s="41">
        <f ca="1">IFERROR(__xludf.DUMMYFUNCTION("""COMPUTED_VALUE"""),6510633227)</f>
        <v>6510633227</v>
      </c>
      <c r="Z70" s="36">
        <v>6412743150</v>
      </c>
    </row>
    <row r="71" spans="1:26" ht="18" customHeight="1">
      <c r="A71" s="3">
        <v>69</v>
      </c>
      <c r="B71" s="3">
        <v>6310403120</v>
      </c>
      <c r="C71" s="4" t="s">
        <v>29</v>
      </c>
      <c r="D71" s="4" t="s">
        <v>225</v>
      </c>
      <c r="E71" s="4" t="s">
        <v>226</v>
      </c>
      <c r="F71" s="4" t="s">
        <v>227</v>
      </c>
      <c r="G71" s="4" t="s">
        <v>26</v>
      </c>
      <c r="H71" s="4" t="s">
        <v>134</v>
      </c>
      <c r="I71" s="3">
        <v>4</v>
      </c>
      <c r="J71" s="45" t="str">
        <f t="shared" si="9"/>
        <v>1</v>
      </c>
      <c r="K71" s="54" t="str">
        <f t="shared" si="10"/>
        <v>1</v>
      </c>
      <c r="L71" s="69" t="str">
        <f t="shared" si="11"/>
        <v>0</v>
      </c>
      <c r="M71" s="74" t="str">
        <f t="shared" si="12"/>
        <v>1</v>
      </c>
      <c r="N71" s="29" t="str">
        <f t="shared" si="13"/>
        <v>0</v>
      </c>
      <c r="O71" s="61">
        <v>1</v>
      </c>
      <c r="P71" s="65">
        <v>1</v>
      </c>
      <c r="Q71" s="46">
        <f t="shared" si="17"/>
        <v>5</v>
      </c>
      <c r="R71" s="83" t="str">
        <f t="shared" si="16"/>
        <v>ผ่าน</v>
      </c>
      <c r="S71" s="3" t="s">
        <v>28</v>
      </c>
      <c r="T71" s="32">
        <v>6510633125</v>
      </c>
      <c r="U71" s="50">
        <v>6410633111</v>
      </c>
      <c r="V71" s="36">
        <v>6510392128</v>
      </c>
      <c r="W71" s="36">
        <v>6511506224</v>
      </c>
      <c r="X71" s="59">
        <v>6510392124</v>
      </c>
      <c r="Y71" s="40">
        <f ca="1">IFERROR(__xludf.DUMMYFUNCTION("""COMPUTED_VALUE"""),6510633230)</f>
        <v>6510633230</v>
      </c>
      <c r="Z71" s="36">
        <v>6410488125</v>
      </c>
    </row>
    <row r="72" spans="1:26" ht="18" customHeight="1">
      <c r="A72" s="3">
        <v>70</v>
      </c>
      <c r="B72" s="3">
        <v>6310403124</v>
      </c>
      <c r="C72" s="4" t="s">
        <v>29</v>
      </c>
      <c r="D72" s="4" t="s">
        <v>228</v>
      </c>
      <c r="E72" s="4" t="s">
        <v>229</v>
      </c>
      <c r="F72" s="4" t="s">
        <v>230</v>
      </c>
      <c r="G72" s="4" t="s">
        <v>26</v>
      </c>
      <c r="H72" s="4" t="s">
        <v>134</v>
      </c>
      <c r="I72" s="3">
        <v>4</v>
      </c>
      <c r="J72" s="45" t="str">
        <f t="shared" si="9"/>
        <v>1</v>
      </c>
      <c r="K72" s="54" t="str">
        <f t="shared" si="10"/>
        <v>1</v>
      </c>
      <c r="L72" s="69" t="str">
        <f t="shared" si="11"/>
        <v>0</v>
      </c>
      <c r="M72" s="74" t="str">
        <f t="shared" si="12"/>
        <v>1</v>
      </c>
      <c r="N72" s="29" t="str">
        <f t="shared" si="13"/>
        <v>0</v>
      </c>
      <c r="O72" s="61">
        <v>1</v>
      </c>
      <c r="P72" s="65">
        <v>1</v>
      </c>
      <c r="Q72" s="46">
        <f t="shared" si="17"/>
        <v>5</v>
      </c>
      <c r="R72" s="83" t="str">
        <f t="shared" si="16"/>
        <v>ผ่าน</v>
      </c>
      <c r="S72" s="3" t="s">
        <v>28</v>
      </c>
      <c r="T72" s="32">
        <v>6410488102</v>
      </c>
      <c r="U72" s="50">
        <v>6412798127</v>
      </c>
      <c r="V72" s="36">
        <v>6510079211</v>
      </c>
      <c r="W72" s="36">
        <v>6512798102</v>
      </c>
      <c r="X72" s="59"/>
      <c r="Y72" s="41">
        <f ca="1">IFERROR(__xludf.DUMMYFUNCTION("""COMPUTED_VALUE"""),6510488204)</f>
        <v>6510488204</v>
      </c>
      <c r="Z72" s="36">
        <v>6410633120</v>
      </c>
    </row>
    <row r="73" spans="1:26" ht="18" customHeight="1">
      <c r="A73" s="3">
        <v>71</v>
      </c>
      <c r="B73" s="3">
        <v>6310403125</v>
      </c>
      <c r="C73" s="4" t="s">
        <v>29</v>
      </c>
      <c r="D73" s="4" t="s">
        <v>231</v>
      </c>
      <c r="E73" s="4" t="s">
        <v>232</v>
      </c>
      <c r="F73" s="4" t="s">
        <v>233</v>
      </c>
      <c r="G73" s="4" t="s">
        <v>26</v>
      </c>
      <c r="H73" s="4" t="s">
        <v>134</v>
      </c>
      <c r="I73" s="3">
        <v>4</v>
      </c>
      <c r="J73" s="45" t="str">
        <f t="shared" si="9"/>
        <v>1</v>
      </c>
      <c r="K73" s="54">
        <v>1</v>
      </c>
      <c r="L73" s="69" t="str">
        <f t="shared" si="11"/>
        <v>0</v>
      </c>
      <c r="M73" s="74" t="str">
        <f t="shared" si="12"/>
        <v>1</v>
      </c>
      <c r="N73" s="29" t="str">
        <f t="shared" si="13"/>
        <v>0</v>
      </c>
      <c r="O73" s="61" t="str">
        <f t="shared" ca="1" si="14"/>
        <v>1</v>
      </c>
      <c r="P73" s="65" t="str">
        <f t="shared" si="15"/>
        <v>1</v>
      </c>
      <c r="Q73" s="46">
        <f t="shared" ca="1" si="17"/>
        <v>5</v>
      </c>
      <c r="R73" s="83" t="str">
        <f t="shared" ca="1" si="16"/>
        <v>ผ่าน</v>
      </c>
      <c r="S73" s="3" t="s">
        <v>28</v>
      </c>
      <c r="T73" s="32">
        <v>6610488114</v>
      </c>
      <c r="U73" s="50">
        <v>6412798114</v>
      </c>
      <c r="V73" s="36">
        <v>6515964105</v>
      </c>
      <c r="W73" s="36">
        <v>6512798103</v>
      </c>
      <c r="X73" s="59">
        <v>6412269125</v>
      </c>
      <c r="Y73" s="40">
        <f ca="1">IFERROR(__xludf.DUMMYFUNCTION("""COMPUTED_VALUE"""),6512247114)</f>
        <v>6512247114</v>
      </c>
      <c r="Z73" s="36">
        <v>6412743239</v>
      </c>
    </row>
    <row r="74" spans="1:26" ht="18" customHeight="1">
      <c r="A74" s="3">
        <v>72</v>
      </c>
      <c r="B74" s="3">
        <v>6310403127</v>
      </c>
      <c r="C74" s="4" t="s">
        <v>29</v>
      </c>
      <c r="D74" s="4" t="s">
        <v>234</v>
      </c>
      <c r="E74" s="4" t="s">
        <v>235</v>
      </c>
      <c r="F74" s="4" t="s">
        <v>236</v>
      </c>
      <c r="G74" s="4" t="s">
        <v>26</v>
      </c>
      <c r="H74" s="4" t="s">
        <v>134</v>
      </c>
      <c r="I74" s="3">
        <v>4</v>
      </c>
      <c r="J74" s="45" t="str">
        <f t="shared" si="9"/>
        <v>1</v>
      </c>
      <c r="K74" s="54">
        <v>1</v>
      </c>
      <c r="L74" s="69" t="str">
        <f t="shared" si="11"/>
        <v>0</v>
      </c>
      <c r="M74" s="74" t="str">
        <f t="shared" si="12"/>
        <v>1</v>
      </c>
      <c r="N74" s="29" t="str">
        <f t="shared" si="13"/>
        <v>0</v>
      </c>
      <c r="O74" s="61" t="str">
        <f t="shared" ca="1" si="14"/>
        <v>1</v>
      </c>
      <c r="P74" s="65" t="str">
        <f t="shared" si="15"/>
        <v>1</v>
      </c>
      <c r="Q74" s="46">
        <f t="shared" ca="1" si="17"/>
        <v>5</v>
      </c>
      <c r="R74" s="83" t="str">
        <f t="shared" ca="1" si="16"/>
        <v>ผ่าน</v>
      </c>
      <c r="S74" s="3" t="s">
        <v>28</v>
      </c>
      <c r="T74" s="32">
        <v>6410633230</v>
      </c>
      <c r="U74" s="50">
        <v>6412798118</v>
      </c>
      <c r="V74" s="36">
        <v>6515964112</v>
      </c>
      <c r="W74" s="36">
        <v>6512798132</v>
      </c>
      <c r="X74" s="59">
        <v>6412269124</v>
      </c>
      <c r="Y74" s="41">
        <f ca="1">IFERROR(__xludf.DUMMYFUNCTION("""COMPUTED_VALUE"""),6512247127)</f>
        <v>6512247127</v>
      </c>
      <c r="Z74" s="36">
        <v>6410488224</v>
      </c>
    </row>
    <row r="75" spans="1:26" ht="18" customHeight="1">
      <c r="A75" s="3">
        <v>73</v>
      </c>
      <c r="B75" s="3">
        <v>6310403303</v>
      </c>
      <c r="C75" s="4" t="s">
        <v>29</v>
      </c>
      <c r="D75" s="4" t="s">
        <v>237</v>
      </c>
      <c r="E75" s="4" t="s">
        <v>238</v>
      </c>
      <c r="F75" s="4" t="s">
        <v>239</v>
      </c>
      <c r="G75" s="4" t="s">
        <v>26</v>
      </c>
      <c r="H75" s="4" t="s">
        <v>134</v>
      </c>
      <c r="I75" s="3">
        <v>4</v>
      </c>
      <c r="J75" s="45" t="str">
        <f t="shared" si="9"/>
        <v>1</v>
      </c>
      <c r="K75" s="54">
        <v>1</v>
      </c>
      <c r="L75" s="69" t="str">
        <f t="shared" si="11"/>
        <v>0</v>
      </c>
      <c r="M75" s="74" t="str">
        <f t="shared" si="12"/>
        <v>1</v>
      </c>
      <c r="N75" s="29" t="str">
        <f t="shared" si="13"/>
        <v>0</v>
      </c>
      <c r="O75" s="61" t="str">
        <f t="shared" ca="1" si="14"/>
        <v>1</v>
      </c>
      <c r="P75" s="65">
        <v>1</v>
      </c>
      <c r="Q75" s="46">
        <f t="shared" ca="1" si="17"/>
        <v>5</v>
      </c>
      <c r="R75" s="83" t="str">
        <f t="shared" ca="1" si="16"/>
        <v>ผ่าน</v>
      </c>
      <c r="S75" s="3" t="s">
        <v>28</v>
      </c>
      <c r="T75" s="32">
        <v>6310403124</v>
      </c>
      <c r="U75" s="50">
        <v>6412798125</v>
      </c>
      <c r="V75" s="36">
        <v>6515964107</v>
      </c>
      <c r="W75" s="36">
        <v>6512798152</v>
      </c>
      <c r="X75" s="59">
        <v>6412269126</v>
      </c>
      <c r="Y75" s="40">
        <f ca="1">IFERROR(__xludf.DUMMYFUNCTION("""COMPUTED_VALUE"""),6512247130)</f>
        <v>6512247130</v>
      </c>
      <c r="Z75" s="36">
        <v>6410403224</v>
      </c>
    </row>
    <row r="76" spans="1:26" ht="18" customHeight="1">
      <c r="A76" s="3">
        <v>74</v>
      </c>
      <c r="B76" s="3">
        <v>6310403310</v>
      </c>
      <c r="C76" s="4" t="s">
        <v>29</v>
      </c>
      <c r="D76" s="4" t="s">
        <v>240</v>
      </c>
      <c r="E76" s="4" t="s">
        <v>241</v>
      </c>
      <c r="F76" s="4" t="s">
        <v>242</v>
      </c>
      <c r="G76" s="4" t="s">
        <v>26</v>
      </c>
      <c r="H76" s="4" t="s">
        <v>134</v>
      </c>
      <c r="I76" s="3">
        <v>4</v>
      </c>
      <c r="J76" s="45" t="str">
        <f t="shared" si="9"/>
        <v>1</v>
      </c>
      <c r="K76" s="54">
        <v>1</v>
      </c>
      <c r="L76" s="69" t="str">
        <f t="shared" si="11"/>
        <v>0</v>
      </c>
      <c r="M76" s="74" t="str">
        <f t="shared" si="12"/>
        <v>1</v>
      </c>
      <c r="N76" s="29" t="str">
        <f t="shared" si="13"/>
        <v>0</v>
      </c>
      <c r="O76" s="61">
        <v>1</v>
      </c>
      <c r="P76" s="65" t="str">
        <f t="shared" si="15"/>
        <v>1</v>
      </c>
      <c r="Q76" s="46">
        <f t="shared" si="17"/>
        <v>5</v>
      </c>
      <c r="R76" s="83" t="str">
        <f t="shared" si="16"/>
        <v>ผ่าน</v>
      </c>
      <c r="S76" s="3" t="s">
        <v>28</v>
      </c>
      <c r="T76" s="32">
        <v>6410048260</v>
      </c>
      <c r="U76" s="50">
        <v>6410106215</v>
      </c>
      <c r="V76" s="36">
        <v>6515964125</v>
      </c>
      <c r="W76" s="36">
        <v>6512798138</v>
      </c>
      <c r="X76" s="59">
        <v>6412269121</v>
      </c>
      <c r="Y76" s="41">
        <f ca="1">IFERROR(__xludf.DUMMYFUNCTION("""COMPUTED_VALUE"""),6512247224)</f>
        <v>6512247224</v>
      </c>
      <c r="Z76" s="36">
        <v>6410083111</v>
      </c>
    </row>
    <row r="77" spans="1:26" ht="18" customHeight="1">
      <c r="A77" s="3">
        <v>75</v>
      </c>
      <c r="B77" s="3">
        <v>6310403311</v>
      </c>
      <c r="C77" s="4" t="s">
        <v>29</v>
      </c>
      <c r="D77" s="4" t="s">
        <v>243</v>
      </c>
      <c r="E77" s="4" t="s">
        <v>244</v>
      </c>
      <c r="F77" s="4" t="s">
        <v>245</v>
      </c>
      <c r="G77" s="4" t="s">
        <v>26</v>
      </c>
      <c r="H77" s="4" t="s">
        <v>134</v>
      </c>
      <c r="I77" s="3">
        <v>4</v>
      </c>
      <c r="J77" s="45" t="str">
        <f t="shared" si="9"/>
        <v>1</v>
      </c>
      <c r="K77" s="54" t="str">
        <f t="shared" si="10"/>
        <v>1</v>
      </c>
      <c r="L77" s="69" t="str">
        <f t="shared" si="11"/>
        <v>0</v>
      </c>
      <c r="M77" s="74" t="str">
        <f t="shared" si="12"/>
        <v>0</v>
      </c>
      <c r="N77" s="29" t="str">
        <f t="shared" si="13"/>
        <v>0</v>
      </c>
      <c r="O77" s="61">
        <v>1</v>
      </c>
      <c r="P77" s="65">
        <v>1</v>
      </c>
      <c r="Q77" s="46">
        <f t="shared" si="17"/>
        <v>4</v>
      </c>
      <c r="R77" s="83" t="str">
        <f t="shared" si="16"/>
        <v>ผ่าน</v>
      </c>
      <c r="S77" s="3" t="s">
        <v>28</v>
      </c>
      <c r="T77" s="32">
        <v>6510488225</v>
      </c>
      <c r="U77" s="50">
        <v>6412866222</v>
      </c>
      <c r="V77" s="36">
        <v>6512888117</v>
      </c>
      <c r="W77" s="36">
        <v>6512798109</v>
      </c>
      <c r="X77" s="59">
        <v>6412269112</v>
      </c>
      <c r="Y77" s="40">
        <f ca="1">IFERROR(__xludf.DUMMYFUNCTION("""COMPUTED_VALUE"""),6512258120)</f>
        <v>6512258120</v>
      </c>
      <c r="Z77" s="36">
        <v>6412743241</v>
      </c>
    </row>
    <row r="78" spans="1:26" ht="18" customHeight="1">
      <c r="A78" s="3">
        <v>76</v>
      </c>
      <c r="B78" s="3">
        <v>6310403317</v>
      </c>
      <c r="C78" s="4" t="s">
        <v>29</v>
      </c>
      <c r="D78" s="4" t="s">
        <v>246</v>
      </c>
      <c r="E78" s="4" t="s">
        <v>247</v>
      </c>
      <c r="F78" s="4" t="s">
        <v>248</v>
      </c>
      <c r="G78" s="4" t="s">
        <v>26</v>
      </c>
      <c r="H78" s="4" t="s">
        <v>134</v>
      </c>
      <c r="I78" s="3">
        <v>4</v>
      </c>
      <c r="J78" s="45" t="str">
        <f t="shared" si="9"/>
        <v>1</v>
      </c>
      <c r="K78" s="54" t="str">
        <f t="shared" si="10"/>
        <v>1</v>
      </c>
      <c r="L78" s="69" t="str">
        <f t="shared" si="11"/>
        <v>0</v>
      </c>
      <c r="M78" s="74" t="str">
        <f t="shared" si="12"/>
        <v>0</v>
      </c>
      <c r="N78" s="29" t="str">
        <f t="shared" si="13"/>
        <v>0</v>
      </c>
      <c r="O78" s="61">
        <v>1</v>
      </c>
      <c r="P78" s="65">
        <v>1</v>
      </c>
      <c r="Q78" s="46">
        <f t="shared" si="17"/>
        <v>4</v>
      </c>
      <c r="R78" s="83" t="str">
        <f t="shared" si="16"/>
        <v>ผ่าน</v>
      </c>
      <c r="S78" s="3" t="s">
        <v>28</v>
      </c>
      <c r="T78" s="32">
        <v>6410488204</v>
      </c>
      <c r="U78" s="50">
        <v>6410414224</v>
      </c>
      <c r="V78" s="36">
        <v>6512798123</v>
      </c>
      <c r="W78" s="36">
        <v>6412866221</v>
      </c>
      <c r="X78" s="59">
        <v>6610068113</v>
      </c>
      <c r="Y78" s="41">
        <f ca="1">IFERROR(__xludf.DUMMYFUNCTION("""COMPUTED_VALUE"""),6512798102)</f>
        <v>6512798102</v>
      </c>
      <c r="Z78" s="36">
        <v>6512798107</v>
      </c>
    </row>
    <row r="79" spans="1:26" ht="18" customHeight="1">
      <c r="A79" s="3">
        <v>77</v>
      </c>
      <c r="B79" s="3">
        <v>6310403326</v>
      </c>
      <c r="C79" s="4" t="s">
        <v>29</v>
      </c>
      <c r="D79" s="4" t="s">
        <v>249</v>
      </c>
      <c r="E79" s="4" t="s">
        <v>250</v>
      </c>
      <c r="F79" s="4" t="s">
        <v>251</v>
      </c>
      <c r="G79" s="4" t="s">
        <v>26</v>
      </c>
      <c r="H79" s="4" t="s">
        <v>134</v>
      </c>
      <c r="I79" s="3">
        <v>4</v>
      </c>
      <c r="J79" s="45" t="str">
        <f t="shared" si="9"/>
        <v>1</v>
      </c>
      <c r="K79" s="54">
        <v>1</v>
      </c>
      <c r="L79" s="69" t="str">
        <f t="shared" si="11"/>
        <v>0</v>
      </c>
      <c r="M79" s="74" t="str">
        <f t="shared" si="12"/>
        <v>0</v>
      </c>
      <c r="N79" s="29" t="str">
        <f t="shared" si="13"/>
        <v>0</v>
      </c>
      <c r="O79" s="61">
        <v>1</v>
      </c>
      <c r="P79" s="65">
        <v>1</v>
      </c>
      <c r="Q79" s="46">
        <f t="shared" si="17"/>
        <v>4</v>
      </c>
      <c r="R79" s="83" t="str">
        <f t="shared" si="16"/>
        <v>ผ่าน</v>
      </c>
      <c r="S79" s="3" t="s">
        <v>28</v>
      </c>
      <c r="T79" s="32">
        <v>6410106121</v>
      </c>
      <c r="U79" s="50">
        <v>6410414122</v>
      </c>
      <c r="V79" s="36">
        <v>6512798103</v>
      </c>
      <c r="W79" s="36">
        <v>6511506128</v>
      </c>
      <c r="X79" s="59">
        <v>6610068102</v>
      </c>
      <c r="Y79" s="40">
        <f ca="1">IFERROR(__xludf.DUMMYFUNCTION("""COMPUTED_VALUE"""),6512798103)</f>
        <v>6512798103</v>
      </c>
      <c r="Z79" s="36">
        <v>6512798132</v>
      </c>
    </row>
    <row r="80" spans="1:26" ht="18" customHeight="1">
      <c r="A80" s="3">
        <v>78</v>
      </c>
      <c r="B80" s="3">
        <v>6312325110</v>
      </c>
      <c r="C80" s="4" t="s">
        <v>29</v>
      </c>
      <c r="D80" s="4" t="s">
        <v>252</v>
      </c>
      <c r="E80" s="4" t="s">
        <v>253</v>
      </c>
      <c r="F80" s="4" t="s">
        <v>254</v>
      </c>
      <c r="G80" s="4" t="s">
        <v>26</v>
      </c>
      <c r="H80" s="4" t="s">
        <v>255</v>
      </c>
      <c r="I80" s="3">
        <v>4</v>
      </c>
      <c r="J80" s="45" t="str">
        <f t="shared" si="9"/>
        <v>1</v>
      </c>
      <c r="K80" s="54">
        <v>1</v>
      </c>
      <c r="L80" s="69" t="str">
        <f t="shared" si="11"/>
        <v>0</v>
      </c>
      <c r="M80" s="74" t="str">
        <f t="shared" si="12"/>
        <v>0</v>
      </c>
      <c r="N80" s="29" t="str">
        <f t="shared" si="13"/>
        <v>0</v>
      </c>
      <c r="O80" s="61">
        <v>1</v>
      </c>
      <c r="P80" s="65">
        <v>1</v>
      </c>
      <c r="Q80" s="46">
        <f t="shared" si="17"/>
        <v>4</v>
      </c>
      <c r="R80" s="83" t="str">
        <f t="shared" si="16"/>
        <v>ผ่าน</v>
      </c>
      <c r="S80" s="3" t="s">
        <v>28</v>
      </c>
      <c r="T80" s="32">
        <v>6610488210</v>
      </c>
      <c r="U80" s="50">
        <v>6410414211</v>
      </c>
      <c r="V80" s="36">
        <v>6512798152</v>
      </c>
      <c r="W80" s="36">
        <v>6511506115</v>
      </c>
      <c r="X80" s="59">
        <v>6610068224</v>
      </c>
      <c r="Y80" s="41">
        <f ca="1">IFERROR(__xludf.DUMMYFUNCTION("""COMPUTED_VALUE"""),6512798105)</f>
        <v>6512798105</v>
      </c>
      <c r="Z80" s="36">
        <v>6410403206</v>
      </c>
    </row>
    <row r="81" spans="1:26" ht="18" customHeight="1">
      <c r="A81" s="3">
        <v>79</v>
      </c>
      <c r="B81" s="3">
        <v>6412325114</v>
      </c>
      <c r="C81" s="4" t="s">
        <v>29</v>
      </c>
      <c r="D81" s="4" t="s">
        <v>256</v>
      </c>
      <c r="E81" s="4" t="s">
        <v>257</v>
      </c>
      <c r="F81" s="4" t="s">
        <v>258</v>
      </c>
      <c r="G81" s="4" t="s">
        <v>26</v>
      </c>
      <c r="H81" s="4" t="s">
        <v>259</v>
      </c>
      <c r="I81" s="3">
        <v>3</v>
      </c>
      <c r="J81" s="44" t="str">
        <f t="shared" si="9"/>
        <v>0</v>
      </c>
      <c r="K81" s="54">
        <v>1</v>
      </c>
      <c r="L81" s="69" t="str">
        <f t="shared" si="11"/>
        <v>0</v>
      </c>
      <c r="M81" s="74" t="str">
        <f t="shared" si="12"/>
        <v>0</v>
      </c>
      <c r="N81" s="29" t="str">
        <f t="shared" si="13"/>
        <v>0</v>
      </c>
      <c r="O81" s="61" t="str">
        <f t="shared" ca="1" si="14"/>
        <v>0</v>
      </c>
      <c r="P81" s="65" t="str">
        <f t="shared" si="15"/>
        <v>0</v>
      </c>
      <c r="Q81" s="46">
        <f t="shared" ca="1" si="17"/>
        <v>1</v>
      </c>
      <c r="R81" s="3" t="str">
        <f t="shared" ca="1" si="16"/>
        <v>ไม่ผ่าน</v>
      </c>
      <c r="S81" s="3" t="s">
        <v>28</v>
      </c>
      <c r="T81" s="32">
        <v>6310633129</v>
      </c>
      <c r="U81" s="50">
        <v>6410403204</v>
      </c>
      <c r="V81" s="36">
        <v>6512798109</v>
      </c>
      <c r="W81" s="36">
        <v>6410403206</v>
      </c>
      <c r="X81" s="59">
        <v>6610068127</v>
      </c>
      <c r="Y81" s="40">
        <f ca="1">IFERROR(__xludf.DUMMYFUNCTION("""COMPUTED_VALUE"""),6512798107)</f>
        <v>6512798107</v>
      </c>
      <c r="Z81" s="36">
        <v>6610073102</v>
      </c>
    </row>
    <row r="82" spans="1:26" ht="18" customHeight="1">
      <c r="A82" s="3">
        <v>80</v>
      </c>
      <c r="B82" s="3">
        <v>6312325102</v>
      </c>
      <c r="C82" s="4" t="s">
        <v>22</v>
      </c>
      <c r="D82" s="4" t="s">
        <v>260</v>
      </c>
      <c r="E82" s="4" t="s">
        <v>261</v>
      </c>
      <c r="F82" s="4" t="s">
        <v>262</v>
      </c>
      <c r="G82" s="4" t="s">
        <v>26</v>
      </c>
      <c r="H82" s="4" t="s">
        <v>259</v>
      </c>
      <c r="I82" s="3">
        <v>4</v>
      </c>
      <c r="J82" s="44" t="str">
        <f t="shared" si="9"/>
        <v>0</v>
      </c>
      <c r="K82" s="54" t="str">
        <f t="shared" si="10"/>
        <v>1</v>
      </c>
      <c r="L82" s="69" t="str">
        <f t="shared" si="11"/>
        <v>0</v>
      </c>
      <c r="M82" s="74" t="str">
        <f t="shared" si="12"/>
        <v>1</v>
      </c>
      <c r="N82" s="29" t="str">
        <f t="shared" si="13"/>
        <v>0</v>
      </c>
      <c r="O82" s="61">
        <v>1</v>
      </c>
      <c r="P82" s="65">
        <v>1</v>
      </c>
      <c r="Q82" s="46">
        <f t="shared" si="17"/>
        <v>4</v>
      </c>
      <c r="R82" s="83" t="str">
        <f t="shared" si="16"/>
        <v>ผ่าน</v>
      </c>
      <c r="S82" s="3" t="s">
        <v>28</v>
      </c>
      <c r="T82" s="32">
        <v>6410048103</v>
      </c>
      <c r="U82" s="50">
        <v>6410633211</v>
      </c>
      <c r="V82" s="36">
        <v>6512798102</v>
      </c>
      <c r="W82" s="36">
        <v>6512798113</v>
      </c>
      <c r="X82" s="59">
        <v>6610068124</v>
      </c>
      <c r="Y82" s="41">
        <f ca="1">IFERROR(__xludf.DUMMYFUNCTION("""COMPUTED_VALUE"""),6512798109)</f>
        <v>6512798109</v>
      </c>
      <c r="Z82" s="36">
        <v>6410106114</v>
      </c>
    </row>
    <row r="83" spans="1:26" ht="18" customHeight="1">
      <c r="A83" s="3">
        <v>81</v>
      </c>
      <c r="B83" s="3">
        <v>6312325103</v>
      </c>
      <c r="C83" s="4" t="s">
        <v>22</v>
      </c>
      <c r="D83" s="4" t="s">
        <v>263</v>
      </c>
      <c r="E83" s="4" t="s">
        <v>264</v>
      </c>
      <c r="F83" s="4" t="s">
        <v>265</v>
      </c>
      <c r="G83" s="4" t="s">
        <v>26</v>
      </c>
      <c r="H83" s="4" t="s">
        <v>259</v>
      </c>
      <c r="I83" s="3">
        <v>4</v>
      </c>
      <c r="J83" s="44" t="str">
        <f t="shared" si="9"/>
        <v>0</v>
      </c>
      <c r="K83" s="54">
        <v>1</v>
      </c>
      <c r="L83" s="69" t="str">
        <f t="shared" si="11"/>
        <v>0</v>
      </c>
      <c r="M83" s="74" t="str">
        <f t="shared" si="12"/>
        <v>1</v>
      </c>
      <c r="N83" s="29" t="str">
        <f t="shared" si="13"/>
        <v>0</v>
      </c>
      <c r="O83" s="61">
        <v>1</v>
      </c>
      <c r="P83" s="65">
        <v>1</v>
      </c>
      <c r="Q83" s="46">
        <f t="shared" si="17"/>
        <v>4</v>
      </c>
      <c r="R83" s="83" t="str">
        <f t="shared" si="16"/>
        <v>ผ่าน</v>
      </c>
      <c r="S83" s="3" t="s">
        <v>28</v>
      </c>
      <c r="T83" s="32">
        <v>6410073117</v>
      </c>
      <c r="U83" s="50">
        <v>6410403228</v>
      </c>
      <c r="V83" s="36">
        <v>6512798113</v>
      </c>
      <c r="W83" s="36">
        <v>6412743150</v>
      </c>
      <c r="X83" s="59">
        <v>6412798127</v>
      </c>
      <c r="Y83" s="40">
        <f ca="1">IFERROR(__xludf.DUMMYFUNCTION("""COMPUTED_VALUE"""),6512798112)</f>
        <v>6512798112</v>
      </c>
      <c r="Z83" s="36">
        <v>6410488118</v>
      </c>
    </row>
    <row r="84" spans="1:26" ht="18" customHeight="1">
      <c r="A84" s="3">
        <v>82</v>
      </c>
      <c r="B84" s="3">
        <v>6312325104</v>
      </c>
      <c r="C84" s="4" t="s">
        <v>22</v>
      </c>
      <c r="D84" s="4" t="s">
        <v>266</v>
      </c>
      <c r="E84" s="4" t="s">
        <v>267</v>
      </c>
      <c r="F84" s="4" t="s">
        <v>22</v>
      </c>
      <c r="G84" s="4" t="s">
        <v>26</v>
      </c>
      <c r="H84" s="4" t="s">
        <v>259</v>
      </c>
      <c r="I84" s="3">
        <v>4</v>
      </c>
      <c r="J84" s="44" t="str">
        <f t="shared" si="9"/>
        <v>0</v>
      </c>
      <c r="K84" s="54">
        <v>1</v>
      </c>
      <c r="L84" s="69" t="str">
        <f t="shared" si="11"/>
        <v>0</v>
      </c>
      <c r="M84" s="74" t="str">
        <f t="shared" si="12"/>
        <v>1</v>
      </c>
      <c r="N84" s="29" t="str">
        <f t="shared" si="13"/>
        <v>0</v>
      </c>
      <c r="O84" s="61">
        <v>1</v>
      </c>
      <c r="P84" s="65">
        <v>1</v>
      </c>
      <c r="Q84" s="46">
        <f t="shared" si="17"/>
        <v>4</v>
      </c>
      <c r="R84" s="83" t="str">
        <f t="shared" si="16"/>
        <v>ผ่าน</v>
      </c>
      <c r="S84" s="3" t="s">
        <v>28</v>
      </c>
      <c r="T84" s="32">
        <v>6410403224</v>
      </c>
      <c r="U84" s="50">
        <v>6410633230</v>
      </c>
      <c r="V84" s="36">
        <v>6512798118</v>
      </c>
      <c r="W84" s="36">
        <v>6510633118</v>
      </c>
      <c r="X84" s="59">
        <v>6412798131</v>
      </c>
      <c r="Y84" s="41">
        <f ca="1">IFERROR(__xludf.DUMMYFUNCTION("""COMPUTED_VALUE"""),6512798113)</f>
        <v>6512798113</v>
      </c>
      <c r="Z84" s="36">
        <v>6510633117</v>
      </c>
    </row>
    <row r="85" spans="1:26" ht="18" customHeight="1">
      <c r="A85" s="3">
        <v>83</v>
      </c>
      <c r="B85" s="3">
        <v>6312325105</v>
      </c>
      <c r="C85" s="4" t="s">
        <v>22</v>
      </c>
      <c r="D85" s="4" t="s">
        <v>268</v>
      </c>
      <c r="E85" s="4" t="s">
        <v>269</v>
      </c>
      <c r="F85" s="4" t="s">
        <v>270</v>
      </c>
      <c r="G85" s="4" t="s">
        <v>26</v>
      </c>
      <c r="H85" s="4" t="s">
        <v>259</v>
      </c>
      <c r="I85" s="3">
        <v>4</v>
      </c>
      <c r="J85" s="44" t="str">
        <f t="shared" si="9"/>
        <v>0</v>
      </c>
      <c r="K85" s="54">
        <v>1</v>
      </c>
      <c r="L85" s="69" t="str">
        <f t="shared" si="11"/>
        <v>0</v>
      </c>
      <c r="M85" s="74" t="str">
        <f t="shared" si="12"/>
        <v>1</v>
      </c>
      <c r="N85" s="29" t="str">
        <f t="shared" si="13"/>
        <v>0</v>
      </c>
      <c r="O85" s="61">
        <v>1</v>
      </c>
      <c r="P85" s="65">
        <v>1</v>
      </c>
      <c r="Q85" s="46">
        <f t="shared" si="17"/>
        <v>4</v>
      </c>
      <c r="R85" s="83" t="str">
        <f t="shared" si="16"/>
        <v>ผ่าน</v>
      </c>
      <c r="S85" s="3" t="s">
        <v>28</v>
      </c>
      <c r="T85" s="32">
        <v>6610488129</v>
      </c>
      <c r="U85" s="50">
        <v>6410633119</v>
      </c>
      <c r="V85" s="36">
        <v>6512798107</v>
      </c>
      <c r="W85" s="36">
        <v>6410403230</v>
      </c>
      <c r="X85" s="59">
        <v>6412798125</v>
      </c>
      <c r="Y85" s="40">
        <f ca="1">IFERROR(__xludf.DUMMYFUNCTION("""COMPUTED_VALUE"""),6512798114)</f>
        <v>6512798114</v>
      </c>
      <c r="Z85" s="36">
        <v>6410068203</v>
      </c>
    </row>
    <row r="86" spans="1:26" ht="18" customHeight="1">
      <c r="A86" s="3">
        <v>84</v>
      </c>
      <c r="B86" s="3">
        <v>6312325106</v>
      </c>
      <c r="C86" s="4" t="s">
        <v>29</v>
      </c>
      <c r="D86" s="4" t="s">
        <v>271</v>
      </c>
      <c r="E86" s="4" t="s">
        <v>272</v>
      </c>
      <c r="F86" s="4" t="s">
        <v>273</v>
      </c>
      <c r="G86" s="4" t="s">
        <v>26</v>
      </c>
      <c r="H86" s="4" t="s">
        <v>259</v>
      </c>
      <c r="I86" s="3">
        <v>4</v>
      </c>
      <c r="J86" s="44" t="str">
        <f t="shared" si="9"/>
        <v>0</v>
      </c>
      <c r="K86" s="54" t="str">
        <f t="shared" si="10"/>
        <v>1</v>
      </c>
      <c r="L86" s="69" t="str">
        <f t="shared" si="11"/>
        <v>0</v>
      </c>
      <c r="M86" s="74" t="str">
        <f t="shared" si="12"/>
        <v>1</v>
      </c>
      <c r="N86" s="29" t="str">
        <f t="shared" si="13"/>
        <v>0</v>
      </c>
      <c r="O86" s="61">
        <v>1</v>
      </c>
      <c r="P86" s="65">
        <v>1</v>
      </c>
      <c r="Q86" s="46">
        <f t="shared" si="17"/>
        <v>4</v>
      </c>
      <c r="R86" s="83" t="str">
        <f t="shared" si="16"/>
        <v>ผ่าน</v>
      </c>
      <c r="S86" s="3" t="s">
        <v>28</v>
      </c>
      <c r="T86" s="32">
        <v>6310488219</v>
      </c>
      <c r="U86" s="50">
        <v>6410403224</v>
      </c>
      <c r="V86" s="36">
        <v>6512798112</v>
      </c>
      <c r="W86" s="36">
        <v>6412743207</v>
      </c>
      <c r="X86" s="59">
        <v>6412798114</v>
      </c>
      <c r="Y86" s="41">
        <f ca="1">IFERROR(__xludf.DUMMYFUNCTION("""COMPUTED_VALUE"""),6512798118)</f>
        <v>6512798118</v>
      </c>
      <c r="Z86" s="36">
        <v>6410059110</v>
      </c>
    </row>
    <row r="87" spans="1:26" ht="18" customHeight="1">
      <c r="A87" s="3">
        <v>85</v>
      </c>
      <c r="B87" s="3">
        <v>6312325107</v>
      </c>
      <c r="C87" s="4" t="s">
        <v>29</v>
      </c>
      <c r="D87" s="4" t="s">
        <v>274</v>
      </c>
      <c r="E87" s="4" t="s">
        <v>275</v>
      </c>
      <c r="F87" s="4" t="s">
        <v>276</v>
      </c>
      <c r="G87" s="4" t="s">
        <v>26</v>
      </c>
      <c r="H87" s="4" t="s">
        <v>259</v>
      </c>
      <c r="I87" s="3">
        <v>4</v>
      </c>
      <c r="J87" s="44" t="str">
        <f t="shared" si="9"/>
        <v>0</v>
      </c>
      <c r="K87" s="54" t="str">
        <f t="shared" si="10"/>
        <v>1</v>
      </c>
      <c r="L87" s="69" t="str">
        <f t="shared" si="11"/>
        <v>0</v>
      </c>
      <c r="M87" s="74" t="str">
        <f t="shared" si="12"/>
        <v>1</v>
      </c>
      <c r="N87" s="29" t="str">
        <f t="shared" si="13"/>
        <v>0</v>
      </c>
      <c r="O87" s="61">
        <v>1</v>
      </c>
      <c r="P87" s="65">
        <v>1</v>
      </c>
      <c r="Q87" s="46">
        <f t="shared" si="17"/>
        <v>4</v>
      </c>
      <c r="R87" s="83" t="str">
        <f t="shared" si="16"/>
        <v>ผ่าน</v>
      </c>
      <c r="S87" s="3" t="s">
        <v>28</v>
      </c>
      <c r="T87" s="32">
        <v>6310392217</v>
      </c>
      <c r="U87" s="50">
        <v>6410633124</v>
      </c>
      <c r="V87" s="36">
        <v>6510106136</v>
      </c>
      <c r="W87" s="36">
        <v>6510633125</v>
      </c>
      <c r="X87" s="59">
        <v>6412798118</v>
      </c>
      <c r="Y87" s="40">
        <f ca="1">IFERROR(__xludf.DUMMYFUNCTION("""COMPUTED_VALUE"""),6512798123)</f>
        <v>6512798123</v>
      </c>
      <c r="Z87" s="36">
        <v>6410073117</v>
      </c>
    </row>
    <row r="88" spans="1:26" ht="18" customHeight="1">
      <c r="A88" s="3">
        <v>86</v>
      </c>
      <c r="B88" s="3">
        <v>6312325113</v>
      </c>
      <c r="C88" s="4" t="s">
        <v>29</v>
      </c>
      <c r="D88" s="4" t="s">
        <v>277</v>
      </c>
      <c r="E88" s="4" t="s">
        <v>278</v>
      </c>
      <c r="F88" s="4" t="s">
        <v>279</v>
      </c>
      <c r="G88" s="4" t="s">
        <v>26</v>
      </c>
      <c r="H88" s="4" t="s">
        <v>259</v>
      </c>
      <c r="I88" s="3">
        <v>4</v>
      </c>
      <c r="J88" s="45" t="str">
        <f t="shared" si="9"/>
        <v>1</v>
      </c>
      <c r="K88" s="54">
        <v>1</v>
      </c>
      <c r="L88" s="69" t="str">
        <f t="shared" si="11"/>
        <v>0</v>
      </c>
      <c r="M88" s="74" t="str">
        <f t="shared" si="12"/>
        <v>1</v>
      </c>
      <c r="N88" s="29" t="str">
        <f t="shared" si="13"/>
        <v>0</v>
      </c>
      <c r="O88" s="61">
        <v>1</v>
      </c>
      <c r="P88" s="65">
        <v>1</v>
      </c>
      <c r="Q88" s="46">
        <f t="shared" si="17"/>
        <v>5</v>
      </c>
      <c r="R88" s="83" t="str">
        <f t="shared" si="16"/>
        <v>ผ่าน</v>
      </c>
      <c r="S88" s="3" t="s">
        <v>28</v>
      </c>
      <c r="T88" s="32">
        <v>6510106102</v>
      </c>
      <c r="U88" s="50">
        <v>6412743206</v>
      </c>
      <c r="V88" s="36">
        <v>6512743224</v>
      </c>
      <c r="W88" s="36">
        <v>6311506124</v>
      </c>
      <c r="X88" s="59">
        <v>6412798106</v>
      </c>
      <c r="Y88" s="41">
        <f ca="1">IFERROR(__xludf.DUMMYFUNCTION("""COMPUTED_VALUE"""),6512798132)</f>
        <v>6512798132</v>
      </c>
      <c r="Z88" s="36">
        <v>6410073101</v>
      </c>
    </row>
    <row r="89" spans="1:26" ht="18" customHeight="1">
      <c r="A89" s="3">
        <v>87</v>
      </c>
      <c r="B89" s="3">
        <v>6312325114</v>
      </c>
      <c r="C89" s="4" t="s">
        <v>22</v>
      </c>
      <c r="D89" s="4" t="s">
        <v>280</v>
      </c>
      <c r="E89" s="4" t="s">
        <v>281</v>
      </c>
      <c r="F89" s="4" t="s">
        <v>282</v>
      </c>
      <c r="G89" s="4" t="s">
        <v>26</v>
      </c>
      <c r="H89" s="4" t="s">
        <v>259</v>
      </c>
      <c r="I89" s="3">
        <v>4</v>
      </c>
      <c r="J89" s="44" t="str">
        <f t="shared" si="9"/>
        <v>0</v>
      </c>
      <c r="K89" s="54">
        <v>1</v>
      </c>
      <c r="L89" s="69" t="str">
        <f t="shared" si="11"/>
        <v>0</v>
      </c>
      <c r="M89" s="74" t="str">
        <f t="shared" si="12"/>
        <v>1</v>
      </c>
      <c r="N89" s="29" t="str">
        <f t="shared" si="13"/>
        <v>0</v>
      </c>
      <c r="O89" s="61">
        <v>1</v>
      </c>
      <c r="P89" s="65">
        <v>1</v>
      </c>
      <c r="Q89" s="46">
        <f t="shared" si="17"/>
        <v>4</v>
      </c>
      <c r="R89" s="83" t="str">
        <f t="shared" si="16"/>
        <v>ผ่าน</v>
      </c>
      <c r="S89" s="3" t="s">
        <v>28</v>
      </c>
      <c r="T89" s="32">
        <v>6410048131</v>
      </c>
      <c r="U89" s="50">
        <v>6410403105</v>
      </c>
      <c r="V89" s="36">
        <v>6512743226</v>
      </c>
      <c r="W89" s="36">
        <v>6410106213</v>
      </c>
      <c r="X89" s="59">
        <v>6412798116</v>
      </c>
      <c r="Y89" s="40">
        <f ca="1">IFERROR(__xludf.DUMMYFUNCTION("""COMPUTED_VALUE"""),6512798138)</f>
        <v>6512798138</v>
      </c>
      <c r="Z89" s="36">
        <v>6610633107</v>
      </c>
    </row>
    <row r="90" spans="1:26" ht="18" customHeight="1">
      <c r="A90" s="3">
        <v>88</v>
      </c>
      <c r="B90" s="3">
        <v>6312325117</v>
      </c>
      <c r="C90" s="4" t="s">
        <v>22</v>
      </c>
      <c r="D90" s="4" t="s">
        <v>283</v>
      </c>
      <c r="E90" s="4" t="s">
        <v>284</v>
      </c>
      <c r="F90" s="4" t="s">
        <v>285</v>
      </c>
      <c r="G90" s="4" t="s">
        <v>26</v>
      </c>
      <c r="H90" s="4" t="s">
        <v>259</v>
      </c>
      <c r="I90" s="3">
        <v>4</v>
      </c>
      <c r="J90" s="44" t="str">
        <f t="shared" si="9"/>
        <v>0</v>
      </c>
      <c r="K90" s="54">
        <v>1</v>
      </c>
      <c r="L90" s="69" t="str">
        <f t="shared" si="11"/>
        <v>0</v>
      </c>
      <c r="M90" s="74" t="str">
        <f t="shared" si="12"/>
        <v>1</v>
      </c>
      <c r="N90" s="29" t="str">
        <f t="shared" si="13"/>
        <v>0</v>
      </c>
      <c r="O90" s="61">
        <v>1</v>
      </c>
      <c r="P90" s="65">
        <v>1</v>
      </c>
      <c r="Q90" s="46">
        <f t="shared" si="17"/>
        <v>4</v>
      </c>
      <c r="R90" s="83" t="str">
        <f t="shared" si="16"/>
        <v>ผ่าน</v>
      </c>
      <c r="S90" s="3" t="s">
        <v>28</v>
      </c>
      <c r="T90" s="32">
        <v>6610633219</v>
      </c>
      <c r="U90" s="50">
        <v>6410633113</v>
      </c>
      <c r="V90" s="36">
        <v>6512743109</v>
      </c>
      <c r="W90" s="36">
        <v>6410106210</v>
      </c>
      <c r="X90" s="59">
        <v>6512247224</v>
      </c>
      <c r="Y90" s="41">
        <f ca="1">IFERROR(__xludf.DUMMYFUNCTION("""COMPUTED_VALUE"""),6512798152)</f>
        <v>6512798152</v>
      </c>
      <c r="Z90" s="36">
        <v>6512798118</v>
      </c>
    </row>
    <row r="91" spans="1:26" ht="18" customHeight="1">
      <c r="A91" s="3">
        <v>89</v>
      </c>
      <c r="B91" s="3">
        <v>6612236114</v>
      </c>
      <c r="C91" s="4" t="s">
        <v>29</v>
      </c>
      <c r="D91" s="4" t="s">
        <v>243</v>
      </c>
      <c r="E91" s="4" t="s">
        <v>286</v>
      </c>
      <c r="F91" s="4" t="s">
        <v>239</v>
      </c>
      <c r="G91" s="4" t="s">
        <v>287</v>
      </c>
      <c r="H91" s="4" t="s">
        <v>288</v>
      </c>
      <c r="I91" s="3">
        <v>1</v>
      </c>
      <c r="J91" s="45" t="str">
        <f t="shared" si="9"/>
        <v>1</v>
      </c>
      <c r="K91" s="54" t="str">
        <f t="shared" si="10"/>
        <v>0</v>
      </c>
      <c r="L91" s="69" t="str">
        <f t="shared" si="11"/>
        <v>1</v>
      </c>
      <c r="M91" s="74" t="str">
        <f t="shared" si="12"/>
        <v>0</v>
      </c>
      <c r="N91" s="29" t="str">
        <f t="shared" si="13"/>
        <v>1</v>
      </c>
      <c r="O91" s="61" t="str">
        <f t="shared" ca="1" si="14"/>
        <v>0</v>
      </c>
      <c r="P91" s="65" t="str">
        <f t="shared" si="15"/>
        <v>1</v>
      </c>
      <c r="Q91" s="46">
        <f t="shared" ca="1" si="17"/>
        <v>4</v>
      </c>
      <c r="R91" s="83" t="str">
        <f t="shared" ca="1" si="16"/>
        <v>ผ่าน</v>
      </c>
      <c r="S91" s="3" t="s">
        <v>28</v>
      </c>
      <c r="T91" s="32">
        <v>6511506215</v>
      </c>
      <c r="U91" s="50">
        <v>6410633120</v>
      </c>
      <c r="V91" s="36">
        <v>6512743215</v>
      </c>
      <c r="W91" s="36">
        <v>6410106225</v>
      </c>
      <c r="X91" s="59">
        <v>6512247127</v>
      </c>
      <c r="Y91" s="40">
        <f ca="1">IFERROR(__xludf.DUMMYFUNCTION("""COMPUTED_VALUE"""),6512743124)</f>
        <v>6512743124</v>
      </c>
      <c r="Z91" s="36">
        <v>6510403215</v>
      </c>
    </row>
    <row r="92" spans="1:26" ht="18" customHeight="1">
      <c r="A92" s="3">
        <v>90</v>
      </c>
      <c r="B92" s="3">
        <v>6612236121</v>
      </c>
      <c r="C92" s="4" t="s">
        <v>29</v>
      </c>
      <c r="D92" s="4" t="s">
        <v>289</v>
      </c>
      <c r="E92" s="4" t="s">
        <v>290</v>
      </c>
      <c r="F92" s="4" t="s">
        <v>291</v>
      </c>
      <c r="G92" s="4" t="s">
        <v>287</v>
      </c>
      <c r="H92" s="4" t="s">
        <v>288</v>
      </c>
      <c r="I92" s="3">
        <v>1</v>
      </c>
      <c r="J92" s="45" t="str">
        <f t="shared" si="9"/>
        <v>1</v>
      </c>
      <c r="K92" s="54" t="str">
        <f t="shared" si="10"/>
        <v>0</v>
      </c>
      <c r="L92" s="69" t="str">
        <f t="shared" si="11"/>
        <v>1</v>
      </c>
      <c r="M92" s="74" t="str">
        <f t="shared" si="12"/>
        <v>1</v>
      </c>
      <c r="N92" s="29" t="str">
        <f t="shared" si="13"/>
        <v>0</v>
      </c>
      <c r="O92" s="61" t="str">
        <f t="shared" ca="1" si="14"/>
        <v>1</v>
      </c>
      <c r="P92" s="65" t="str">
        <f t="shared" si="15"/>
        <v>1</v>
      </c>
      <c r="Q92" s="46">
        <f t="shared" ca="1" si="17"/>
        <v>5</v>
      </c>
      <c r="R92" s="83" t="str">
        <f t="shared" ca="1" si="16"/>
        <v>ผ่าน</v>
      </c>
      <c r="S92" s="3" t="s">
        <v>28</v>
      </c>
      <c r="T92" s="32">
        <v>6612721127</v>
      </c>
      <c r="U92" s="50">
        <v>6410633115</v>
      </c>
      <c r="V92" s="36">
        <v>6510014115</v>
      </c>
      <c r="W92" s="36">
        <v>6410106218</v>
      </c>
      <c r="X92" s="59">
        <v>6512247130</v>
      </c>
      <c r="Y92" s="41">
        <f ca="1">IFERROR(__xludf.DUMMYFUNCTION("""COMPUTED_VALUE"""),6512743215)</f>
        <v>6512743215</v>
      </c>
      <c r="Z92" s="36">
        <v>6515964125</v>
      </c>
    </row>
    <row r="93" spans="1:26" ht="18" customHeight="1">
      <c r="A93" s="3">
        <v>91</v>
      </c>
      <c r="B93" s="3">
        <v>6612236126</v>
      </c>
      <c r="C93" s="4" t="s">
        <v>29</v>
      </c>
      <c r="D93" s="4" t="s">
        <v>292</v>
      </c>
      <c r="E93" s="4" t="s">
        <v>293</v>
      </c>
      <c r="F93" s="4" t="s">
        <v>294</v>
      </c>
      <c r="G93" s="4" t="s">
        <v>287</v>
      </c>
      <c r="H93" s="4" t="s">
        <v>288</v>
      </c>
      <c r="I93" s="3">
        <v>1</v>
      </c>
      <c r="J93" s="45" t="str">
        <f t="shared" si="9"/>
        <v>1</v>
      </c>
      <c r="K93" s="54" t="str">
        <f t="shared" si="10"/>
        <v>0</v>
      </c>
      <c r="L93" s="69" t="str">
        <f t="shared" si="11"/>
        <v>1</v>
      </c>
      <c r="M93" s="74" t="str">
        <f t="shared" si="12"/>
        <v>1</v>
      </c>
      <c r="N93" s="29" t="str">
        <f t="shared" si="13"/>
        <v>0</v>
      </c>
      <c r="O93" s="61" t="str">
        <f t="shared" ca="1" si="14"/>
        <v>1</v>
      </c>
      <c r="P93" s="65" t="str">
        <f t="shared" si="15"/>
        <v>0</v>
      </c>
      <c r="Q93" s="46">
        <f t="shared" ca="1" si="17"/>
        <v>4</v>
      </c>
      <c r="R93" s="83" t="str">
        <f t="shared" ca="1" si="16"/>
        <v>ผ่าน</v>
      </c>
      <c r="S93" s="3" t="s">
        <v>28</v>
      </c>
      <c r="T93" s="32">
        <v>6410048242</v>
      </c>
      <c r="U93" s="50">
        <v>6610633106</v>
      </c>
      <c r="V93" s="36">
        <v>6510014102</v>
      </c>
      <c r="W93" s="36">
        <v>6410403232</v>
      </c>
      <c r="X93" s="59">
        <v>6512247122</v>
      </c>
      <c r="Y93" s="40">
        <f ca="1">IFERROR(__xludf.DUMMYFUNCTION("""COMPUTED_VALUE"""),6510106114)</f>
        <v>6510106114</v>
      </c>
      <c r="Z93" s="36">
        <v>6410106104</v>
      </c>
    </row>
    <row r="94" spans="1:26" ht="18" customHeight="1">
      <c r="A94" s="3">
        <v>92</v>
      </c>
      <c r="B94" s="3">
        <v>6612236129</v>
      </c>
      <c r="C94" s="4" t="s">
        <v>29</v>
      </c>
      <c r="D94" s="4" t="s">
        <v>295</v>
      </c>
      <c r="E94" s="4" t="s">
        <v>296</v>
      </c>
      <c r="F94" s="4" t="s">
        <v>297</v>
      </c>
      <c r="G94" s="4" t="s">
        <v>287</v>
      </c>
      <c r="H94" s="4" t="s">
        <v>288</v>
      </c>
      <c r="I94" s="3">
        <v>1</v>
      </c>
      <c r="J94" s="45" t="str">
        <f t="shared" si="9"/>
        <v>1</v>
      </c>
      <c r="K94" s="54" t="str">
        <f t="shared" si="10"/>
        <v>0</v>
      </c>
      <c r="L94" s="69" t="str">
        <f t="shared" si="11"/>
        <v>1</v>
      </c>
      <c r="M94" s="74" t="str">
        <f t="shared" si="12"/>
        <v>0</v>
      </c>
      <c r="N94" s="29" t="str">
        <f t="shared" si="13"/>
        <v>1</v>
      </c>
      <c r="O94" s="61" t="str">
        <f t="shared" ca="1" si="14"/>
        <v>0</v>
      </c>
      <c r="P94" s="65" t="str">
        <f t="shared" si="15"/>
        <v>0</v>
      </c>
      <c r="Q94" s="46">
        <f t="shared" ca="1" si="17"/>
        <v>3</v>
      </c>
      <c r="R94" s="83" t="str">
        <f t="shared" ca="1" si="16"/>
        <v>ผ่าน</v>
      </c>
      <c r="S94" s="3" t="s">
        <v>28</v>
      </c>
      <c r="T94" s="32">
        <v>6412269126</v>
      </c>
      <c r="U94" s="50">
        <v>6410095107</v>
      </c>
      <c r="V94" s="36">
        <v>6510014104</v>
      </c>
      <c r="W94" s="36">
        <v>6410488102</v>
      </c>
      <c r="X94" s="59">
        <v>6512247114</v>
      </c>
      <c r="Y94" s="41">
        <f ca="1">IFERROR(__xludf.DUMMYFUNCTION("""COMPUTED_VALUE"""),6510106120)</f>
        <v>6510106120</v>
      </c>
      <c r="Z94" s="36">
        <v>6612743223</v>
      </c>
    </row>
    <row r="95" spans="1:26" ht="18" customHeight="1">
      <c r="A95" s="3">
        <v>93</v>
      </c>
      <c r="B95" s="3">
        <v>6612236212</v>
      </c>
      <c r="C95" s="4" t="s">
        <v>29</v>
      </c>
      <c r="D95" s="4" t="s">
        <v>298</v>
      </c>
      <c r="E95" s="4" t="s">
        <v>299</v>
      </c>
      <c r="F95" s="4" t="s">
        <v>300</v>
      </c>
      <c r="G95" s="4" t="s">
        <v>287</v>
      </c>
      <c r="H95" s="4" t="s">
        <v>288</v>
      </c>
      <c r="I95" s="3">
        <v>1</v>
      </c>
      <c r="J95" s="45" t="str">
        <f t="shared" si="9"/>
        <v>1</v>
      </c>
      <c r="K95" s="54" t="str">
        <f t="shared" si="10"/>
        <v>0</v>
      </c>
      <c r="L95" s="69" t="str">
        <f t="shared" si="11"/>
        <v>1</v>
      </c>
      <c r="M95" s="74" t="str">
        <f t="shared" si="12"/>
        <v>0</v>
      </c>
      <c r="N95" s="29" t="str">
        <f t="shared" si="13"/>
        <v>0</v>
      </c>
      <c r="O95" s="61" t="str">
        <f t="shared" ca="1" si="14"/>
        <v>0</v>
      </c>
      <c r="P95" s="65" t="str">
        <f t="shared" si="15"/>
        <v>1</v>
      </c>
      <c r="Q95" s="46">
        <f t="shared" ca="1" si="17"/>
        <v>3</v>
      </c>
      <c r="R95" s="83" t="str">
        <f t="shared" ca="1" si="16"/>
        <v>ผ่าน</v>
      </c>
      <c r="S95" s="3" t="s">
        <v>28</v>
      </c>
      <c r="T95" s="32">
        <v>6410488103</v>
      </c>
      <c r="U95" s="50"/>
      <c r="V95" s="36">
        <v>6510014116</v>
      </c>
      <c r="W95" s="36">
        <v>6412866216</v>
      </c>
      <c r="X95" s="59">
        <v>6512247211</v>
      </c>
      <c r="Y95" s="40">
        <f ca="1">IFERROR(__xludf.DUMMYFUNCTION("""COMPUTED_VALUE"""),6510106136)</f>
        <v>6510106136</v>
      </c>
      <c r="Z95" s="36">
        <v>6410068205</v>
      </c>
    </row>
    <row r="96" spans="1:26" ht="18" customHeight="1">
      <c r="A96" s="3">
        <v>94</v>
      </c>
      <c r="B96" s="3">
        <v>6612236224</v>
      </c>
      <c r="C96" s="4" t="s">
        <v>29</v>
      </c>
      <c r="D96" s="4" t="s">
        <v>301</v>
      </c>
      <c r="E96" s="4" t="s">
        <v>302</v>
      </c>
      <c r="F96" s="4" t="s">
        <v>236</v>
      </c>
      <c r="G96" s="4" t="s">
        <v>287</v>
      </c>
      <c r="H96" s="4" t="s">
        <v>288</v>
      </c>
      <c r="I96" s="3">
        <v>1</v>
      </c>
      <c r="J96" s="45" t="str">
        <f t="shared" si="9"/>
        <v>1</v>
      </c>
      <c r="K96" s="54" t="str">
        <f t="shared" si="10"/>
        <v>0</v>
      </c>
      <c r="L96" s="69" t="str">
        <f t="shared" si="11"/>
        <v>1</v>
      </c>
      <c r="M96" s="74" t="str">
        <f t="shared" si="12"/>
        <v>0</v>
      </c>
      <c r="N96" s="29" t="str">
        <f t="shared" si="13"/>
        <v>0</v>
      </c>
      <c r="O96" s="61" t="str">
        <f t="shared" ca="1" si="14"/>
        <v>0</v>
      </c>
      <c r="P96" s="65" t="str">
        <f t="shared" si="15"/>
        <v>1</v>
      </c>
      <c r="Q96" s="46">
        <f t="shared" ca="1" si="17"/>
        <v>3</v>
      </c>
      <c r="R96" s="83" t="str">
        <f t="shared" ca="1" si="16"/>
        <v>ผ่าน</v>
      </c>
      <c r="S96" s="3" t="s">
        <v>28</v>
      </c>
      <c r="T96" s="32">
        <v>6410633120</v>
      </c>
      <c r="U96" s="50">
        <v>6410414203</v>
      </c>
      <c r="V96" s="36">
        <v>6511506215</v>
      </c>
      <c r="W96" s="36">
        <v>6412866115</v>
      </c>
      <c r="X96" s="59">
        <v>6512247108</v>
      </c>
      <c r="Y96" s="41">
        <f ca="1">IFERROR(__xludf.DUMMYFUNCTION("""COMPUTED_VALUE"""),6510083108)</f>
        <v>6510083108</v>
      </c>
      <c r="Z96" s="36">
        <v>6410633113</v>
      </c>
    </row>
    <row r="97" spans="1:26" ht="18" customHeight="1">
      <c r="A97" s="3">
        <v>95</v>
      </c>
      <c r="B97" s="3">
        <v>6412236113</v>
      </c>
      <c r="C97" s="4" t="s">
        <v>29</v>
      </c>
      <c r="D97" s="4" t="s">
        <v>303</v>
      </c>
      <c r="E97" s="4" t="s">
        <v>304</v>
      </c>
      <c r="F97" s="4" t="s">
        <v>305</v>
      </c>
      <c r="G97" s="4" t="s">
        <v>287</v>
      </c>
      <c r="H97" s="4" t="s">
        <v>288</v>
      </c>
      <c r="I97" s="3">
        <v>3</v>
      </c>
      <c r="J97" s="45" t="str">
        <f t="shared" si="9"/>
        <v>1</v>
      </c>
      <c r="K97" s="54" t="str">
        <f t="shared" si="10"/>
        <v>1</v>
      </c>
      <c r="L97" s="69" t="str">
        <f t="shared" si="11"/>
        <v>0</v>
      </c>
      <c r="M97" s="74" t="str">
        <f t="shared" si="12"/>
        <v>0</v>
      </c>
      <c r="N97" s="29" t="str">
        <f t="shared" si="13"/>
        <v>1</v>
      </c>
      <c r="O97" s="61" t="str">
        <f t="shared" ca="1" si="14"/>
        <v>0</v>
      </c>
      <c r="P97" s="65" t="str">
        <f t="shared" si="15"/>
        <v>1</v>
      </c>
      <c r="Q97" s="46">
        <f t="shared" ca="1" si="17"/>
        <v>4</v>
      </c>
      <c r="R97" s="83" t="str">
        <f t="shared" ca="1" si="16"/>
        <v>ผ่าน</v>
      </c>
      <c r="S97" s="3" t="s">
        <v>28</v>
      </c>
      <c r="T97" s="32">
        <v>6410048104</v>
      </c>
      <c r="U97" s="50">
        <v>6410633209</v>
      </c>
      <c r="V97" s="36">
        <v>6511506214</v>
      </c>
      <c r="W97" s="36">
        <v>6412866119</v>
      </c>
      <c r="X97" s="59">
        <v>6312247122</v>
      </c>
      <c r="Y97" s="40">
        <f ca="1">IFERROR(__xludf.DUMMYFUNCTION("""COMPUTED_VALUE"""),6510083109)</f>
        <v>6510083109</v>
      </c>
      <c r="Z97" s="36">
        <v>6412743131</v>
      </c>
    </row>
    <row r="98" spans="1:26" ht="18" customHeight="1">
      <c r="A98" s="3">
        <v>96</v>
      </c>
      <c r="B98" s="3">
        <v>6412236126</v>
      </c>
      <c r="C98" s="4" t="s">
        <v>29</v>
      </c>
      <c r="D98" s="4" t="s">
        <v>306</v>
      </c>
      <c r="E98" s="4" t="s">
        <v>307</v>
      </c>
      <c r="F98" s="4" t="s">
        <v>308</v>
      </c>
      <c r="G98" s="4" t="s">
        <v>287</v>
      </c>
      <c r="H98" s="4" t="s">
        <v>288</v>
      </c>
      <c r="I98" s="3">
        <v>3</v>
      </c>
      <c r="J98" s="45" t="str">
        <f t="shared" si="9"/>
        <v>1</v>
      </c>
      <c r="K98" s="54">
        <v>1</v>
      </c>
      <c r="L98" s="69" t="str">
        <f t="shared" si="11"/>
        <v>0</v>
      </c>
      <c r="M98" s="74" t="str">
        <f t="shared" si="12"/>
        <v>1</v>
      </c>
      <c r="N98" s="29" t="str">
        <f t="shared" si="13"/>
        <v>0</v>
      </c>
      <c r="O98" s="61" t="str">
        <f t="shared" ca="1" si="14"/>
        <v>1</v>
      </c>
      <c r="P98" s="65" t="str">
        <f t="shared" si="15"/>
        <v>1</v>
      </c>
      <c r="Q98" s="46">
        <f t="shared" ca="1" si="17"/>
        <v>5</v>
      </c>
      <c r="R98" s="83" t="str">
        <f t="shared" ca="1" si="16"/>
        <v>ผ่าน</v>
      </c>
      <c r="S98" s="3" t="s">
        <v>28</v>
      </c>
      <c r="T98" s="32">
        <v>6512247130</v>
      </c>
      <c r="U98" s="50">
        <v>6410633108</v>
      </c>
      <c r="V98" s="36">
        <v>6410059113</v>
      </c>
      <c r="W98" s="36">
        <v>6410403222</v>
      </c>
      <c r="X98" s="59">
        <v>6312247109</v>
      </c>
      <c r="Y98" s="41">
        <f ca="1">IFERROR(__xludf.DUMMYFUNCTION("""COMPUTED_VALUE"""),6512888117)</f>
        <v>6512888117</v>
      </c>
      <c r="Z98" s="36">
        <v>6410106130</v>
      </c>
    </row>
    <row r="99" spans="1:26" ht="18" customHeight="1">
      <c r="A99" s="3">
        <v>97</v>
      </c>
      <c r="B99" s="3">
        <v>6412236205</v>
      </c>
      <c r="C99" s="4" t="s">
        <v>29</v>
      </c>
      <c r="D99" s="4" t="s">
        <v>309</v>
      </c>
      <c r="E99" s="4" t="s">
        <v>310</v>
      </c>
      <c r="F99" s="4" t="s">
        <v>311</v>
      </c>
      <c r="G99" s="4" t="s">
        <v>287</v>
      </c>
      <c r="H99" s="4" t="s">
        <v>288</v>
      </c>
      <c r="I99" s="3">
        <v>3</v>
      </c>
      <c r="J99" s="45" t="str">
        <f t="shared" si="9"/>
        <v>1</v>
      </c>
      <c r="K99" s="54" t="str">
        <f t="shared" si="10"/>
        <v>1</v>
      </c>
      <c r="L99" s="69" t="str">
        <f t="shared" si="11"/>
        <v>0</v>
      </c>
      <c r="M99" s="74" t="str">
        <f t="shared" si="12"/>
        <v>0</v>
      </c>
      <c r="N99" s="29" t="str">
        <f t="shared" si="13"/>
        <v>1</v>
      </c>
      <c r="O99" s="61" t="str">
        <f t="shared" ca="1" si="14"/>
        <v>1</v>
      </c>
      <c r="P99" s="65" t="str">
        <f t="shared" si="15"/>
        <v>1</v>
      </c>
      <c r="Q99" s="46">
        <f t="shared" ca="1" si="17"/>
        <v>5</v>
      </c>
      <c r="R99" s="83" t="str">
        <f t="shared" ca="1" si="16"/>
        <v>ผ่าน</v>
      </c>
      <c r="S99" s="3" t="s">
        <v>28</v>
      </c>
      <c r="T99" s="32">
        <v>6410488206</v>
      </c>
      <c r="U99" s="50">
        <v>6410633106</v>
      </c>
      <c r="V99" s="36">
        <v>6412213110</v>
      </c>
      <c r="W99" s="36">
        <v>6410414227</v>
      </c>
      <c r="X99" s="59">
        <v>6410106215</v>
      </c>
      <c r="Y99" s="40">
        <f ca="1">IFERROR(__xludf.DUMMYFUNCTION("""COMPUTED_VALUE"""),6510059103)</f>
        <v>6510059103</v>
      </c>
      <c r="Z99" s="36">
        <v>6410488104</v>
      </c>
    </row>
    <row r="100" spans="1:26" ht="18" customHeight="1">
      <c r="A100" s="3">
        <v>98</v>
      </c>
      <c r="B100" s="3">
        <v>6412236223</v>
      </c>
      <c r="C100" s="4" t="s">
        <v>29</v>
      </c>
      <c r="D100" s="4" t="s">
        <v>312</v>
      </c>
      <c r="E100" s="4" t="s">
        <v>313</v>
      </c>
      <c r="F100" s="4" t="s">
        <v>41</v>
      </c>
      <c r="G100" s="4" t="s">
        <v>287</v>
      </c>
      <c r="H100" s="4" t="s">
        <v>288</v>
      </c>
      <c r="I100" s="3">
        <v>3</v>
      </c>
      <c r="J100" s="44" t="str">
        <f t="shared" si="9"/>
        <v>0</v>
      </c>
      <c r="K100" s="54" t="str">
        <f t="shared" si="10"/>
        <v>1</v>
      </c>
      <c r="L100" s="69" t="str">
        <f t="shared" si="11"/>
        <v>0</v>
      </c>
      <c r="M100" s="74" t="str">
        <f t="shared" si="12"/>
        <v>1</v>
      </c>
      <c r="N100" s="29" t="str">
        <f t="shared" si="13"/>
        <v>0</v>
      </c>
      <c r="O100" s="61" t="str">
        <f t="shared" ca="1" si="14"/>
        <v>1</v>
      </c>
      <c r="P100" s="65" t="str">
        <f t="shared" si="15"/>
        <v>1</v>
      </c>
      <c r="Q100" s="46">
        <f t="shared" ca="1" si="17"/>
        <v>4</v>
      </c>
      <c r="R100" s="83" t="str">
        <f t="shared" ca="1" si="16"/>
        <v>ผ่าน</v>
      </c>
      <c r="S100" s="3" t="s">
        <v>28</v>
      </c>
      <c r="T100" s="32">
        <v>6410073106</v>
      </c>
      <c r="U100" s="50">
        <v>6410633204</v>
      </c>
      <c r="V100" s="36">
        <v>6410094115</v>
      </c>
      <c r="W100" s="36">
        <v>6410403213</v>
      </c>
      <c r="X100" s="59">
        <v>6410106125</v>
      </c>
      <c r="Y100" s="41">
        <f ca="1">IFERROR(__xludf.DUMMYFUNCTION("""COMPUTED_VALUE"""),6511506115)</f>
        <v>6511506115</v>
      </c>
      <c r="Z100" s="36">
        <v>6412236230</v>
      </c>
    </row>
    <row r="101" spans="1:26" ht="18" customHeight="1">
      <c r="A101" s="3">
        <v>99</v>
      </c>
      <c r="B101" s="3">
        <v>6412236231</v>
      </c>
      <c r="C101" s="4" t="s">
        <v>29</v>
      </c>
      <c r="D101" s="4" t="s">
        <v>314</v>
      </c>
      <c r="E101" s="4" t="s">
        <v>315</v>
      </c>
      <c r="F101" s="4" t="s">
        <v>316</v>
      </c>
      <c r="G101" s="4" t="s">
        <v>287</v>
      </c>
      <c r="H101" s="4" t="s">
        <v>288</v>
      </c>
      <c r="I101" s="3">
        <v>3</v>
      </c>
      <c r="J101" s="44" t="str">
        <f t="shared" si="9"/>
        <v>0</v>
      </c>
      <c r="K101" s="54">
        <v>1</v>
      </c>
      <c r="L101" s="69" t="str">
        <f t="shared" si="11"/>
        <v>0</v>
      </c>
      <c r="M101" s="74" t="str">
        <f t="shared" si="12"/>
        <v>1</v>
      </c>
      <c r="N101" s="29" t="str">
        <f t="shared" si="13"/>
        <v>0</v>
      </c>
      <c r="O101" s="61" t="str">
        <f t="shared" ca="1" si="14"/>
        <v>1</v>
      </c>
      <c r="P101" s="65" t="str">
        <f t="shared" si="15"/>
        <v>1</v>
      </c>
      <c r="Q101" s="46">
        <f t="shared" ca="1" si="17"/>
        <v>4</v>
      </c>
      <c r="R101" s="83" t="str">
        <f t="shared" ca="1" si="16"/>
        <v>ผ่าน</v>
      </c>
      <c r="S101" s="3" t="s">
        <v>28</v>
      </c>
      <c r="T101" s="32">
        <v>6310633215</v>
      </c>
      <c r="U101" s="50">
        <v>6410633203</v>
      </c>
      <c r="V101" s="36">
        <v>6410403213</v>
      </c>
      <c r="W101" s="36">
        <v>6412798104</v>
      </c>
      <c r="X101" s="59">
        <v>6410106104</v>
      </c>
      <c r="Y101" s="40">
        <f ca="1">IFERROR(__xludf.DUMMYFUNCTION("""COMPUTED_VALUE"""),6511506214)</f>
        <v>6511506214</v>
      </c>
      <c r="Z101" s="36">
        <v>6510403207</v>
      </c>
    </row>
    <row r="102" spans="1:26" ht="18" customHeight="1">
      <c r="A102" s="3">
        <v>100</v>
      </c>
      <c r="B102" s="3" t="s">
        <v>317</v>
      </c>
      <c r="C102" s="4" t="s">
        <v>29</v>
      </c>
      <c r="D102" s="4" t="s">
        <v>318</v>
      </c>
      <c r="E102" s="4" t="s">
        <v>319</v>
      </c>
      <c r="F102" s="4" t="s">
        <v>300</v>
      </c>
      <c r="G102" s="4" t="s">
        <v>287</v>
      </c>
      <c r="H102" s="4" t="s">
        <v>288</v>
      </c>
      <c r="I102" s="3">
        <v>3</v>
      </c>
      <c r="J102" s="44" t="str">
        <f t="shared" si="9"/>
        <v>0</v>
      </c>
      <c r="K102" s="54" t="str">
        <f t="shared" si="10"/>
        <v>0</v>
      </c>
      <c r="L102" s="69" t="str">
        <f t="shared" si="11"/>
        <v>0</v>
      </c>
      <c r="M102" s="74" t="str">
        <f t="shared" si="12"/>
        <v>0</v>
      </c>
      <c r="N102" s="29" t="str">
        <f t="shared" si="13"/>
        <v>0</v>
      </c>
      <c r="O102" s="61" t="str">
        <f t="shared" ca="1" si="14"/>
        <v>0</v>
      </c>
      <c r="P102" s="65" t="str">
        <f t="shared" si="15"/>
        <v>0</v>
      </c>
      <c r="Q102" s="46">
        <f t="shared" ca="1" si="17"/>
        <v>0</v>
      </c>
      <c r="R102" s="3" t="str">
        <f t="shared" ca="1" si="16"/>
        <v>ไม่ผ่าน</v>
      </c>
      <c r="S102" s="3" t="s">
        <v>28</v>
      </c>
      <c r="T102" s="32">
        <v>6610488220</v>
      </c>
      <c r="U102" s="50">
        <v>6410633105</v>
      </c>
      <c r="V102" s="36">
        <v>6410403230</v>
      </c>
      <c r="W102" s="36">
        <v>6410207117</v>
      </c>
      <c r="X102" s="59">
        <v>6410106119</v>
      </c>
      <c r="Y102" s="41">
        <f ca="1">IFERROR(__xludf.DUMMYFUNCTION("""COMPUTED_VALUE"""),6511506215)</f>
        <v>6511506215</v>
      </c>
      <c r="Z102" s="36">
        <v>6410414224</v>
      </c>
    </row>
    <row r="103" spans="1:26" ht="18" customHeight="1">
      <c r="A103" s="3">
        <v>101</v>
      </c>
      <c r="B103" s="3">
        <v>6312236131</v>
      </c>
      <c r="C103" s="4" t="s">
        <v>29</v>
      </c>
      <c r="D103" s="4" t="s">
        <v>320</v>
      </c>
      <c r="E103" s="4" t="s">
        <v>321</v>
      </c>
      <c r="F103" s="4" t="s">
        <v>322</v>
      </c>
      <c r="G103" s="4" t="s">
        <v>287</v>
      </c>
      <c r="H103" s="4" t="s">
        <v>288</v>
      </c>
      <c r="I103" s="3">
        <v>4</v>
      </c>
      <c r="J103" s="44" t="str">
        <f t="shared" si="9"/>
        <v>0</v>
      </c>
      <c r="K103" s="54" t="str">
        <f t="shared" si="10"/>
        <v>1</v>
      </c>
      <c r="L103" s="69" t="str">
        <f t="shared" si="11"/>
        <v>0</v>
      </c>
      <c r="M103" s="74" t="str">
        <f t="shared" si="12"/>
        <v>1</v>
      </c>
      <c r="N103" s="29" t="str">
        <f t="shared" si="13"/>
        <v>0</v>
      </c>
      <c r="O103" s="61">
        <v>1</v>
      </c>
      <c r="P103" s="65">
        <v>1</v>
      </c>
      <c r="Q103" s="46">
        <f t="shared" si="17"/>
        <v>4</v>
      </c>
      <c r="R103" s="83" t="str">
        <f t="shared" si="16"/>
        <v>ผ่าน</v>
      </c>
      <c r="S103" s="3" t="s">
        <v>28</v>
      </c>
      <c r="T103" s="32">
        <v>6610392226</v>
      </c>
      <c r="U103" s="50">
        <v>6310633110</v>
      </c>
      <c r="V103" s="36">
        <v>6410403206</v>
      </c>
      <c r="W103" s="36">
        <v>6410414203</v>
      </c>
      <c r="X103" s="59">
        <v>6510106114</v>
      </c>
      <c r="Y103" s="40">
        <f ca="1">IFERROR(__xludf.DUMMYFUNCTION("""COMPUTED_VALUE"""),6511506217)</f>
        <v>6511506217</v>
      </c>
      <c r="Z103" s="36">
        <v>6510079209</v>
      </c>
    </row>
    <row r="104" spans="1:26" ht="18" customHeight="1">
      <c r="A104" s="3">
        <v>102</v>
      </c>
      <c r="B104" s="3">
        <v>6612721109</v>
      </c>
      <c r="C104" s="4" t="s">
        <v>29</v>
      </c>
      <c r="D104" s="4" t="s">
        <v>323</v>
      </c>
      <c r="E104" s="4" t="s">
        <v>324</v>
      </c>
      <c r="F104" s="4" t="s">
        <v>325</v>
      </c>
      <c r="G104" s="4" t="s">
        <v>287</v>
      </c>
      <c r="H104" s="4" t="s">
        <v>326</v>
      </c>
      <c r="I104" s="3">
        <v>1</v>
      </c>
      <c r="J104" s="45" t="str">
        <f t="shared" si="9"/>
        <v>1</v>
      </c>
      <c r="K104" s="54" t="str">
        <f t="shared" si="10"/>
        <v>0</v>
      </c>
      <c r="L104" s="69" t="str">
        <f t="shared" si="11"/>
        <v>1</v>
      </c>
      <c r="M104" s="74" t="str">
        <f t="shared" si="12"/>
        <v>0</v>
      </c>
      <c r="N104" s="29" t="str">
        <f t="shared" si="13"/>
        <v>1</v>
      </c>
      <c r="O104" s="61" t="str">
        <f t="shared" ca="1" si="14"/>
        <v>0</v>
      </c>
      <c r="P104" s="65" t="str">
        <f t="shared" si="15"/>
        <v>1</v>
      </c>
      <c r="Q104" s="46">
        <f t="shared" ca="1" si="17"/>
        <v>4</v>
      </c>
      <c r="R104" s="83" t="str">
        <f t="shared" ca="1" si="16"/>
        <v>ผ่าน</v>
      </c>
      <c r="S104" s="3" t="s">
        <v>28</v>
      </c>
      <c r="T104" s="32">
        <v>6310403317</v>
      </c>
      <c r="U104" s="50">
        <v>6310633210</v>
      </c>
      <c r="V104" s="36">
        <v>6410403232</v>
      </c>
      <c r="W104" s="36">
        <v>6510106136</v>
      </c>
      <c r="X104" s="59">
        <v>6410106107</v>
      </c>
      <c r="Y104" s="41">
        <f ca="1">IFERROR(__xludf.DUMMYFUNCTION("""COMPUTED_VALUE"""),6511506224)</f>
        <v>6511506224</v>
      </c>
      <c r="Z104" s="36">
        <v>6512743215</v>
      </c>
    </row>
    <row r="105" spans="1:26" ht="18" customHeight="1">
      <c r="A105" s="3">
        <v>103</v>
      </c>
      <c r="B105" s="3">
        <v>6612721113</v>
      </c>
      <c r="C105" s="4" t="s">
        <v>29</v>
      </c>
      <c r="D105" s="4" t="s">
        <v>327</v>
      </c>
      <c r="E105" s="4" t="s">
        <v>328</v>
      </c>
      <c r="F105" s="4" t="s">
        <v>329</v>
      </c>
      <c r="G105" s="4" t="s">
        <v>287</v>
      </c>
      <c r="H105" s="4" t="s">
        <v>326</v>
      </c>
      <c r="I105" s="3">
        <v>1</v>
      </c>
      <c r="J105" s="45" t="str">
        <f t="shared" si="9"/>
        <v>1</v>
      </c>
      <c r="K105" s="54" t="str">
        <f t="shared" si="10"/>
        <v>0</v>
      </c>
      <c r="L105" s="69" t="str">
        <f t="shared" si="11"/>
        <v>1</v>
      </c>
      <c r="M105" s="74" t="str">
        <f t="shared" si="12"/>
        <v>0</v>
      </c>
      <c r="N105" s="29" t="str">
        <f t="shared" si="13"/>
        <v>1</v>
      </c>
      <c r="O105" s="61" t="str">
        <f t="shared" ca="1" si="14"/>
        <v>0</v>
      </c>
      <c r="P105" s="65" t="str">
        <f t="shared" si="15"/>
        <v>1</v>
      </c>
      <c r="Q105" s="46">
        <f t="shared" ca="1" si="17"/>
        <v>4</v>
      </c>
      <c r="R105" s="83" t="str">
        <f t="shared" ca="1" si="16"/>
        <v>ผ่าน</v>
      </c>
      <c r="S105" s="3" t="s">
        <v>28</v>
      </c>
      <c r="T105" s="32">
        <v>6315964118</v>
      </c>
      <c r="U105" s="50">
        <v>6310633122</v>
      </c>
      <c r="V105" s="36">
        <v>6412236113</v>
      </c>
      <c r="W105" s="36">
        <v>6412888103</v>
      </c>
      <c r="X105" s="59">
        <v>6410106209</v>
      </c>
      <c r="Y105" s="40">
        <f ca="1">IFERROR(__xludf.DUMMYFUNCTION("""COMPUTED_VALUE"""),6515964105)</f>
        <v>6515964105</v>
      </c>
      <c r="Z105" s="36">
        <v>6410488204</v>
      </c>
    </row>
    <row r="106" spans="1:26" ht="18" customHeight="1">
      <c r="A106" s="3">
        <v>104</v>
      </c>
      <c r="B106" s="3">
        <v>6612721127</v>
      </c>
      <c r="C106" s="4" t="s">
        <v>29</v>
      </c>
      <c r="D106" s="4" t="s">
        <v>330</v>
      </c>
      <c r="E106" s="4" t="s">
        <v>331</v>
      </c>
      <c r="F106" s="4" t="s">
        <v>332</v>
      </c>
      <c r="G106" s="4" t="s">
        <v>287</v>
      </c>
      <c r="H106" s="4" t="s">
        <v>326</v>
      </c>
      <c r="I106" s="3">
        <v>1</v>
      </c>
      <c r="J106" s="45" t="str">
        <f t="shared" si="9"/>
        <v>1</v>
      </c>
      <c r="K106" s="54" t="str">
        <f t="shared" si="10"/>
        <v>0</v>
      </c>
      <c r="L106" s="69" t="str">
        <f t="shared" si="11"/>
        <v>1</v>
      </c>
      <c r="M106" s="74" t="str">
        <f t="shared" si="12"/>
        <v>0</v>
      </c>
      <c r="N106" s="29" t="str">
        <f t="shared" si="13"/>
        <v>1</v>
      </c>
      <c r="O106" s="61" t="str">
        <f t="shared" ca="1" si="14"/>
        <v>1</v>
      </c>
      <c r="P106" s="65" t="str">
        <f t="shared" si="15"/>
        <v>1</v>
      </c>
      <c r="Q106" s="46">
        <f t="shared" ca="1" si="17"/>
        <v>5</v>
      </c>
      <c r="R106" s="83" t="str">
        <f t="shared" ca="1" si="16"/>
        <v>ผ่าน</v>
      </c>
      <c r="S106" s="3" t="s">
        <v>28</v>
      </c>
      <c r="T106" s="32">
        <v>6610488214</v>
      </c>
      <c r="U106" s="50">
        <v>6510633106</v>
      </c>
      <c r="V106" s="36">
        <v>6412236205</v>
      </c>
      <c r="W106" s="36">
        <v>6312269112</v>
      </c>
      <c r="X106" s="59">
        <v>6510106120</v>
      </c>
      <c r="Y106" s="41">
        <f ca="1">IFERROR(__xludf.DUMMYFUNCTION("""COMPUTED_VALUE"""),6515964107)</f>
        <v>6515964107</v>
      </c>
      <c r="Z106" s="36">
        <v>6410106107</v>
      </c>
    </row>
    <row r="107" spans="1:26" ht="18" customHeight="1">
      <c r="A107" s="3">
        <v>105</v>
      </c>
      <c r="B107" s="3">
        <v>6612721207</v>
      </c>
      <c r="C107" s="4" t="s">
        <v>29</v>
      </c>
      <c r="D107" s="4" t="s">
        <v>333</v>
      </c>
      <c r="E107" s="4" t="s">
        <v>334</v>
      </c>
      <c r="F107" s="4" t="s">
        <v>222</v>
      </c>
      <c r="G107" s="4" t="s">
        <v>287</v>
      </c>
      <c r="H107" s="4" t="s">
        <v>326</v>
      </c>
      <c r="I107" s="3">
        <v>1</v>
      </c>
      <c r="J107" s="45" t="str">
        <f t="shared" si="9"/>
        <v>1</v>
      </c>
      <c r="K107" s="54" t="str">
        <f t="shared" si="10"/>
        <v>0</v>
      </c>
      <c r="L107" s="69" t="str">
        <f t="shared" si="11"/>
        <v>1</v>
      </c>
      <c r="M107" s="74" t="str">
        <f t="shared" si="12"/>
        <v>0</v>
      </c>
      <c r="N107" s="29" t="str">
        <f t="shared" si="13"/>
        <v>1</v>
      </c>
      <c r="O107" s="61" t="str">
        <f t="shared" ca="1" si="14"/>
        <v>1</v>
      </c>
      <c r="P107" s="65" t="str">
        <f t="shared" si="15"/>
        <v>1</v>
      </c>
      <c r="Q107" s="46">
        <f t="shared" ca="1" si="17"/>
        <v>5</v>
      </c>
      <c r="R107" s="83" t="str">
        <f t="shared" ca="1" si="16"/>
        <v>ผ่าน</v>
      </c>
      <c r="S107" s="3" t="s">
        <v>28</v>
      </c>
      <c r="T107" s="32">
        <v>6310633110</v>
      </c>
      <c r="U107" s="50">
        <v>6510633122</v>
      </c>
      <c r="V107" s="36">
        <v>6410207205</v>
      </c>
      <c r="W107" s="36">
        <v>6610073114</v>
      </c>
      <c r="X107" s="59">
        <v>6410488103</v>
      </c>
      <c r="Y107" s="40">
        <f ca="1">IFERROR(__xludf.DUMMYFUNCTION("""COMPUTED_VALUE"""),6515964109)</f>
        <v>6515964109</v>
      </c>
      <c r="Z107" s="36">
        <v>6410106210</v>
      </c>
    </row>
    <row r="108" spans="1:26" ht="18" customHeight="1">
      <c r="A108" s="3">
        <v>106</v>
      </c>
      <c r="B108" s="3">
        <v>6510207102</v>
      </c>
      <c r="C108" s="4" t="s">
        <v>22</v>
      </c>
      <c r="D108" s="4" t="s">
        <v>335</v>
      </c>
      <c r="E108" s="4" t="s">
        <v>336</v>
      </c>
      <c r="F108" s="4" t="s">
        <v>337</v>
      </c>
      <c r="G108" s="4" t="s">
        <v>287</v>
      </c>
      <c r="H108" s="4" t="s">
        <v>338</v>
      </c>
      <c r="I108" s="3">
        <v>2</v>
      </c>
      <c r="J108" s="45" t="str">
        <f t="shared" si="9"/>
        <v>1</v>
      </c>
      <c r="K108" s="54">
        <v>1</v>
      </c>
      <c r="L108" s="69" t="str">
        <f t="shared" si="11"/>
        <v>0</v>
      </c>
      <c r="M108" s="74" t="str">
        <f t="shared" si="12"/>
        <v>1</v>
      </c>
      <c r="N108" s="29" t="str">
        <f t="shared" si="13"/>
        <v>0</v>
      </c>
      <c r="O108" s="61" t="str">
        <f t="shared" ca="1" si="14"/>
        <v>1</v>
      </c>
      <c r="P108" s="65" t="str">
        <f t="shared" si="15"/>
        <v>1</v>
      </c>
      <c r="Q108" s="46">
        <f t="shared" ca="1" si="17"/>
        <v>5</v>
      </c>
      <c r="R108" s="83" t="str">
        <f t="shared" ca="1" si="16"/>
        <v>ผ่าน</v>
      </c>
      <c r="S108" s="3" t="s">
        <v>28</v>
      </c>
      <c r="T108" s="32">
        <v>6410414213</v>
      </c>
      <c r="U108" s="50">
        <v>6310633131</v>
      </c>
      <c r="V108" s="36">
        <v>6410207225</v>
      </c>
      <c r="W108" s="36">
        <v>6610073113</v>
      </c>
      <c r="X108" s="59">
        <v>6310488219</v>
      </c>
      <c r="Y108" s="41">
        <f ca="1">IFERROR(__xludf.DUMMYFUNCTION("""COMPUTED_VALUE"""),6515964112)</f>
        <v>6515964112</v>
      </c>
      <c r="Z108" s="36">
        <v>6412743126</v>
      </c>
    </row>
    <row r="109" spans="1:26" ht="18" customHeight="1">
      <c r="A109" s="3">
        <v>107</v>
      </c>
      <c r="B109" s="3">
        <v>6510207206</v>
      </c>
      <c r="C109" s="4" t="s">
        <v>29</v>
      </c>
      <c r="D109" s="4" t="s">
        <v>339</v>
      </c>
      <c r="E109" s="4" t="s">
        <v>340</v>
      </c>
      <c r="F109" s="4" t="s">
        <v>341</v>
      </c>
      <c r="G109" s="4" t="s">
        <v>287</v>
      </c>
      <c r="H109" s="4" t="s">
        <v>338</v>
      </c>
      <c r="I109" s="3">
        <v>2</v>
      </c>
      <c r="J109" s="45" t="str">
        <f t="shared" si="9"/>
        <v>1</v>
      </c>
      <c r="K109" s="54">
        <v>1</v>
      </c>
      <c r="L109" s="69" t="str">
        <f t="shared" si="11"/>
        <v>0</v>
      </c>
      <c r="M109" s="74" t="str">
        <f t="shared" si="12"/>
        <v>0</v>
      </c>
      <c r="N109" s="29" t="str">
        <f t="shared" si="13"/>
        <v>1</v>
      </c>
      <c r="O109" s="61" t="str">
        <f t="shared" ca="1" si="14"/>
        <v>1</v>
      </c>
      <c r="P109" s="65" t="str">
        <f t="shared" si="15"/>
        <v>1</v>
      </c>
      <c r="Q109" s="46">
        <f t="shared" ca="1" si="17"/>
        <v>5</v>
      </c>
      <c r="R109" s="83" t="str">
        <f t="shared" ca="1" si="16"/>
        <v>ผ่าน</v>
      </c>
      <c r="S109" s="3" t="s">
        <v>28</v>
      </c>
      <c r="T109" s="32">
        <v>6411506131</v>
      </c>
      <c r="U109" s="50">
        <v>6310633134</v>
      </c>
      <c r="V109" s="36">
        <v>6410207226</v>
      </c>
      <c r="W109" s="36">
        <v>6510633230</v>
      </c>
      <c r="X109" s="59">
        <v>6310488120</v>
      </c>
      <c r="Y109" s="40">
        <f ca="1">IFERROR(__xludf.DUMMYFUNCTION("""COMPUTED_VALUE"""),6515964125)</f>
        <v>6515964125</v>
      </c>
      <c r="Z109" s="36">
        <v>6610073115</v>
      </c>
    </row>
    <row r="110" spans="1:26" ht="18" customHeight="1">
      <c r="A110" s="3">
        <v>108</v>
      </c>
      <c r="B110" s="3">
        <v>6410207114</v>
      </c>
      <c r="C110" s="4" t="s">
        <v>29</v>
      </c>
      <c r="D110" s="4" t="s">
        <v>342</v>
      </c>
      <c r="E110" s="4" t="s">
        <v>343</v>
      </c>
      <c r="F110" s="4" t="s">
        <v>245</v>
      </c>
      <c r="G110" s="4" t="s">
        <v>287</v>
      </c>
      <c r="H110" s="4" t="s">
        <v>338</v>
      </c>
      <c r="I110" s="3">
        <v>3</v>
      </c>
      <c r="J110" s="44" t="str">
        <f t="shared" si="9"/>
        <v>0</v>
      </c>
      <c r="K110" s="54">
        <v>1</v>
      </c>
      <c r="L110" s="69" t="str">
        <f t="shared" si="11"/>
        <v>0</v>
      </c>
      <c r="M110" s="74" t="str">
        <f t="shared" si="12"/>
        <v>1</v>
      </c>
      <c r="N110" s="29" t="str">
        <f t="shared" si="13"/>
        <v>0</v>
      </c>
      <c r="O110" s="61" t="str">
        <f t="shared" ca="1" si="14"/>
        <v>1</v>
      </c>
      <c r="P110" s="65" t="str">
        <f t="shared" si="15"/>
        <v>0</v>
      </c>
      <c r="Q110" s="46">
        <f t="shared" ca="1" si="17"/>
        <v>3</v>
      </c>
      <c r="R110" s="83" t="str">
        <f t="shared" ca="1" si="16"/>
        <v>ผ่าน</v>
      </c>
      <c r="S110" s="3" t="s">
        <v>28</v>
      </c>
      <c r="T110" s="32">
        <v>6512798107</v>
      </c>
      <c r="U110" s="50">
        <v>6310633129</v>
      </c>
      <c r="V110" s="36">
        <v>6415964123</v>
      </c>
      <c r="W110" s="36">
        <v>6410488224</v>
      </c>
      <c r="X110" s="59">
        <v>6410488106</v>
      </c>
      <c r="Y110" s="41">
        <f ca="1">IFERROR(__xludf.DUMMYFUNCTION("""COMPUTED_VALUE"""),6410403105)</f>
        <v>6410403105</v>
      </c>
      <c r="Z110" s="36">
        <v>6410403228</v>
      </c>
    </row>
    <row r="111" spans="1:26" ht="18" customHeight="1">
      <c r="A111" s="3">
        <v>109</v>
      </c>
      <c r="B111" s="3">
        <v>6410207115</v>
      </c>
      <c r="C111" s="4" t="s">
        <v>29</v>
      </c>
      <c r="D111" s="4" t="s">
        <v>344</v>
      </c>
      <c r="E111" s="4" t="s">
        <v>345</v>
      </c>
      <c r="F111" s="4" t="s">
        <v>346</v>
      </c>
      <c r="G111" s="4" t="s">
        <v>287</v>
      </c>
      <c r="H111" s="4" t="s">
        <v>338</v>
      </c>
      <c r="I111" s="3">
        <v>3</v>
      </c>
      <c r="J111" s="44" t="str">
        <f t="shared" si="9"/>
        <v>0</v>
      </c>
      <c r="K111" s="54">
        <v>1</v>
      </c>
      <c r="L111" s="69" t="str">
        <f t="shared" si="11"/>
        <v>0</v>
      </c>
      <c r="M111" s="74" t="str">
        <f t="shared" si="12"/>
        <v>1</v>
      </c>
      <c r="N111" s="29" t="str">
        <f t="shared" si="13"/>
        <v>0</v>
      </c>
      <c r="O111" s="61" t="str">
        <f t="shared" ca="1" si="14"/>
        <v>1</v>
      </c>
      <c r="P111" s="65" t="str">
        <f t="shared" si="15"/>
        <v>1</v>
      </c>
      <c r="Q111" s="46">
        <f t="shared" ca="1" si="17"/>
        <v>4</v>
      </c>
      <c r="R111" s="83" t="str">
        <f t="shared" ca="1" si="16"/>
        <v>ผ่าน</v>
      </c>
      <c r="S111" s="3" t="s">
        <v>28</v>
      </c>
      <c r="T111" s="32">
        <v>6410633223</v>
      </c>
      <c r="U111" s="50"/>
      <c r="V111" s="36">
        <v>6412798117</v>
      </c>
      <c r="W111" s="36">
        <v>6410488118</v>
      </c>
      <c r="X111" s="59">
        <v>6410488123</v>
      </c>
      <c r="Y111" s="40">
        <f ca="1">IFERROR(__xludf.DUMMYFUNCTION("""COMPUTED_VALUE"""),6410403113)</f>
        <v>6410403113</v>
      </c>
      <c r="Z111" s="36">
        <v>6410403225</v>
      </c>
    </row>
    <row r="112" spans="1:26" ht="18" customHeight="1">
      <c r="A112" s="3">
        <v>110</v>
      </c>
      <c r="B112" s="3">
        <v>6410207117</v>
      </c>
      <c r="C112" s="4" t="s">
        <v>29</v>
      </c>
      <c r="D112" s="4" t="s">
        <v>347</v>
      </c>
      <c r="E112" s="4" t="s">
        <v>348</v>
      </c>
      <c r="F112" s="4" t="s">
        <v>78</v>
      </c>
      <c r="G112" s="4" t="s">
        <v>287</v>
      </c>
      <c r="H112" s="4" t="s">
        <v>338</v>
      </c>
      <c r="I112" s="3">
        <v>3</v>
      </c>
      <c r="J112" s="44" t="str">
        <f t="shared" si="9"/>
        <v>0</v>
      </c>
      <c r="K112" s="54">
        <v>1</v>
      </c>
      <c r="L112" s="69" t="str">
        <f t="shared" si="11"/>
        <v>0</v>
      </c>
      <c r="M112" s="74" t="str">
        <f t="shared" si="12"/>
        <v>1</v>
      </c>
      <c r="N112" s="29" t="str">
        <f t="shared" si="13"/>
        <v>0</v>
      </c>
      <c r="O112" s="61" t="str">
        <f t="shared" ca="1" si="14"/>
        <v>1</v>
      </c>
      <c r="P112" s="65" t="str">
        <f t="shared" si="15"/>
        <v>0</v>
      </c>
      <c r="Q112" s="46">
        <f t="shared" ca="1" si="17"/>
        <v>3</v>
      </c>
      <c r="R112" s="83" t="str">
        <f t="shared" ca="1" si="16"/>
        <v>ผ่าน</v>
      </c>
      <c r="S112" s="3" t="s">
        <v>28</v>
      </c>
      <c r="T112" s="32">
        <v>6510633230</v>
      </c>
      <c r="U112" s="50"/>
      <c r="V112" s="36">
        <v>6410106114</v>
      </c>
      <c r="W112" s="36">
        <v>6610414217</v>
      </c>
      <c r="X112" s="59">
        <v>6410488125</v>
      </c>
      <c r="Y112" s="41">
        <f ca="1">IFERROR(__xludf.DUMMYFUNCTION("""COMPUTED_VALUE"""),6410403206)</f>
        <v>6410403206</v>
      </c>
      <c r="Z112" s="36">
        <v>6410106122</v>
      </c>
    </row>
    <row r="113" spans="1:26" ht="18" customHeight="1">
      <c r="A113" s="3">
        <v>111</v>
      </c>
      <c r="B113" s="3">
        <v>6410207125</v>
      </c>
      <c r="C113" s="4" t="s">
        <v>29</v>
      </c>
      <c r="D113" s="4" t="s">
        <v>349</v>
      </c>
      <c r="E113" s="4" t="s">
        <v>350</v>
      </c>
      <c r="F113" s="4" t="s">
        <v>233</v>
      </c>
      <c r="G113" s="4" t="s">
        <v>287</v>
      </c>
      <c r="H113" s="4" t="s">
        <v>338</v>
      </c>
      <c r="I113" s="3">
        <v>3</v>
      </c>
      <c r="J113" s="44" t="str">
        <f t="shared" si="9"/>
        <v>0</v>
      </c>
      <c r="K113" s="54">
        <v>1</v>
      </c>
      <c r="L113" s="69" t="str">
        <f t="shared" si="11"/>
        <v>0</v>
      </c>
      <c r="M113" s="74" t="str">
        <f t="shared" si="12"/>
        <v>1</v>
      </c>
      <c r="N113" s="29" t="str">
        <f t="shared" si="13"/>
        <v>0</v>
      </c>
      <c r="O113" s="61" t="str">
        <f t="shared" ca="1" si="14"/>
        <v>1</v>
      </c>
      <c r="P113" s="65" t="str">
        <f t="shared" si="15"/>
        <v>1</v>
      </c>
      <c r="Q113" s="46">
        <f t="shared" ca="1" si="17"/>
        <v>4</v>
      </c>
      <c r="R113" s="83" t="str">
        <f t="shared" ca="1" si="16"/>
        <v>ผ่าน</v>
      </c>
      <c r="S113" s="3" t="s">
        <v>28</v>
      </c>
      <c r="T113" s="32">
        <v>6410083101</v>
      </c>
      <c r="U113" s="50">
        <v>6310207112</v>
      </c>
      <c r="V113" s="36">
        <v>6410106130</v>
      </c>
      <c r="W113" s="36">
        <v>6311506109</v>
      </c>
      <c r="X113" s="59">
        <v>6410488204</v>
      </c>
      <c r="Y113" s="40">
        <f ca="1">IFERROR(__xludf.DUMMYFUNCTION("""COMPUTED_VALUE"""),6410403213)</f>
        <v>6410403213</v>
      </c>
      <c r="Z113" s="36">
        <v>6410106215</v>
      </c>
    </row>
    <row r="114" spans="1:26" ht="18" customHeight="1">
      <c r="A114" s="3">
        <v>112</v>
      </c>
      <c r="B114" s="3">
        <v>6410207201</v>
      </c>
      <c r="C114" s="4" t="s">
        <v>22</v>
      </c>
      <c r="D114" s="4" t="s">
        <v>351</v>
      </c>
      <c r="E114" s="4" t="s">
        <v>352</v>
      </c>
      <c r="F114" s="4" t="s">
        <v>353</v>
      </c>
      <c r="G114" s="4" t="s">
        <v>287</v>
      </c>
      <c r="H114" s="4" t="s">
        <v>338</v>
      </c>
      <c r="I114" s="3">
        <v>3</v>
      </c>
      <c r="J114" s="44" t="str">
        <f t="shared" si="9"/>
        <v>0</v>
      </c>
      <c r="K114" s="54">
        <v>1</v>
      </c>
      <c r="L114" s="69" t="str">
        <f t="shared" si="11"/>
        <v>0</v>
      </c>
      <c r="M114" s="74" t="str">
        <f t="shared" si="12"/>
        <v>0</v>
      </c>
      <c r="N114" s="29" t="str">
        <f t="shared" si="13"/>
        <v>0</v>
      </c>
      <c r="O114" s="61" t="str">
        <f t="shared" ca="1" si="14"/>
        <v>1</v>
      </c>
      <c r="P114" s="65" t="str">
        <f t="shared" si="15"/>
        <v>0</v>
      </c>
      <c r="Q114" s="46">
        <f t="shared" ca="1" si="17"/>
        <v>2</v>
      </c>
      <c r="R114" s="3" t="str">
        <f t="shared" ca="1" si="16"/>
        <v>ไม่ผ่าน</v>
      </c>
      <c r="S114" s="3" t="s">
        <v>28</v>
      </c>
      <c r="T114" s="32">
        <v>6519633216</v>
      </c>
      <c r="U114" s="50"/>
      <c r="V114" s="36">
        <v>6410106122</v>
      </c>
      <c r="W114" s="36">
        <v>6410083108</v>
      </c>
      <c r="X114" s="59">
        <v>6610488210</v>
      </c>
      <c r="Y114" s="41">
        <f ca="1">IFERROR(__xludf.DUMMYFUNCTION("""COMPUTED_VALUE"""),6410403222)</f>
        <v>6410403222</v>
      </c>
      <c r="Z114" s="36">
        <v>6510633116</v>
      </c>
    </row>
    <row r="115" spans="1:26" ht="18" customHeight="1">
      <c r="A115" s="3">
        <v>113</v>
      </c>
      <c r="B115" s="3">
        <v>6410207205</v>
      </c>
      <c r="C115" s="4" t="s">
        <v>29</v>
      </c>
      <c r="D115" s="4" t="s">
        <v>354</v>
      </c>
      <c r="E115" s="4" t="s">
        <v>355</v>
      </c>
      <c r="F115" s="4" t="s">
        <v>356</v>
      </c>
      <c r="G115" s="4" t="s">
        <v>287</v>
      </c>
      <c r="H115" s="4" t="s">
        <v>338</v>
      </c>
      <c r="I115" s="3">
        <v>3</v>
      </c>
      <c r="J115" s="44" t="str">
        <f t="shared" si="9"/>
        <v>0</v>
      </c>
      <c r="K115" s="54" t="str">
        <f t="shared" si="10"/>
        <v>1</v>
      </c>
      <c r="L115" s="69" t="str">
        <f t="shared" si="11"/>
        <v>0</v>
      </c>
      <c r="M115" s="74" t="str">
        <f t="shared" si="12"/>
        <v>1</v>
      </c>
      <c r="N115" s="29" t="str">
        <f t="shared" si="13"/>
        <v>0</v>
      </c>
      <c r="O115" s="61" t="str">
        <f t="shared" ca="1" si="14"/>
        <v>1</v>
      </c>
      <c r="P115" s="65" t="str">
        <f t="shared" si="15"/>
        <v>1</v>
      </c>
      <c r="Q115" s="46">
        <f t="shared" ca="1" si="17"/>
        <v>4</v>
      </c>
      <c r="R115" s="83" t="str">
        <f t="shared" ca="1" si="16"/>
        <v>ผ่าน</v>
      </c>
      <c r="S115" s="3" t="s">
        <v>28</v>
      </c>
      <c r="T115" s="32">
        <v>6310403326</v>
      </c>
      <c r="U115" s="50">
        <v>6310633114</v>
      </c>
      <c r="V115" s="36">
        <v>6410488224</v>
      </c>
      <c r="W115" s="36">
        <v>6410083103</v>
      </c>
      <c r="X115" s="59">
        <v>6610488118</v>
      </c>
      <c r="Y115" s="40">
        <f ca="1">IFERROR(__xludf.DUMMYFUNCTION("""COMPUTED_VALUE"""),6410403224)</f>
        <v>6410403224</v>
      </c>
      <c r="Z115" s="36">
        <v>6610633202</v>
      </c>
    </row>
    <row r="116" spans="1:26" ht="18" customHeight="1">
      <c r="A116" s="3">
        <v>114</v>
      </c>
      <c r="B116" s="3">
        <v>6410207207</v>
      </c>
      <c r="C116" s="4" t="s">
        <v>29</v>
      </c>
      <c r="D116" s="4" t="s">
        <v>357</v>
      </c>
      <c r="E116" s="4" t="s">
        <v>358</v>
      </c>
      <c r="F116" s="4" t="s">
        <v>359</v>
      </c>
      <c r="G116" s="4" t="s">
        <v>287</v>
      </c>
      <c r="H116" s="4" t="s">
        <v>338</v>
      </c>
      <c r="I116" s="3">
        <v>3</v>
      </c>
      <c r="J116" s="44" t="str">
        <f t="shared" si="9"/>
        <v>0</v>
      </c>
      <c r="K116" s="54">
        <v>1</v>
      </c>
      <c r="L116" s="69" t="str">
        <f t="shared" si="11"/>
        <v>0</v>
      </c>
      <c r="M116" s="74" t="str">
        <f t="shared" si="12"/>
        <v>1</v>
      </c>
      <c r="N116" s="29" t="str">
        <f t="shared" si="13"/>
        <v>0</v>
      </c>
      <c r="O116" s="61" t="str">
        <f t="shared" ca="1" si="14"/>
        <v>1</v>
      </c>
      <c r="P116" s="65" t="str">
        <f t="shared" si="15"/>
        <v>1</v>
      </c>
      <c r="Q116" s="46">
        <f t="shared" ca="1" si="17"/>
        <v>4</v>
      </c>
      <c r="R116" s="83" t="str">
        <f t="shared" ca="1" si="16"/>
        <v>ผ่าน</v>
      </c>
      <c r="S116" s="3" t="s">
        <v>28</v>
      </c>
      <c r="T116" s="32">
        <v>6610633118</v>
      </c>
      <c r="U116" s="50">
        <v>6310633113</v>
      </c>
      <c r="V116" s="36">
        <v>6410488104</v>
      </c>
      <c r="W116" s="36">
        <v>6412743133</v>
      </c>
      <c r="X116" s="59"/>
      <c r="Y116" s="41">
        <f ca="1">IFERROR(__xludf.DUMMYFUNCTION("""COMPUTED_VALUE"""),6410403225)</f>
        <v>6410403225</v>
      </c>
      <c r="Z116" s="36">
        <v>6515964105</v>
      </c>
    </row>
    <row r="117" spans="1:26" ht="18" customHeight="1">
      <c r="A117" s="3">
        <v>115</v>
      </c>
      <c r="B117" s="3">
        <v>6410207225</v>
      </c>
      <c r="C117" s="4" t="s">
        <v>29</v>
      </c>
      <c r="D117" s="4" t="s">
        <v>360</v>
      </c>
      <c r="E117" s="4" t="s">
        <v>361</v>
      </c>
      <c r="F117" s="4" t="s">
        <v>362</v>
      </c>
      <c r="G117" s="4" t="s">
        <v>287</v>
      </c>
      <c r="H117" s="4" t="s">
        <v>338</v>
      </c>
      <c r="I117" s="3">
        <v>3</v>
      </c>
      <c r="J117" s="44" t="str">
        <f t="shared" si="9"/>
        <v>0</v>
      </c>
      <c r="K117" s="54" t="str">
        <f t="shared" si="10"/>
        <v>1</v>
      </c>
      <c r="L117" s="69" t="str">
        <f t="shared" si="11"/>
        <v>0</v>
      </c>
      <c r="M117" s="74" t="str">
        <f t="shared" si="12"/>
        <v>1</v>
      </c>
      <c r="N117" s="29" t="str">
        <f t="shared" si="13"/>
        <v>0</v>
      </c>
      <c r="O117" s="61" t="str">
        <f t="shared" ca="1" si="14"/>
        <v>1</v>
      </c>
      <c r="P117" s="65" t="str">
        <f t="shared" si="15"/>
        <v>1</v>
      </c>
      <c r="Q117" s="46">
        <f t="shared" ca="1" si="17"/>
        <v>4</v>
      </c>
      <c r="R117" s="83" t="str">
        <f t="shared" ca="1" si="16"/>
        <v>ผ่าน</v>
      </c>
      <c r="S117" s="3" t="s">
        <v>28</v>
      </c>
      <c r="T117" s="32">
        <v>6410488224</v>
      </c>
      <c r="U117" s="50"/>
      <c r="V117" s="36">
        <v>6410488107</v>
      </c>
      <c r="W117" s="36">
        <v>6412236126</v>
      </c>
      <c r="X117" s="59">
        <v>6610488116</v>
      </c>
      <c r="Y117" s="40">
        <f ca="1">IFERROR(__xludf.DUMMYFUNCTION("""COMPUTED_VALUE"""),6410403230)</f>
        <v>6410403230</v>
      </c>
      <c r="Z117" s="36">
        <v>6610633203</v>
      </c>
    </row>
    <row r="118" spans="1:26" ht="18" customHeight="1">
      <c r="A118" s="3">
        <v>116</v>
      </c>
      <c r="B118" s="3">
        <v>6410207226</v>
      </c>
      <c r="C118" s="4" t="s">
        <v>29</v>
      </c>
      <c r="D118" s="4" t="s">
        <v>363</v>
      </c>
      <c r="E118" s="4" t="s">
        <v>364</v>
      </c>
      <c r="F118" s="4" t="s">
        <v>365</v>
      </c>
      <c r="G118" s="4" t="s">
        <v>287</v>
      </c>
      <c r="H118" s="4" t="s">
        <v>338</v>
      </c>
      <c r="I118" s="3">
        <v>3</v>
      </c>
      <c r="J118" s="44" t="str">
        <f t="shared" si="9"/>
        <v>0</v>
      </c>
      <c r="K118" s="54" t="str">
        <f t="shared" si="10"/>
        <v>1</v>
      </c>
      <c r="L118" s="69" t="str">
        <f t="shared" si="11"/>
        <v>0</v>
      </c>
      <c r="M118" s="74" t="str">
        <f t="shared" si="12"/>
        <v>1</v>
      </c>
      <c r="N118" s="29" t="str">
        <f t="shared" si="13"/>
        <v>0</v>
      </c>
      <c r="O118" s="61" t="str">
        <f t="shared" ca="1" si="14"/>
        <v>1</v>
      </c>
      <c r="P118" s="65" t="str">
        <f t="shared" si="15"/>
        <v>1</v>
      </c>
      <c r="Q118" s="46">
        <f t="shared" ca="1" si="17"/>
        <v>4</v>
      </c>
      <c r="R118" s="83" t="str">
        <f t="shared" ca="1" si="16"/>
        <v>ผ่าน</v>
      </c>
      <c r="S118" s="3" t="s">
        <v>28</v>
      </c>
      <c r="T118" s="32">
        <v>6410048207</v>
      </c>
      <c r="U118" s="50">
        <v>6412743226</v>
      </c>
      <c r="V118" s="36">
        <v>6410488205</v>
      </c>
      <c r="W118" s="36">
        <v>6610488109</v>
      </c>
      <c r="X118" s="59">
        <v>6510488106</v>
      </c>
      <c r="Y118" s="41">
        <f ca="1">IFERROR(__xludf.DUMMYFUNCTION("""COMPUTED_VALUE"""),6410403232)</f>
        <v>6410403232</v>
      </c>
      <c r="Z118" s="36">
        <v>6510403226</v>
      </c>
    </row>
    <row r="119" spans="1:26" ht="18" customHeight="1">
      <c r="A119" s="3">
        <v>117</v>
      </c>
      <c r="B119" s="3">
        <v>6310207111</v>
      </c>
      <c r="C119" s="4" t="s">
        <v>29</v>
      </c>
      <c r="D119" s="4" t="s">
        <v>366</v>
      </c>
      <c r="E119" s="4" t="s">
        <v>367</v>
      </c>
      <c r="F119" s="4" t="s">
        <v>300</v>
      </c>
      <c r="G119" s="4" t="s">
        <v>287</v>
      </c>
      <c r="H119" s="4" t="s">
        <v>338</v>
      </c>
      <c r="I119" s="3">
        <v>4</v>
      </c>
      <c r="J119" s="44" t="str">
        <f t="shared" si="9"/>
        <v>0</v>
      </c>
      <c r="K119" s="54" t="str">
        <f t="shared" si="10"/>
        <v>1</v>
      </c>
      <c r="L119" s="69" t="str">
        <f t="shared" si="11"/>
        <v>0</v>
      </c>
      <c r="M119" s="74" t="str">
        <f t="shared" si="12"/>
        <v>1</v>
      </c>
      <c r="N119" s="29" t="str">
        <f t="shared" si="13"/>
        <v>0</v>
      </c>
      <c r="O119" s="61">
        <v>1</v>
      </c>
      <c r="P119" s="65">
        <v>1</v>
      </c>
      <c r="Q119" s="46">
        <f t="shared" si="17"/>
        <v>4</v>
      </c>
      <c r="R119" s="83" t="str">
        <f t="shared" si="16"/>
        <v>ผ่าน</v>
      </c>
      <c r="S119" s="3" t="s">
        <v>28</v>
      </c>
      <c r="T119" s="32">
        <v>6410633229</v>
      </c>
      <c r="V119" s="36">
        <v>6410488124</v>
      </c>
      <c r="W119" s="36">
        <v>6510403215</v>
      </c>
      <c r="X119" s="59">
        <v>6610488225</v>
      </c>
      <c r="Y119" s="40">
        <f ca="1">IFERROR(__xludf.DUMMYFUNCTION("""COMPUTED_VALUE"""),6410207114)</f>
        <v>6410207114</v>
      </c>
      <c r="Z119" s="36">
        <v>6410106216</v>
      </c>
    </row>
    <row r="120" spans="1:26" ht="18" customHeight="1">
      <c r="A120" s="3">
        <v>118</v>
      </c>
      <c r="B120" s="3">
        <v>6310207112</v>
      </c>
      <c r="C120" s="4" t="s">
        <v>29</v>
      </c>
      <c r="D120" s="4" t="s">
        <v>368</v>
      </c>
      <c r="E120" s="4" t="s">
        <v>369</v>
      </c>
      <c r="F120" s="4" t="s">
        <v>370</v>
      </c>
      <c r="G120" s="4" t="s">
        <v>287</v>
      </c>
      <c r="H120" s="4" t="s">
        <v>338</v>
      </c>
      <c r="I120" s="3">
        <v>4</v>
      </c>
      <c r="J120" s="44" t="str">
        <f t="shared" si="9"/>
        <v>0</v>
      </c>
      <c r="K120" s="54" t="str">
        <f t="shared" si="10"/>
        <v>0</v>
      </c>
      <c r="L120" s="69" t="str">
        <f t="shared" si="11"/>
        <v>1</v>
      </c>
      <c r="M120" s="74" t="str">
        <f t="shared" si="12"/>
        <v>1</v>
      </c>
      <c r="N120" s="29" t="str">
        <f t="shared" si="13"/>
        <v>0</v>
      </c>
      <c r="O120" s="61">
        <v>1</v>
      </c>
      <c r="P120" s="65">
        <v>1</v>
      </c>
      <c r="Q120" s="46">
        <f t="shared" si="17"/>
        <v>4</v>
      </c>
      <c r="R120" s="83" t="str">
        <f t="shared" si="16"/>
        <v>ผ่าน</v>
      </c>
      <c r="S120" s="3" t="s">
        <v>28</v>
      </c>
      <c r="T120" s="32">
        <v>6310633131</v>
      </c>
      <c r="V120" s="36">
        <v>6412743241</v>
      </c>
      <c r="W120" s="36">
        <v>6511506221</v>
      </c>
      <c r="X120" s="59">
        <v>6610488220</v>
      </c>
      <c r="Y120" s="41">
        <f ca="1">IFERROR(__xludf.DUMMYFUNCTION("""COMPUTED_VALUE"""),6410207117)</f>
        <v>6410207117</v>
      </c>
      <c r="Z120" s="36">
        <v>6410414211</v>
      </c>
    </row>
    <row r="121" spans="1:26" ht="18" customHeight="1">
      <c r="A121" s="3">
        <v>119</v>
      </c>
      <c r="B121" s="3">
        <v>6310207120</v>
      </c>
      <c r="C121" s="4" t="s">
        <v>29</v>
      </c>
      <c r="D121" s="4" t="s">
        <v>371</v>
      </c>
      <c r="E121" s="4" t="s">
        <v>372</v>
      </c>
      <c r="F121" s="4" t="s">
        <v>373</v>
      </c>
      <c r="G121" s="4" t="s">
        <v>287</v>
      </c>
      <c r="H121" s="4" t="s">
        <v>338</v>
      </c>
      <c r="I121" s="3">
        <v>4</v>
      </c>
      <c r="J121" s="44" t="str">
        <f t="shared" si="9"/>
        <v>0</v>
      </c>
      <c r="K121" s="54" t="str">
        <f t="shared" si="10"/>
        <v>0</v>
      </c>
      <c r="L121" s="69" t="str">
        <f t="shared" si="11"/>
        <v>0</v>
      </c>
      <c r="M121" s="74" t="str">
        <f t="shared" si="12"/>
        <v>1</v>
      </c>
      <c r="N121" s="29" t="str">
        <f t="shared" si="13"/>
        <v>0</v>
      </c>
      <c r="O121" s="61">
        <v>1</v>
      </c>
      <c r="P121" s="65">
        <v>1</v>
      </c>
      <c r="Q121" s="46">
        <f t="shared" si="17"/>
        <v>3</v>
      </c>
      <c r="R121" s="83" t="str">
        <f t="shared" si="16"/>
        <v>ผ่าน</v>
      </c>
      <c r="S121" s="3" t="s">
        <v>28</v>
      </c>
      <c r="T121" s="32">
        <v>6512798114</v>
      </c>
      <c r="V121" s="36">
        <v>6412743207</v>
      </c>
      <c r="W121" s="36">
        <v>6310106105</v>
      </c>
      <c r="X121" s="59">
        <v>6512743224</v>
      </c>
      <c r="Y121" s="40">
        <f ca="1">IFERROR(__xludf.DUMMYFUNCTION("""COMPUTED_VALUE"""),6410207125)</f>
        <v>6410207125</v>
      </c>
      <c r="Z121" s="36">
        <v>6410488103</v>
      </c>
    </row>
    <row r="122" spans="1:26" ht="18" customHeight="1">
      <c r="A122" s="3">
        <v>120</v>
      </c>
      <c r="B122" s="3">
        <v>6310207206</v>
      </c>
      <c r="C122" s="4" t="s">
        <v>29</v>
      </c>
      <c r="D122" s="4" t="s">
        <v>135</v>
      </c>
      <c r="E122" s="4" t="s">
        <v>374</v>
      </c>
      <c r="F122" s="4" t="s">
        <v>127</v>
      </c>
      <c r="G122" s="4" t="s">
        <v>287</v>
      </c>
      <c r="H122" s="4" t="s">
        <v>338</v>
      </c>
      <c r="I122" s="3">
        <v>4</v>
      </c>
      <c r="J122" s="44" t="str">
        <f t="shared" si="9"/>
        <v>0</v>
      </c>
      <c r="K122" s="54" t="str">
        <f t="shared" si="10"/>
        <v>1</v>
      </c>
      <c r="L122" s="69" t="str">
        <f t="shared" si="11"/>
        <v>0</v>
      </c>
      <c r="M122" s="74" t="str">
        <f t="shared" si="12"/>
        <v>1</v>
      </c>
      <c r="N122" s="29" t="str">
        <f t="shared" si="13"/>
        <v>0</v>
      </c>
      <c r="O122" s="61" t="str">
        <f t="shared" ca="1" si="14"/>
        <v>1</v>
      </c>
      <c r="P122" s="65">
        <v>1</v>
      </c>
      <c r="Q122" s="46">
        <f t="shared" ca="1" si="17"/>
        <v>4</v>
      </c>
      <c r="R122" s="83" t="str">
        <f t="shared" ca="1" si="16"/>
        <v>ผ่าน</v>
      </c>
      <c r="S122" s="3" t="s">
        <v>28</v>
      </c>
      <c r="T122" s="32">
        <v>6510633117</v>
      </c>
      <c r="V122" s="36">
        <v>6412743131</v>
      </c>
      <c r="W122" s="36">
        <v>6310106204</v>
      </c>
      <c r="X122" s="59">
        <v>6512743226</v>
      </c>
      <c r="Y122" s="41">
        <f ca="1">IFERROR(__xludf.DUMMYFUNCTION("""COMPUTED_VALUE"""),6410207205)</f>
        <v>6410207205</v>
      </c>
      <c r="Z122" s="36">
        <v>6512247108</v>
      </c>
    </row>
    <row r="123" spans="1:26" ht="18" customHeight="1">
      <c r="A123" s="3">
        <v>121</v>
      </c>
      <c r="B123" s="3">
        <v>6310207210</v>
      </c>
      <c r="C123" s="4" t="s">
        <v>29</v>
      </c>
      <c r="D123" s="4" t="s">
        <v>375</v>
      </c>
      <c r="E123" s="4" t="s">
        <v>376</v>
      </c>
      <c r="F123" s="4" t="s">
        <v>377</v>
      </c>
      <c r="G123" s="4" t="s">
        <v>287</v>
      </c>
      <c r="H123" s="4" t="s">
        <v>338</v>
      </c>
      <c r="I123" s="3">
        <v>4</v>
      </c>
      <c r="J123" s="44" t="str">
        <f t="shared" si="9"/>
        <v>0</v>
      </c>
      <c r="K123" s="54" t="str">
        <f t="shared" si="10"/>
        <v>1</v>
      </c>
      <c r="L123" s="69" t="str">
        <f t="shared" si="11"/>
        <v>0</v>
      </c>
      <c r="M123" s="74" t="str">
        <f t="shared" si="12"/>
        <v>1</v>
      </c>
      <c r="N123" s="29" t="str">
        <f t="shared" si="13"/>
        <v>0</v>
      </c>
      <c r="O123" s="61" t="str">
        <f t="shared" ca="1" si="14"/>
        <v>1</v>
      </c>
      <c r="P123" s="65">
        <v>1</v>
      </c>
      <c r="Q123" s="46">
        <f t="shared" ca="1" si="17"/>
        <v>4</v>
      </c>
      <c r="R123" s="83" t="str">
        <f t="shared" ca="1" si="16"/>
        <v>ผ่าน</v>
      </c>
      <c r="S123" s="3" t="s">
        <v>28</v>
      </c>
      <c r="T123" s="32">
        <v>6512743109</v>
      </c>
      <c r="V123" s="36">
        <v>6412743150</v>
      </c>
      <c r="W123" s="36">
        <v>6410073114</v>
      </c>
      <c r="X123" s="59">
        <v>6512743109</v>
      </c>
      <c r="Y123" s="40">
        <f ca="1">IFERROR(__xludf.DUMMYFUNCTION("""COMPUTED_VALUE"""),6410207225)</f>
        <v>6410207225</v>
      </c>
      <c r="Z123" s="36">
        <v>6512798112</v>
      </c>
    </row>
    <row r="124" spans="1:26" ht="18" customHeight="1">
      <c r="A124" s="3">
        <v>122</v>
      </c>
      <c r="B124" s="3">
        <v>6310207215</v>
      </c>
      <c r="C124" s="4" t="s">
        <v>29</v>
      </c>
      <c r="D124" s="4" t="s">
        <v>378</v>
      </c>
      <c r="E124" s="4" t="s">
        <v>379</v>
      </c>
      <c r="F124" s="4" t="s">
        <v>380</v>
      </c>
      <c r="G124" s="4" t="s">
        <v>287</v>
      </c>
      <c r="H124" s="4" t="s">
        <v>338</v>
      </c>
      <c r="I124" s="3">
        <v>4</v>
      </c>
      <c r="J124" s="44" t="str">
        <f t="shared" si="9"/>
        <v>0</v>
      </c>
      <c r="K124" s="54" t="str">
        <f t="shared" si="10"/>
        <v>1</v>
      </c>
      <c r="L124" s="69" t="str">
        <f t="shared" si="11"/>
        <v>0</v>
      </c>
      <c r="M124" s="74" t="str">
        <f t="shared" si="12"/>
        <v>1</v>
      </c>
      <c r="N124" s="29" t="str">
        <f t="shared" si="13"/>
        <v>0</v>
      </c>
      <c r="O124" s="61">
        <v>1</v>
      </c>
      <c r="P124" s="65">
        <v>1</v>
      </c>
      <c r="Q124" s="46">
        <f t="shared" si="17"/>
        <v>4</v>
      </c>
      <c r="R124" s="83" t="str">
        <f t="shared" si="16"/>
        <v>ผ่าน</v>
      </c>
      <c r="S124" s="3" t="s">
        <v>28</v>
      </c>
      <c r="T124" s="32">
        <v>6610633203</v>
      </c>
      <c r="V124" s="36">
        <v>6412743228</v>
      </c>
      <c r="W124" s="36">
        <v>6310414119</v>
      </c>
      <c r="X124" s="59"/>
      <c r="Y124" s="41">
        <f ca="1">IFERROR(__xludf.DUMMYFUNCTION("""COMPUTED_VALUE"""),6410633230)</f>
        <v>6410633230</v>
      </c>
      <c r="Z124" s="36">
        <v>6410073121</v>
      </c>
    </row>
    <row r="125" spans="1:26" ht="18" customHeight="1">
      <c r="A125" s="3">
        <v>123</v>
      </c>
      <c r="B125" s="3">
        <v>6610633104</v>
      </c>
      <c r="C125" s="4" t="s">
        <v>22</v>
      </c>
      <c r="D125" s="4" t="s">
        <v>381</v>
      </c>
      <c r="E125" s="4" t="s">
        <v>382</v>
      </c>
      <c r="F125" s="4" t="s">
        <v>383</v>
      </c>
      <c r="G125" s="4" t="s">
        <v>287</v>
      </c>
      <c r="H125" s="4" t="s">
        <v>384</v>
      </c>
      <c r="I125" s="3">
        <v>1</v>
      </c>
      <c r="J125" s="45" t="str">
        <f t="shared" si="9"/>
        <v>1</v>
      </c>
      <c r="K125" s="54" t="str">
        <f t="shared" si="10"/>
        <v>0</v>
      </c>
      <c r="L125" s="69" t="str">
        <f t="shared" si="11"/>
        <v>1</v>
      </c>
      <c r="M125" s="74" t="str">
        <f t="shared" si="12"/>
        <v>0</v>
      </c>
      <c r="N125" s="29" t="str">
        <f t="shared" si="13"/>
        <v>1</v>
      </c>
      <c r="O125" s="61" t="str">
        <f t="shared" ca="1" si="14"/>
        <v>1</v>
      </c>
      <c r="P125" s="65" t="str">
        <f t="shared" si="15"/>
        <v>1</v>
      </c>
      <c r="Q125" s="46">
        <f t="shared" ca="1" si="17"/>
        <v>5</v>
      </c>
      <c r="R125" s="83" t="str">
        <f t="shared" ca="1" si="16"/>
        <v>ผ่าน</v>
      </c>
      <c r="S125" s="3" t="s">
        <v>28</v>
      </c>
      <c r="T125" s="32">
        <v>6415964119</v>
      </c>
      <c r="V125" s="36">
        <v>6412743122</v>
      </c>
      <c r="W125" s="36">
        <v>6411506228</v>
      </c>
      <c r="X125" s="59"/>
      <c r="Y125" s="40">
        <f ca="1">IFERROR(__xludf.DUMMYFUNCTION("""COMPUTED_VALUE"""),6412236126)</f>
        <v>6412236126</v>
      </c>
      <c r="Z125" s="36">
        <v>6410106213</v>
      </c>
    </row>
    <row r="126" spans="1:26" ht="18" customHeight="1">
      <c r="A126" s="3">
        <v>124</v>
      </c>
      <c r="B126" s="3">
        <v>6610633106</v>
      </c>
      <c r="C126" s="4" t="s">
        <v>22</v>
      </c>
      <c r="D126" s="4" t="s">
        <v>385</v>
      </c>
      <c r="E126" s="4" t="s">
        <v>386</v>
      </c>
      <c r="F126" s="4" t="s">
        <v>115</v>
      </c>
      <c r="G126" s="4" t="s">
        <v>287</v>
      </c>
      <c r="H126" s="4" t="s">
        <v>384</v>
      </c>
      <c r="I126" s="3">
        <v>1</v>
      </c>
      <c r="J126" s="45" t="str">
        <f t="shared" si="9"/>
        <v>1</v>
      </c>
      <c r="K126" s="54" t="str">
        <f t="shared" si="10"/>
        <v>0</v>
      </c>
      <c r="L126" s="69" t="str">
        <f t="shared" si="11"/>
        <v>1</v>
      </c>
      <c r="M126" s="74" t="str">
        <f t="shared" si="12"/>
        <v>0</v>
      </c>
      <c r="N126" s="29" t="str">
        <f t="shared" si="13"/>
        <v>1</v>
      </c>
      <c r="O126" s="61" t="str">
        <f t="shared" ca="1" si="14"/>
        <v>1</v>
      </c>
      <c r="P126" s="65" t="str">
        <f t="shared" si="15"/>
        <v>1</v>
      </c>
      <c r="Q126" s="46">
        <f t="shared" ca="1" si="17"/>
        <v>5</v>
      </c>
      <c r="R126" s="83" t="str">
        <f t="shared" ca="1" si="16"/>
        <v>ผ่าน</v>
      </c>
      <c r="S126" s="3" t="s">
        <v>28</v>
      </c>
      <c r="T126" s="32">
        <v>6410403105</v>
      </c>
      <c r="V126" s="36">
        <v>6412866227</v>
      </c>
      <c r="W126" s="36">
        <v>6411506131</v>
      </c>
      <c r="X126" s="59"/>
      <c r="Y126" s="41">
        <f ca="1">IFERROR(__xludf.DUMMYFUNCTION("""COMPUTED_VALUE"""),6412236205)</f>
        <v>6412236205</v>
      </c>
      <c r="Z126" s="36">
        <v>6412798123</v>
      </c>
    </row>
    <row r="127" spans="1:26" ht="18" customHeight="1">
      <c r="A127" s="3">
        <v>125</v>
      </c>
      <c r="B127" s="3">
        <v>6610633107</v>
      </c>
      <c r="C127" s="4" t="s">
        <v>22</v>
      </c>
      <c r="D127" s="4" t="s">
        <v>387</v>
      </c>
      <c r="E127" s="4" t="s">
        <v>388</v>
      </c>
      <c r="F127" s="4" t="s">
        <v>389</v>
      </c>
      <c r="G127" s="4" t="s">
        <v>287</v>
      </c>
      <c r="H127" s="4" t="s">
        <v>384</v>
      </c>
      <c r="I127" s="3">
        <v>1</v>
      </c>
      <c r="J127" s="45" t="str">
        <f t="shared" si="9"/>
        <v>1</v>
      </c>
      <c r="K127" s="54" t="str">
        <f t="shared" si="10"/>
        <v>1</v>
      </c>
      <c r="L127" s="69" t="str">
        <f t="shared" si="11"/>
        <v>0</v>
      </c>
      <c r="M127" s="74" t="str">
        <f t="shared" si="12"/>
        <v>0</v>
      </c>
      <c r="N127" s="29" t="str">
        <f t="shared" si="13"/>
        <v>0</v>
      </c>
      <c r="O127" s="61" t="str">
        <f t="shared" ca="1" si="14"/>
        <v>1</v>
      </c>
      <c r="P127" s="65" t="str">
        <f t="shared" si="15"/>
        <v>1</v>
      </c>
      <c r="Q127" s="46">
        <f t="shared" ca="1" si="17"/>
        <v>4</v>
      </c>
      <c r="R127" s="83" t="str">
        <f t="shared" ca="1" si="16"/>
        <v>ผ่าน</v>
      </c>
      <c r="S127" s="3" t="s">
        <v>28</v>
      </c>
      <c r="T127" s="32">
        <v>6610488127</v>
      </c>
      <c r="V127" s="36">
        <v>6412866119</v>
      </c>
      <c r="W127" s="36">
        <v>6512258120</v>
      </c>
      <c r="X127" s="59"/>
      <c r="Y127" s="40">
        <f ca="1">IFERROR(__xludf.DUMMYFUNCTION("""COMPUTED_VALUE"""),6412236230)</f>
        <v>6412236230</v>
      </c>
      <c r="Z127" s="36">
        <v>6410106119</v>
      </c>
    </row>
    <row r="128" spans="1:26" ht="18" customHeight="1">
      <c r="A128" s="3">
        <v>126</v>
      </c>
      <c r="B128" s="3">
        <v>6610633108</v>
      </c>
      <c r="C128" s="4" t="s">
        <v>22</v>
      </c>
      <c r="D128" s="4" t="s">
        <v>113</v>
      </c>
      <c r="E128" s="4" t="s">
        <v>390</v>
      </c>
      <c r="F128" s="4" t="s">
        <v>391</v>
      </c>
      <c r="G128" s="4" t="s">
        <v>287</v>
      </c>
      <c r="H128" s="4" t="s">
        <v>384</v>
      </c>
      <c r="I128" s="3">
        <v>1</v>
      </c>
      <c r="J128" s="45" t="str">
        <f t="shared" si="9"/>
        <v>1</v>
      </c>
      <c r="K128" s="54" t="str">
        <f t="shared" si="10"/>
        <v>0</v>
      </c>
      <c r="L128" s="69" t="str">
        <f t="shared" si="11"/>
        <v>1</v>
      </c>
      <c r="M128" s="74" t="str">
        <f t="shared" si="12"/>
        <v>0</v>
      </c>
      <c r="N128" s="29" t="str">
        <f t="shared" si="13"/>
        <v>1</v>
      </c>
      <c r="O128" s="61" t="str">
        <f t="shared" ca="1" si="14"/>
        <v>1</v>
      </c>
      <c r="P128" s="65" t="str">
        <f t="shared" si="15"/>
        <v>1</v>
      </c>
      <c r="Q128" s="46">
        <f t="shared" ca="1" si="17"/>
        <v>5</v>
      </c>
      <c r="R128" s="83" t="str">
        <f t="shared" ca="1" si="16"/>
        <v>ผ่าน</v>
      </c>
      <c r="S128" s="3" t="s">
        <v>28</v>
      </c>
      <c r="T128" s="32">
        <v>6412743207</v>
      </c>
      <c r="V128" s="36">
        <v>6412866115</v>
      </c>
      <c r="W128" s="36">
        <v>6310106216</v>
      </c>
      <c r="X128" s="59"/>
      <c r="Y128" s="41">
        <f ca="1">IFERROR(__xludf.DUMMYFUNCTION("""COMPUTED_VALUE"""),6410068203)</f>
        <v>6410068203</v>
      </c>
      <c r="Z128" s="36">
        <v>6410059112</v>
      </c>
    </row>
    <row r="129" spans="1:26" ht="18" customHeight="1">
      <c r="A129" s="3">
        <v>127</v>
      </c>
      <c r="B129" s="3">
        <v>6610633110</v>
      </c>
      <c r="C129" s="4" t="s">
        <v>22</v>
      </c>
      <c r="D129" s="4" t="s">
        <v>392</v>
      </c>
      <c r="E129" s="4" t="s">
        <v>393</v>
      </c>
      <c r="F129" s="4" t="s">
        <v>394</v>
      </c>
      <c r="G129" s="4" t="s">
        <v>287</v>
      </c>
      <c r="H129" s="4" t="s">
        <v>384</v>
      </c>
      <c r="I129" s="3">
        <v>1</v>
      </c>
      <c r="J129" s="44" t="str">
        <f t="shared" si="9"/>
        <v>0</v>
      </c>
      <c r="K129" s="54" t="str">
        <f t="shared" si="10"/>
        <v>0</v>
      </c>
      <c r="L129" s="69" t="str">
        <f t="shared" si="11"/>
        <v>1</v>
      </c>
      <c r="M129" s="74" t="str">
        <f t="shared" si="12"/>
        <v>0</v>
      </c>
      <c r="N129" s="29" t="str">
        <f t="shared" si="13"/>
        <v>0</v>
      </c>
      <c r="O129" s="61" t="str">
        <f t="shared" ca="1" si="14"/>
        <v>0</v>
      </c>
      <c r="P129" s="65" t="str">
        <f t="shared" si="15"/>
        <v>0</v>
      </c>
      <c r="Q129" s="46">
        <f t="shared" ca="1" si="17"/>
        <v>1</v>
      </c>
      <c r="R129" s="84" t="s">
        <v>395</v>
      </c>
      <c r="S129" s="3" t="s">
        <v>28</v>
      </c>
      <c r="T129" s="32">
        <v>6610414201</v>
      </c>
      <c r="V129" s="36">
        <v>6412866221</v>
      </c>
      <c r="W129" s="36">
        <v>6310106203</v>
      </c>
      <c r="X129" s="59">
        <v>6410048242</v>
      </c>
      <c r="Y129" s="40">
        <f ca="1">IFERROR(__xludf.DUMMYFUNCTION("""COMPUTED_VALUE"""),6410068205)</f>
        <v>6410068205</v>
      </c>
      <c r="Z129" s="36">
        <v>6510403230</v>
      </c>
    </row>
    <row r="130" spans="1:26" ht="18" customHeight="1">
      <c r="A130" s="3">
        <v>128</v>
      </c>
      <c r="B130" s="3">
        <v>6610633111</v>
      </c>
      <c r="C130" s="4" t="s">
        <v>22</v>
      </c>
      <c r="D130" s="4" t="s">
        <v>396</v>
      </c>
      <c r="E130" s="4" t="s">
        <v>397</v>
      </c>
      <c r="F130" s="4" t="s">
        <v>398</v>
      </c>
      <c r="G130" s="4" t="s">
        <v>287</v>
      </c>
      <c r="H130" s="4" t="s">
        <v>384</v>
      </c>
      <c r="I130" s="3">
        <v>1</v>
      </c>
      <c r="J130" s="45" t="str">
        <f t="shared" si="9"/>
        <v>1</v>
      </c>
      <c r="K130" s="54" t="str">
        <f t="shared" si="10"/>
        <v>1</v>
      </c>
      <c r="L130" s="69" t="str">
        <f t="shared" si="11"/>
        <v>0</v>
      </c>
      <c r="M130" s="74" t="str">
        <f t="shared" si="12"/>
        <v>0</v>
      </c>
      <c r="N130" s="29" t="str">
        <f t="shared" si="13"/>
        <v>0</v>
      </c>
      <c r="O130" s="61" t="str">
        <f t="shared" ca="1" si="14"/>
        <v>1</v>
      </c>
      <c r="P130" s="65" t="str">
        <f t="shared" si="15"/>
        <v>1</v>
      </c>
      <c r="Q130" s="46">
        <f t="shared" ca="1" si="17"/>
        <v>4</v>
      </c>
      <c r="R130" s="83" t="str">
        <f t="shared" ca="1" si="16"/>
        <v>ผ่าน</v>
      </c>
      <c r="S130" s="3" t="s">
        <v>28</v>
      </c>
      <c r="T130" s="32">
        <v>6310633126</v>
      </c>
      <c r="V130" s="36">
        <v>6412866216</v>
      </c>
      <c r="W130" s="36">
        <v>6410073116</v>
      </c>
      <c r="X130" s="59">
        <v>6410048103</v>
      </c>
      <c r="Y130" s="41">
        <f ca="1">IFERROR(__xludf.DUMMYFUNCTION("""COMPUTED_VALUE"""),6410488102)</f>
        <v>6410488102</v>
      </c>
      <c r="Z130" s="36">
        <v>6512798114</v>
      </c>
    </row>
    <row r="131" spans="1:26" ht="18" customHeight="1">
      <c r="A131" s="3">
        <v>129</v>
      </c>
      <c r="B131" s="3">
        <v>6610633112</v>
      </c>
      <c r="C131" s="4" t="s">
        <v>22</v>
      </c>
      <c r="D131" s="4" t="s">
        <v>399</v>
      </c>
      <c r="E131" s="4" t="s">
        <v>400</v>
      </c>
      <c r="F131" s="4" t="s">
        <v>401</v>
      </c>
      <c r="G131" s="4" t="s">
        <v>287</v>
      </c>
      <c r="H131" s="4" t="s">
        <v>384</v>
      </c>
      <c r="I131" s="3">
        <v>1</v>
      </c>
      <c r="J131" s="45" t="str">
        <f t="shared" ref="J131:J194" si="18">IF(IFERROR(VLOOKUP(B131,DATA,1,FALSE),),"1","0")</f>
        <v>1</v>
      </c>
      <c r="K131" s="54" t="str">
        <f t="shared" ref="K131:K194" si="19">IF(IFERROR(VLOOKUP(B131,DATA8,1,FALSE),),"1","0")</f>
        <v>1</v>
      </c>
      <c r="L131" s="69" t="str">
        <f t="shared" ref="L131:L194" si="20">IF(IFERROR(VLOOKUP(B131,DATA7,1,FALSE),),"1","0")</f>
        <v>0</v>
      </c>
      <c r="M131" s="74" t="str">
        <f t="shared" ref="M131:M194" si="21">IF(IFERROR(VLOOKUP(B131,DATA9,1,FALSE),),"1","0")</f>
        <v>1</v>
      </c>
      <c r="N131" s="29" t="str">
        <f t="shared" ref="N131:N194" si="22">IF(IFERROR(VLOOKUP(B131,DATA10,1,FALSE),),"1","0")</f>
        <v>0</v>
      </c>
      <c r="O131" s="61" t="str">
        <f t="shared" ref="O131:O194" ca="1" si="23">IF(IFERROR(VLOOKUP(B131,DATA11,1,FALSE),),"1","0")</f>
        <v>1</v>
      </c>
      <c r="P131" s="65" t="str">
        <f t="shared" ref="P131:P194" si="24">IF(IFERROR(VLOOKUP(B131,DATA12,1,FALSE),),"1","0")</f>
        <v>1</v>
      </c>
      <c r="Q131" s="46">
        <f t="shared" ca="1" si="17"/>
        <v>5</v>
      </c>
      <c r="R131" s="83" t="str">
        <f t="shared" ref="R131:R194" ca="1" si="25">IF(Q131&gt;=3,"ผ่าน",IF(Q131&lt;3,"ไม่ผ่าน"))</f>
        <v>ผ่าน</v>
      </c>
      <c r="S131" s="3" t="s">
        <v>28</v>
      </c>
      <c r="T131" s="32">
        <v>6310633223</v>
      </c>
      <c r="V131" s="36">
        <v>6410048103</v>
      </c>
      <c r="W131" s="36">
        <v>6410207125</v>
      </c>
      <c r="X131" s="59">
        <v>6410048207</v>
      </c>
      <c r="Y131" s="40">
        <f ca="1">IFERROR(__xludf.DUMMYFUNCTION("""COMPUTED_VALUE"""),6410488104)</f>
        <v>6410488104</v>
      </c>
      <c r="Z131" s="36">
        <v>6410403113</v>
      </c>
    </row>
    <row r="132" spans="1:26" ht="18" customHeight="1">
      <c r="A132" s="3">
        <v>130</v>
      </c>
      <c r="B132" s="3">
        <v>6610633118</v>
      </c>
      <c r="C132" s="4" t="s">
        <v>29</v>
      </c>
      <c r="D132" s="4" t="s">
        <v>402</v>
      </c>
      <c r="E132" s="4" t="s">
        <v>403</v>
      </c>
      <c r="F132" s="4" t="s">
        <v>242</v>
      </c>
      <c r="G132" s="4" t="s">
        <v>287</v>
      </c>
      <c r="H132" s="4" t="s">
        <v>384</v>
      </c>
      <c r="I132" s="3">
        <v>1</v>
      </c>
      <c r="J132" s="45" t="str">
        <f t="shared" si="18"/>
        <v>1</v>
      </c>
      <c r="K132" s="54" t="str">
        <f t="shared" si="19"/>
        <v>0</v>
      </c>
      <c r="L132" s="69" t="str">
        <f t="shared" si="20"/>
        <v>1</v>
      </c>
      <c r="M132" s="74" t="str">
        <f t="shared" si="21"/>
        <v>0</v>
      </c>
      <c r="N132" s="29" t="str">
        <f t="shared" si="22"/>
        <v>1</v>
      </c>
      <c r="O132" s="61" t="str">
        <f t="shared" ca="1" si="23"/>
        <v>1</v>
      </c>
      <c r="P132" s="65" t="str">
        <f t="shared" si="24"/>
        <v>1</v>
      </c>
      <c r="Q132" s="46">
        <f t="shared" ref="Q132:Q195" ca="1" si="26">J132+K132+L132+M132+N132+O132+P132</f>
        <v>5</v>
      </c>
      <c r="R132" s="83" t="str">
        <f t="shared" ca="1" si="25"/>
        <v>ผ่าน</v>
      </c>
      <c r="S132" s="3" t="s">
        <v>28</v>
      </c>
      <c r="T132" s="32">
        <v>6510014115</v>
      </c>
      <c r="V132" s="36">
        <v>6410048127</v>
      </c>
      <c r="W132" s="36">
        <v>6310106109</v>
      </c>
      <c r="X132" s="59">
        <v>6410048104</v>
      </c>
      <c r="Y132" s="41">
        <f ca="1">IFERROR(__xludf.DUMMYFUNCTION("""COMPUTED_VALUE"""),6410488105)</f>
        <v>6410488105</v>
      </c>
      <c r="Z132" s="36">
        <v>6410414203</v>
      </c>
    </row>
    <row r="133" spans="1:26" ht="18" customHeight="1">
      <c r="A133" s="3">
        <v>131</v>
      </c>
      <c r="B133" s="3">
        <v>6610633123</v>
      </c>
      <c r="C133" s="4" t="s">
        <v>29</v>
      </c>
      <c r="D133" s="4" t="s">
        <v>404</v>
      </c>
      <c r="E133" s="4" t="s">
        <v>405</v>
      </c>
      <c r="F133" s="4" t="s">
        <v>406</v>
      </c>
      <c r="G133" s="4" t="s">
        <v>287</v>
      </c>
      <c r="H133" s="4" t="s">
        <v>384</v>
      </c>
      <c r="I133" s="3">
        <v>1</v>
      </c>
      <c r="J133" s="45" t="str">
        <f t="shared" si="18"/>
        <v>1</v>
      </c>
      <c r="K133" s="54" t="str">
        <f t="shared" si="19"/>
        <v>1</v>
      </c>
      <c r="L133" s="69" t="str">
        <f t="shared" si="20"/>
        <v>0</v>
      </c>
      <c r="M133" s="74" t="str">
        <f t="shared" si="21"/>
        <v>0</v>
      </c>
      <c r="N133" s="29" t="str">
        <f t="shared" si="22"/>
        <v>0</v>
      </c>
      <c r="O133" s="61" t="str">
        <f t="shared" ca="1" si="23"/>
        <v>1</v>
      </c>
      <c r="P133" s="65" t="str">
        <f t="shared" si="24"/>
        <v>1</v>
      </c>
      <c r="Q133" s="46">
        <f t="shared" ca="1" si="26"/>
        <v>4</v>
      </c>
      <c r="R133" s="83" t="str">
        <f t="shared" ca="1" si="25"/>
        <v>ผ่าน</v>
      </c>
      <c r="S133" s="3" t="s">
        <v>28</v>
      </c>
      <c r="T133" s="32">
        <v>6310633229</v>
      </c>
      <c r="V133" s="36">
        <v>6410048154</v>
      </c>
      <c r="W133" s="36">
        <v>6312325106</v>
      </c>
      <c r="X133" s="59">
        <v>6610414221</v>
      </c>
      <c r="Y133" s="40">
        <f ca="1">IFERROR(__xludf.DUMMYFUNCTION("""COMPUTED_VALUE"""),6410488106)</f>
        <v>6410488106</v>
      </c>
      <c r="Z133" s="36">
        <v>6412236126</v>
      </c>
    </row>
    <row r="134" spans="1:26" ht="18" customHeight="1">
      <c r="A134" s="3">
        <v>132</v>
      </c>
      <c r="B134" s="3">
        <v>6610633132</v>
      </c>
      <c r="C134" s="4" t="s">
        <v>29</v>
      </c>
      <c r="D134" s="4" t="s">
        <v>407</v>
      </c>
      <c r="E134" s="4" t="s">
        <v>408</v>
      </c>
      <c r="F134" s="4" t="s">
        <v>409</v>
      </c>
      <c r="G134" s="4" t="s">
        <v>287</v>
      </c>
      <c r="H134" s="4" t="s">
        <v>384</v>
      </c>
      <c r="I134" s="3">
        <v>1</v>
      </c>
      <c r="J134" s="45" t="str">
        <f t="shared" si="18"/>
        <v>1</v>
      </c>
      <c r="K134" s="54" t="str">
        <f t="shared" si="19"/>
        <v>1</v>
      </c>
      <c r="L134" s="69" t="str">
        <f t="shared" si="20"/>
        <v>0</v>
      </c>
      <c r="M134" s="74" t="str">
        <f t="shared" si="21"/>
        <v>0</v>
      </c>
      <c r="N134" s="29" t="str">
        <f t="shared" si="22"/>
        <v>1</v>
      </c>
      <c r="O134" s="61" t="str">
        <f t="shared" ca="1" si="23"/>
        <v>0</v>
      </c>
      <c r="P134" s="65" t="str">
        <f t="shared" si="24"/>
        <v>0</v>
      </c>
      <c r="Q134" s="46">
        <f t="shared" ca="1" si="26"/>
        <v>3</v>
      </c>
      <c r="R134" s="83" t="str">
        <f t="shared" ca="1" si="25"/>
        <v>ผ่าน</v>
      </c>
      <c r="S134" s="3" t="s">
        <v>28</v>
      </c>
      <c r="T134" s="32">
        <v>6410488125</v>
      </c>
      <c r="V134" s="36">
        <v>6410048141</v>
      </c>
      <c r="W134" s="36">
        <v>6612732118</v>
      </c>
      <c r="X134" s="59">
        <v>6610414208</v>
      </c>
      <c r="Y134" s="41">
        <f ca="1">IFERROR(__xludf.DUMMYFUNCTION("""COMPUTED_VALUE"""),6410488107)</f>
        <v>6410488107</v>
      </c>
      <c r="Z134" s="36">
        <v>6510207206</v>
      </c>
    </row>
    <row r="135" spans="1:26" ht="18" customHeight="1">
      <c r="A135" s="3">
        <v>133</v>
      </c>
      <c r="B135" s="3">
        <v>6610633202</v>
      </c>
      <c r="C135" s="4" t="s">
        <v>22</v>
      </c>
      <c r="D135" s="4" t="s">
        <v>410</v>
      </c>
      <c r="E135" s="4" t="s">
        <v>411</v>
      </c>
      <c r="F135" s="4" t="s">
        <v>412</v>
      </c>
      <c r="G135" s="4" t="s">
        <v>287</v>
      </c>
      <c r="H135" s="4" t="s">
        <v>384</v>
      </c>
      <c r="I135" s="3">
        <v>1</v>
      </c>
      <c r="J135" s="45" t="str">
        <f t="shared" si="18"/>
        <v>1</v>
      </c>
      <c r="K135" s="54" t="str">
        <f t="shared" si="19"/>
        <v>0</v>
      </c>
      <c r="L135" s="69" t="str">
        <f t="shared" si="20"/>
        <v>1</v>
      </c>
      <c r="M135" s="74" t="str">
        <f t="shared" si="21"/>
        <v>0</v>
      </c>
      <c r="N135" s="29" t="str">
        <f t="shared" si="22"/>
        <v>1</v>
      </c>
      <c r="O135" s="61" t="str">
        <f t="shared" ca="1" si="23"/>
        <v>1</v>
      </c>
      <c r="P135" s="65" t="str">
        <f t="shared" si="24"/>
        <v>1</v>
      </c>
      <c r="Q135" s="46">
        <f t="shared" ca="1" si="26"/>
        <v>5</v>
      </c>
      <c r="R135" s="83" t="str">
        <f t="shared" ca="1" si="25"/>
        <v>ผ่าน</v>
      </c>
      <c r="S135" s="3" t="s">
        <v>28</v>
      </c>
      <c r="T135" s="32">
        <v>6410073115</v>
      </c>
      <c r="V135" s="36">
        <v>6410048116</v>
      </c>
      <c r="W135" s="36">
        <v>6610073102</v>
      </c>
      <c r="X135" s="59">
        <v>6310414120</v>
      </c>
      <c r="Y135" s="40">
        <f ca="1">IFERROR(__xludf.DUMMYFUNCTION("""COMPUTED_VALUE"""),6410488118)</f>
        <v>6410488118</v>
      </c>
      <c r="Z135" s="36">
        <v>6610633108</v>
      </c>
    </row>
    <row r="136" spans="1:26" ht="18" customHeight="1">
      <c r="A136" s="3">
        <v>134</v>
      </c>
      <c r="B136" s="3">
        <v>6610633203</v>
      </c>
      <c r="C136" s="4" t="s">
        <v>22</v>
      </c>
      <c r="D136" s="4" t="s">
        <v>413</v>
      </c>
      <c r="E136" s="4" t="s">
        <v>414</v>
      </c>
      <c r="F136" s="4" t="s">
        <v>415</v>
      </c>
      <c r="G136" s="4" t="s">
        <v>287</v>
      </c>
      <c r="H136" s="4" t="s">
        <v>384</v>
      </c>
      <c r="I136" s="3">
        <v>1</v>
      </c>
      <c r="J136" s="45" t="str">
        <f t="shared" si="18"/>
        <v>1</v>
      </c>
      <c r="K136" s="54">
        <v>1</v>
      </c>
      <c r="L136" s="69" t="str">
        <f t="shared" si="20"/>
        <v>0</v>
      </c>
      <c r="M136" s="74" t="str">
        <f t="shared" si="21"/>
        <v>1</v>
      </c>
      <c r="N136" s="29" t="str">
        <f t="shared" si="22"/>
        <v>0</v>
      </c>
      <c r="O136" s="61" t="str">
        <f t="shared" ca="1" si="23"/>
        <v>1</v>
      </c>
      <c r="P136" s="65" t="str">
        <f t="shared" si="24"/>
        <v>1</v>
      </c>
      <c r="Q136" s="46">
        <f t="shared" ca="1" si="26"/>
        <v>5</v>
      </c>
      <c r="R136" s="83" t="str">
        <f t="shared" ca="1" si="25"/>
        <v>ผ่าน</v>
      </c>
      <c r="S136" s="3" t="s">
        <v>28</v>
      </c>
      <c r="T136" s="32">
        <v>6410083111</v>
      </c>
      <c r="V136" s="36">
        <v>6410048144</v>
      </c>
      <c r="W136" s="36">
        <v>6610073117</v>
      </c>
      <c r="X136" s="59">
        <v>6610414115</v>
      </c>
      <c r="Y136" s="41">
        <f ca="1">IFERROR(__xludf.DUMMYFUNCTION("""COMPUTED_VALUE"""),6410488124)</f>
        <v>6410488124</v>
      </c>
      <c r="Z136" s="36">
        <v>6410106209</v>
      </c>
    </row>
    <row r="137" spans="1:26" ht="18" customHeight="1">
      <c r="A137" s="3">
        <v>135</v>
      </c>
      <c r="B137" s="3">
        <v>6610633204</v>
      </c>
      <c r="C137" s="4" t="s">
        <v>22</v>
      </c>
      <c r="D137" s="4" t="s">
        <v>416</v>
      </c>
      <c r="E137" s="4" t="s">
        <v>417</v>
      </c>
      <c r="F137" s="4" t="s">
        <v>418</v>
      </c>
      <c r="G137" s="4" t="s">
        <v>287</v>
      </c>
      <c r="H137" s="4" t="s">
        <v>384</v>
      </c>
      <c r="I137" s="3">
        <v>1</v>
      </c>
      <c r="J137" s="45" t="str">
        <f t="shared" si="18"/>
        <v>1</v>
      </c>
      <c r="K137" s="54" t="str">
        <f t="shared" si="19"/>
        <v>0</v>
      </c>
      <c r="L137" s="69" t="str">
        <f t="shared" si="20"/>
        <v>1</v>
      </c>
      <c r="M137" s="74" t="str">
        <f t="shared" si="21"/>
        <v>0</v>
      </c>
      <c r="N137" s="29" t="str">
        <f t="shared" si="22"/>
        <v>1</v>
      </c>
      <c r="O137" s="61" t="str">
        <f t="shared" ca="1" si="23"/>
        <v>1</v>
      </c>
      <c r="P137" s="65" t="str">
        <f t="shared" si="24"/>
        <v>1</v>
      </c>
      <c r="Q137" s="46">
        <f t="shared" ca="1" si="26"/>
        <v>5</v>
      </c>
      <c r="R137" s="83" t="str">
        <f t="shared" ca="1" si="25"/>
        <v>ผ่าน</v>
      </c>
      <c r="S137" s="3" t="s">
        <v>28</v>
      </c>
      <c r="T137" s="32">
        <v>6412743246</v>
      </c>
      <c r="V137" s="36">
        <v>6410048260</v>
      </c>
      <c r="W137" s="36">
        <v>6312325104</v>
      </c>
      <c r="X137" s="59">
        <v>6610414128</v>
      </c>
      <c r="Y137" s="40">
        <f ca="1">IFERROR(__xludf.DUMMYFUNCTION("""COMPUTED_VALUE"""),6410488125)</f>
        <v>6410488125</v>
      </c>
      <c r="Z137" s="36">
        <v>6510392215</v>
      </c>
    </row>
    <row r="138" spans="1:26" ht="18" customHeight="1">
      <c r="A138" s="3">
        <v>136</v>
      </c>
      <c r="B138" s="3">
        <v>6610633214</v>
      </c>
      <c r="C138" s="4" t="s">
        <v>29</v>
      </c>
      <c r="D138" s="4" t="s">
        <v>419</v>
      </c>
      <c r="E138" s="4" t="s">
        <v>420</v>
      </c>
      <c r="F138" s="4" t="s">
        <v>421</v>
      </c>
      <c r="G138" s="4" t="s">
        <v>287</v>
      </c>
      <c r="H138" s="4" t="s">
        <v>384</v>
      </c>
      <c r="I138" s="3">
        <v>1</v>
      </c>
      <c r="J138" s="45" t="str">
        <f t="shared" si="18"/>
        <v>1</v>
      </c>
      <c r="K138" s="54">
        <v>1</v>
      </c>
      <c r="L138" s="69" t="str">
        <f t="shared" si="20"/>
        <v>0</v>
      </c>
      <c r="M138" s="74" t="str">
        <f t="shared" si="21"/>
        <v>0</v>
      </c>
      <c r="N138" s="29" t="str">
        <f t="shared" si="22"/>
        <v>1</v>
      </c>
      <c r="O138" s="61" t="str">
        <f t="shared" ca="1" si="23"/>
        <v>0</v>
      </c>
      <c r="P138" s="65" t="str">
        <f t="shared" si="24"/>
        <v>1</v>
      </c>
      <c r="Q138" s="46">
        <f t="shared" ca="1" si="26"/>
        <v>4</v>
      </c>
      <c r="R138" s="83" t="str">
        <f t="shared" ca="1" si="25"/>
        <v>ผ่าน</v>
      </c>
      <c r="S138" s="3" t="s">
        <v>28</v>
      </c>
      <c r="T138" s="32">
        <v>6310392108</v>
      </c>
      <c r="V138" s="36">
        <v>6410048158</v>
      </c>
      <c r="W138" s="36">
        <v>6610073106</v>
      </c>
      <c r="X138" s="59">
        <v>6410059110</v>
      </c>
      <c r="Y138" s="41">
        <f ca="1">IFERROR(__xludf.DUMMYFUNCTION("""COMPUTED_VALUE"""),6410488201)</f>
        <v>6410488201</v>
      </c>
      <c r="Z138" s="36">
        <v>6412798104</v>
      </c>
    </row>
    <row r="139" spans="1:26" ht="18" customHeight="1">
      <c r="A139" s="3">
        <v>137</v>
      </c>
      <c r="B139" s="3">
        <v>6610633219</v>
      </c>
      <c r="C139" s="4" t="s">
        <v>29</v>
      </c>
      <c r="D139" s="4" t="s">
        <v>422</v>
      </c>
      <c r="E139" s="4" t="s">
        <v>423</v>
      </c>
      <c r="F139" s="4" t="s">
        <v>424</v>
      </c>
      <c r="G139" s="4" t="s">
        <v>287</v>
      </c>
      <c r="H139" s="4" t="s">
        <v>384</v>
      </c>
      <c r="I139" s="3">
        <v>1</v>
      </c>
      <c r="J139" s="45" t="str">
        <f t="shared" si="18"/>
        <v>1</v>
      </c>
      <c r="K139" s="54" t="str">
        <f t="shared" si="19"/>
        <v>1</v>
      </c>
      <c r="L139" s="69" t="str">
        <f t="shared" si="20"/>
        <v>0</v>
      </c>
      <c r="M139" s="74" t="str">
        <f t="shared" si="21"/>
        <v>1</v>
      </c>
      <c r="N139" s="29" t="str">
        <f t="shared" si="22"/>
        <v>0</v>
      </c>
      <c r="O139" s="61" t="str">
        <f t="shared" ca="1" si="23"/>
        <v>1</v>
      </c>
      <c r="P139" s="65" t="str">
        <f t="shared" si="24"/>
        <v>1</v>
      </c>
      <c r="Q139" s="46">
        <f t="shared" ca="1" si="26"/>
        <v>5</v>
      </c>
      <c r="R139" s="83" t="str">
        <f t="shared" ca="1" si="25"/>
        <v>ผ่าน</v>
      </c>
      <c r="S139" s="3" t="s">
        <v>28</v>
      </c>
      <c r="T139" s="32">
        <v>6410488106</v>
      </c>
      <c r="V139" s="36">
        <v>6410048262</v>
      </c>
      <c r="W139" s="36">
        <v>6610073107</v>
      </c>
      <c r="X139" s="59"/>
      <c r="Y139" s="40">
        <f ca="1">IFERROR(__xludf.DUMMYFUNCTION("""COMPUTED_VALUE"""),6410488203)</f>
        <v>6410488203</v>
      </c>
      <c r="Z139" s="36">
        <v>6412866115</v>
      </c>
    </row>
    <row r="140" spans="1:26" ht="18" customHeight="1">
      <c r="A140" s="3">
        <v>138</v>
      </c>
      <c r="B140" s="3">
        <v>6610633223</v>
      </c>
      <c r="C140" s="4" t="s">
        <v>29</v>
      </c>
      <c r="D140" s="4" t="s">
        <v>425</v>
      </c>
      <c r="E140" s="4" t="s">
        <v>426</v>
      </c>
      <c r="F140" s="4" t="s">
        <v>427</v>
      </c>
      <c r="G140" s="4" t="s">
        <v>287</v>
      </c>
      <c r="H140" s="4" t="s">
        <v>384</v>
      </c>
      <c r="I140" s="3">
        <v>1</v>
      </c>
      <c r="J140" s="45" t="str">
        <f t="shared" si="18"/>
        <v>1</v>
      </c>
      <c r="K140" s="54" t="str">
        <f t="shared" si="19"/>
        <v>1</v>
      </c>
      <c r="L140" s="69" t="str">
        <f t="shared" si="20"/>
        <v>0</v>
      </c>
      <c r="M140" s="74" t="str">
        <f t="shared" si="21"/>
        <v>0</v>
      </c>
      <c r="N140" s="29" t="str">
        <f t="shared" si="22"/>
        <v>1</v>
      </c>
      <c r="O140" s="61" t="str">
        <f t="shared" ca="1" si="23"/>
        <v>0</v>
      </c>
      <c r="P140" s="65" t="str">
        <f t="shared" si="24"/>
        <v>1</v>
      </c>
      <c r="Q140" s="46">
        <f t="shared" ca="1" si="26"/>
        <v>4</v>
      </c>
      <c r="R140" s="83" t="str">
        <f t="shared" ca="1" si="25"/>
        <v>ผ่าน</v>
      </c>
      <c r="S140" s="3" t="s">
        <v>28</v>
      </c>
      <c r="T140" s="32" t="s">
        <v>428</v>
      </c>
      <c r="V140" s="36">
        <v>6410048131</v>
      </c>
      <c r="W140" s="36">
        <v>6312269126</v>
      </c>
      <c r="X140" s="59">
        <v>6412798112</v>
      </c>
      <c r="Y140" s="41">
        <f ca="1">IFERROR(__xludf.DUMMYFUNCTION("""COMPUTED_VALUE"""),6410488204)</f>
        <v>6410488204</v>
      </c>
      <c r="Z140" s="36">
        <v>6610488109</v>
      </c>
    </row>
    <row r="141" spans="1:26" ht="18" customHeight="1">
      <c r="A141" s="3">
        <v>139</v>
      </c>
      <c r="B141" s="3">
        <v>6510633103</v>
      </c>
      <c r="C141" s="4" t="s">
        <v>22</v>
      </c>
      <c r="D141" s="4" t="s">
        <v>429</v>
      </c>
      <c r="E141" s="4" t="s">
        <v>430</v>
      </c>
      <c r="F141" s="4" t="s">
        <v>431</v>
      </c>
      <c r="G141" s="4" t="s">
        <v>287</v>
      </c>
      <c r="H141" s="4" t="s">
        <v>384</v>
      </c>
      <c r="I141" s="3">
        <v>2</v>
      </c>
      <c r="J141" s="45" t="str">
        <f t="shared" si="18"/>
        <v>1</v>
      </c>
      <c r="K141" s="54" t="str">
        <f t="shared" si="19"/>
        <v>0</v>
      </c>
      <c r="L141" s="69" t="str">
        <f t="shared" si="20"/>
        <v>1</v>
      </c>
      <c r="M141" s="74" t="str">
        <f t="shared" si="21"/>
        <v>0</v>
      </c>
      <c r="N141" s="29" t="str">
        <f t="shared" si="22"/>
        <v>1</v>
      </c>
      <c r="O141" s="61" t="str">
        <f t="shared" ca="1" si="23"/>
        <v>0</v>
      </c>
      <c r="P141" s="65" t="str">
        <f t="shared" si="24"/>
        <v>0</v>
      </c>
      <c r="Q141" s="46">
        <f t="shared" ca="1" si="26"/>
        <v>3</v>
      </c>
      <c r="R141" s="83" t="str">
        <f t="shared" ca="1" si="25"/>
        <v>ผ่าน</v>
      </c>
      <c r="S141" s="3" t="s">
        <v>28</v>
      </c>
      <c r="T141" s="32">
        <v>6610392109</v>
      </c>
      <c r="V141" s="36">
        <v>6410048161</v>
      </c>
      <c r="W141" s="36">
        <v>6312269125</v>
      </c>
      <c r="Y141" s="40">
        <f ca="1">IFERROR(__xludf.DUMMYFUNCTION("""COMPUTED_VALUE"""),6410488205)</f>
        <v>6410488205</v>
      </c>
      <c r="Z141" s="36">
        <v>6610488111</v>
      </c>
    </row>
    <row r="142" spans="1:26" ht="18" customHeight="1">
      <c r="A142" s="3">
        <v>140</v>
      </c>
      <c r="B142" s="3">
        <v>6510633106</v>
      </c>
      <c r="C142" s="4" t="s">
        <v>22</v>
      </c>
      <c r="D142" s="4" t="s">
        <v>432</v>
      </c>
      <c r="E142" s="4" t="s">
        <v>433</v>
      </c>
      <c r="F142" s="4" t="s">
        <v>434</v>
      </c>
      <c r="G142" s="4" t="s">
        <v>287</v>
      </c>
      <c r="H142" s="4" t="s">
        <v>384</v>
      </c>
      <c r="I142" s="3">
        <v>2</v>
      </c>
      <c r="J142" s="45" t="str">
        <f t="shared" si="18"/>
        <v>1</v>
      </c>
      <c r="K142" s="54" t="str">
        <f t="shared" si="19"/>
        <v>0</v>
      </c>
      <c r="L142" s="69" t="str">
        <f t="shared" si="20"/>
        <v>1</v>
      </c>
      <c r="M142" s="74" t="str">
        <f t="shared" si="21"/>
        <v>0</v>
      </c>
      <c r="N142" s="29" t="str">
        <f t="shared" si="22"/>
        <v>1</v>
      </c>
      <c r="O142" s="61" t="str">
        <f t="shared" ca="1" si="23"/>
        <v>1</v>
      </c>
      <c r="P142" s="65" t="str">
        <f t="shared" si="24"/>
        <v>0</v>
      </c>
      <c r="Q142" s="46">
        <f t="shared" ca="1" si="26"/>
        <v>4</v>
      </c>
      <c r="R142" s="83" t="str">
        <f t="shared" ca="1" si="25"/>
        <v>ผ่าน</v>
      </c>
      <c r="S142" s="3" t="s">
        <v>28</v>
      </c>
      <c r="T142" s="32">
        <v>6510392117</v>
      </c>
      <c r="V142" s="36">
        <v>6410048162</v>
      </c>
      <c r="W142" s="36">
        <v>6411506137</v>
      </c>
      <c r="Y142" s="41">
        <f ca="1">IFERROR(__xludf.DUMMYFUNCTION("""COMPUTED_VALUE"""),6410488206)</f>
        <v>6410488206</v>
      </c>
      <c r="Z142" s="36">
        <v>6610633219</v>
      </c>
    </row>
    <row r="143" spans="1:26" ht="18" customHeight="1">
      <c r="A143" s="3">
        <v>141</v>
      </c>
      <c r="B143" s="3">
        <v>6510633107</v>
      </c>
      <c r="C143" s="4" t="s">
        <v>22</v>
      </c>
      <c r="D143" s="4" t="s">
        <v>435</v>
      </c>
      <c r="E143" s="4" t="s">
        <v>436</v>
      </c>
      <c r="F143" s="4" t="s">
        <v>418</v>
      </c>
      <c r="G143" s="4" t="s">
        <v>287</v>
      </c>
      <c r="H143" s="4" t="s">
        <v>384</v>
      </c>
      <c r="I143" s="3">
        <v>2</v>
      </c>
      <c r="J143" s="45" t="str">
        <f t="shared" si="18"/>
        <v>1</v>
      </c>
      <c r="K143" s="54" t="str">
        <f t="shared" si="19"/>
        <v>0</v>
      </c>
      <c r="L143" s="69" t="str">
        <f t="shared" si="20"/>
        <v>1</v>
      </c>
      <c r="M143" s="74" t="str">
        <f t="shared" si="21"/>
        <v>0</v>
      </c>
      <c r="N143" s="29" t="str">
        <f t="shared" si="22"/>
        <v>1</v>
      </c>
      <c r="O143" s="61" t="str">
        <f t="shared" ca="1" si="23"/>
        <v>0</v>
      </c>
      <c r="P143" s="65" t="str">
        <f t="shared" si="24"/>
        <v>0</v>
      </c>
      <c r="Q143" s="46">
        <f t="shared" ca="1" si="26"/>
        <v>3</v>
      </c>
      <c r="R143" s="83" t="str">
        <f t="shared" ca="1" si="25"/>
        <v>ผ่าน</v>
      </c>
      <c r="S143" s="3" t="s">
        <v>28</v>
      </c>
      <c r="T143" s="32">
        <v>6310414113</v>
      </c>
      <c r="V143" s="36">
        <v>6410048104</v>
      </c>
      <c r="W143" s="36">
        <v>6610068226</v>
      </c>
      <c r="Y143" s="40">
        <f ca="1">IFERROR(__xludf.DUMMYFUNCTION("""COMPUTED_VALUE"""),6410488208)</f>
        <v>6410488208</v>
      </c>
      <c r="Z143" s="36">
        <v>6612258212</v>
      </c>
    </row>
    <row r="144" spans="1:26" ht="18" customHeight="1">
      <c r="A144" s="3">
        <v>142</v>
      </c>
      <c r="B144" s="3">
        <v>6510633108</v>
      </c>
      <c r="C144" s="4" t="s">
        <v>29</v>
      </c>
      <c r="D144" s="4" t="s">
        <v>437</v>
      </c>
      <c r="E144" s="4" t="s">
        <v>438</v>
      </c>
      <c r="F144" s="4" t="s">
        <v>179</v>
      </c>
      <c r="G144" s="4" t="s">
        <v>287</v>
      </c>
      <c r="H144" s="4" t="s">
        <v>384</v>
      </c>
      <c r="I144" s="3">
        <v>2</v>
      </c>
      <c r="J144" s="45" t="str">
        <f t="shared" si="18"/>
        <v>1</v>
      </c>
      <c r="K144" s="54" t="str">
        <f t="shared" si="19"/>
        <v>0</v>
      </c>
      <c r="L144" s="69" t="str">
        <f t="shared" si="20"/>
        <v>1</v>
      </c>
      <c r="M144" s="74" t="str">
        <f t="shared" si="21"/>
        <v>0</v>
      </c>
      <c r="N144" s="29" t="str">
        <f t="shared" si="22"/>
        <v>0</v>
      </c>
      <c r="O144" s="61" t="str">
        <f t="shared" ca="1" si="23"/>
        <v>1</v>
      </c>
      <c r="P144" s="65" t="str">
        <f t="shared" si="24"/>
        <v>1</v>
      </c>
      <c r="Q144" s="46">
        <f t="shared" ca="1" si="26"/>
        <v>4</v>
      </c>
      <c r="R144" s="83" t="str">
        <f t="shared" ca="1" si="25"/>
        <v>ผ่าน</v>
      </c>
      <c r="S144" s="3" t="s">
        <v>28</v>
      </c>
      <c r="T144" s="32">
        <v>6315964106</v>
      </c>
      <c r="V144" s="36">
        <v>6410048153</v>
      </c>
      <c r="W144" s="36">
        <v>6610068226</v>
      </c>
      <c r="Y144" s="41">
        <f ca="1">IFERROR(__xludf.DUMMYFUNCTION("""COMPUTED_VALUE"""),6410488216)</f>
        <v>6410488216</v>
      </c>
      <c r="Z144" s="36">
        <v>6410073115</v>
      </c>
    </row>
    <row r="145" spans="1:26" ht="18" customHeight="1">
      <c r="A145" s="3">
        <v>143</v>
      </c>
      <c r="B145" s="3">
        <v>6510633111</v>
      </c>
      <c r="C145" s="4" t="s">
        <v>29</v>
      </c>
      <c r="D145" s="4" t="s">
        <v>439</v>
      </c>
      <c r="E145" s="4" t="s">
        <v>440</v>
      </c>
      <c r="F145" s="4" t="s">
        <v>441</v>
      </c>
      <c r="G145" s="4" t="s">
        <v>287</v>
      </c>
      <c r="H145" s="4" t="s">
        <v>384</v>
      </c>
      <c r="I145" s="3">
        <v>2</v>
      </c>
      <c r="J145" s="45" t="str">
        <f t="shared" si="18"/>
        <v>1</v>
      </c>
      <c r="K145" s="54" t="str">
        <f t="shared" si="19"/>
        <v>0</v>
      </c>
      <c r="L145" s="69" t="str">
        <f t="shared" si="20"/>
        <v>1</v>
      </c>
      <c r="M145" s="74" t="str">
        <f t="shared" si="21"/>
        <v>0</v>
      </c>
      <c r="N145" s="29" t="str">
        <f t="shared" si="22"/>
        <v>1</v>
      </c>
      <c r="O145" s="61" t="str">
        <f t="shared" ca="1" si="23"/>
        <v>1</v>
      </c>
      <c r="P145" s="65" t="str">
        <f t="shared" si="24"/>
        <v>1</v>
      </c>
      <c r="Q145" s="46">
        <f t="shared" ca="1" si="26"/>
        <v>5</v>
      </c>
      <c r="R145" s="83" t="str">
        <f t="shared" ca="1" si="25"/>
        <v>ผ่าน</v>
      </c>
      <c r="S145" s="3" t="s">
        <v>28</v>
      </c>
      <c r="T145" s="32">
        <v>6410048141</v>
      </c>
      <c r="V145" s="36">
        <v>6410048157</v>
      </c>
      <c r="W145" s="36">
        <v>6311506131</v>
      </c>
      <c r="Y145" s="40">
        <f ca="1">IFERROR(__xludf.DUMMYFUNCTION("""COMPUTED_VALUE"""),6410488219)</f>
        <v>6410488219</v>
      </c>
      <c r="Z145" s="36">
        <v>6410095107</v>
      </c>
    </row>
    <row r="146" spans="1:26" ht="18" customHeight="1">
      <c r="A146" s="3">
        <v>144</v>
      </c>
      <c r="B146" s="3">
        <v>6510633115</v>
      </c>
      <c r="C146" s="4" t="s">
        <v>29</v>
      </c>
      <c r="D146" s="4" t="s">
        <v>442</v>
      </c>
      <c r="E146" s="4" t="s">
        <v>443</v>
      </c>
      <c r="F146" s="4" t="s">
        <v>124</v>
      </c>
      <c r="G146" s="4" t="s">
        <v>287</v>
      </c>
      <c r="H146" s="4" t="s">
        <v>384</v>
      </c>
      <c r="I146" s="3">
        <v>2</v>
      </c>
      <c r="J146" s="45" t="str">
        <f t="shared" si="18"/>
        <v>1</v>
      </c>
      <c r="K146" s="54" t="str">
        <f t="shared" si="19"/>
        <v>1</v>
      </c>
      <c r="L146" s="69" t="str">
        <f t="shared" si="20"/>
        <v>0</v>
      </c>
      <c r="M146" s="74" t="str">
        <f t="shared" si="21"/>
        <v>0</v>
      </c>
      <c r="N146" s="29" t="str">
        <f t="shared" si="22"/>
        <v>1</v>
      </c>
      <c r="O146" s="61" t="str">
        <f t="shared" ca="1" si="23"/>
        <v>1</v>
      </c>
      <c r="P146" s="65" t="str">
        <f t="shared" si="24"/>
        <v>1</v>
      </c>
      <c r="Q146" s="46">
        <f t="shared" ca="1" si="26"/>
        <v>5</v>
      </c>
      <c r="R146" s="83" t="str">
        <f t="shared" ca="1" si="25"/>
        <v>ผ่าน</v>
      </c>
      <c r="S146" s="3" t="s">
        <v>28</v>
      </c>
      <c r="T146" s="32">
        <v>6410048127</v>
      </c>
      <c r="V146" s="36">
        <v>6410048139</v>
      </c>
      <c r="W146" s="36">
        <v>6410083105</v>
      </c>
      <c r="Y146" s="41">
        <f ca="1">IFERROR(__xludf.DUMMYFUNCTION("""COMPUTED_VALUE"""),6410488224)</f>
        <v>6410488224</v>
      </c>
      <c r="Z146" s="36">
        <v>6410106132</v>
      </c>
    </row>
    <row r="147" spans="1:26" ht="18" customHeight="1">
      <c r="A147" s="3">
        <v>145</v>
      </c>
      <c r="B147" s="3">
        <v>6510633116</v>
      </c>
      <c r="C147" s="4" t="s">
        <v>29</v>
      </c>
      <c r="D147" s="4" t="s">
        <v>444</v>
      </c>
      <c r="E147" s="4" t="s">
        <v>445</v>
      </c>
      <c r="F147" s="4" t="s">
        <v>446</v>
      </c>
      <c r="G147" s="4" t="s">
        <v>287</v>
      </c>
      <c r="H147" s="4" t="s">
        <v>384</v>
      </c>
      <c r="I147" s="3">
        <v>2</v>
      </c>
      <c r="J147" s="45" t="str">
        <f t="shared" si="18"/>
        <v>1</v>
      </c>
      <c r="K147" s="54" t="str">
        <f t="shared" si="19"/>
        <v>0</v>
      </c>
      <c r="L147" s="69" t="str">
        <f t="shared" si="20"/>
        <v>1</v>
      </c>
      <c r="M147" s="74" t="str">
        <f t="shared" si="21"/>
        <v>0</v>
      </c>
      <c r="N147" s="29" t="str">
        <f t="shared" si="22"/>
        <v>1</v>
      </c>
      <c r="O147" s="61" t="str">
        <f t="shared" ca="1" si="23"/>
        <v>1</v>
      </c>
      <c r="P147" s="65" t="str">
        <f t="shared" si="24"/>
        <v>1</v>
      </c>
      <c r="Q147" s="46">
        <f t="shared" ca="1" si="26"/>
        <v>5</v>
      </c>
      <c r="R147" s="83" t="str">
        <f t="shared" ca="1" si="25"/>
        <v>ผ่าน</v>
      </c>
      <c r="S147" s="3" t="s">
        <v>28</v>
      </c>
      <c r="T147" s="32">
        <v>6410083112</v>
      </c>
      <c r="V147" s="36">
        <v>6410414227</v>
      </c>
      <c r="W147" s="36">
        <v>6312798207</v>
      </c>
      <c r="Y147" s="40">
        <f ca="1">IFERROR(__xludf.DUMMYFUNCTION("""COMPUTED_VALUE"""),6410414122)</f>
        <v>6410414122</v>
      </c>
      <c r="Z147" s="36">
        <v>6412798116</v>
      </c>
    </row>
    <row r="148" spans="1:26" ht="18" customHeight="1">
      <c r="A148" s="3">
        <v>146</v>
      </c>
      <c r="B148" s="3">
        <v>6510633117</v>
      </c>
      <c r="C148" s="4" t="s">
        <v>29</v>
      </c>
      <c r="D148" s="4" t="s">
        <v>447</v>
      </c>
      <c r="E148" s="4" t="s">
        <v>448</v>
      </c>
      <c r="F148" s="4" t="s">
        <v>370</v>
      </c>
      <c r="G148" s="4" t="s">
        <v>287</v>
      </c>
      <c r="H148" s="4" t="s">
        <v>384</v>
      </c>
      <c r="I148" s="3">
        <v>2</v>
      </c>
      <c r="J148" s="45" t="str">
        <f t="shared" si="18"/>
        <v>1</v>
      </c>
      <c r="K148" s="54" t="str">
        <f t="shared" si="19"/>
        <v>1</v>
      </c>
      <c r="L148" s="69" t="str">
        <f t="shared" si="20"/>
        <v>0</v>
      </c>
      <c r="M148" s="74" t="str">
        <f t="shared" si="21"/>
        <v>0</v>
      </c>
      <c r="N148" s="29" t="str">
        <f t="shared" si="22"/>
        <v>1</v>
      </c>
      <c r="O148" s="61" t="str">
        <f t="shared" ca="1" si="23"/>
        <v>1</v>
      </c>
      <c r="P148" s="65" t="str">
        <f t="shared" si="24"/>
        <v>1</v>
      </c>
      <c r="Q148" s="46">
        <f t="shared" ca="1" si="26"/>
        <v>5</v>
      </c>
      <c r="R148" s="83" t="str">
        <f t="shared" ca="1" si="25"/>
        <v>ผ่าน</v>
      </c>
      <c r="S148" s="3" t="s">
        <v>28</v>
      </c>
      <c r="T148" s="32">
        <v>6610633112</v>
      </c>
      <c r="V148" s="36">
        <v>6312314114</v>
      </c>
      <c r="W148" s="36">
        <v>6312798208</v>
      </c>
      <c r="Y148" s="41">
        <f ca="1">IFERROR(__xludf.DUMMYFUNCTION("""COMPUTED_VALUE"""),6410414203)</f>
        <v>6410414203</v>
      </c>
      <c r="Z148" s="36">
        <v>6412798106</v>
      </c>
    </row>
    <row r="149" spans="1:26" ht="18" customHeight="1">
      <c r="A149" s="3">
        <v>147</v>
      </c>
      <c r="B149" s="3">
        <v>6510633118</v>
      </c>
      <c r="C149" s="4" t="s">
        <v>29</v>
      </c>
      <c r="D149" s="4" t="s">
        <v>449</v>
      </c>
      <c r="E149" s="4" t="s">
        <v>450</v>
      </c>
      <c r="F149" s="4" t="s">
        <v>391</v>
      </c>
      <c r="G149" s="4" t="s">
        <v>287</v>
      </c>
      <c r="H149" s="4" t="s">
        <v>384</v>
      </c>
      <c r="I149" s="3">
        <v>2</v>
      </c>
      <c r="J149" s="44" t="str">
        <f t="shared" si="18"/>
        <v>0</v>
      </c>
      <c r="K149" s="54" t="str">
        <f t="shared" si="19"/>
        <v>1</v>
      </c>
      <c r="L149" s="69" t="str">
        <f t="shared" si="20"/>
        <v>0</v>
      </c>
      <c r="M149" s="74" t="str">
        <f t="shared" si="21"/>
        <v>1</v>
      </c>
      <c r="N149" s="29" t="str">
        <f t="shared" si="22"/>
        <v>0</v>
      </c>
      <c r="O149" s="61" t="str">
        <f t="shared" ca="1" si="23"/>
        <v>1</v>
      </c>
      <c r="P149" s="65" t="str">
        <f t="shared" si="24"/>
        <v>1</v>
      </c>
      <c r="Q149" s="46">
        <f t="shared" ca="1" si="26"/>
        <v>4</v>
      </c>
      <c r="R149" s="83" t="str">
        <f t="shared" ca="1" si="25"/>
        <v>ผ่าน</v>
      </c>
      <c r="S149" s="3" t="s">
        <v>28</v>
      </c>
      <c r="T149" s="32">
        <v>6510403221</v>
      </c>
      <c r="V149" s="36">
        <v>6312314110</v>
      </c>
      <c r="W149" s="36">
        <v>6312325102</v>
      </c>
      <c r="Y149" s="40">
        <f ca="1">IFERROR(__xludf.DUMMYFUNCTION("""COMPUTED_VALUE"""),6410414211)</f>
        <v>6410414211</v>
      </c>
      <c r="Z149" s="36">
        <v>6412269126</v>
      </c>
    </row>
    <row r="150" spans="1:26" ht="18" customHeight="1">
      <c r="A150" s="3">
        <v>148</v>
      </c>
      <c r="B150" s="3">
        <v>6510633120</v>
      </c>
      <c r="C150" s="4" t="s">
        <v>29</v>
      </c>
      <c r="D150" s="4" t="s">
        <v>451</v>
      </c>
      <c r="E150" s="4" t="s">
        <v>452</v>
      </c>
      <c r="F150" s="4" t="s">
        <v>453</v>
      </c>
      <c r="G150" s="4" t="s">
        <v>287</v>
      </c>
      <c r="H150" s="4" t="s">
        <v>384</v>
      </c>
      <c r="I150" s="3">
        <v>2</v>
      </c>
      <c r="J150" s="45" t="str">
        <f t="shared" si="18"/>
        <v>1</v>
      </c>
      <c r="K150" s="54" t="str">
        <f t="shared" si="19"/>
        <v>1</v>
      </c>
      <c r="L150" s="69" t="str">
        <f t="shared" si="20"/>
        <v>0</v>
      </c>
      <c r="M150" s="74" t="str">
        <f t="shared" si="21"/>
        <v>1</v>
      </c>
      <c r="N150" s="29" t="str">
        <f t="shared" si="22"/>
        <v>0</v>
      </c>
      <c r="O150" s="61" t="str">
        <f t="shared" ca="1" si="23"/>
        <v>1</v>
      </c>
      <c r="P150" s="65" t="str">
        <f t="shared" si="24"/>
        <v>1</v>
      </c>
      <c r="Q150" s="46">
        <f t="shared" ca="1" si="26"/>
        <v>5</v>
      </c>
      <c r="R150" s="83" t="str">
        <f t="shared" ca="1" si="25"/>
        <v>ผ่าน</v>
      </c>
      <c r="S150" s="3" t="s">
        <v>28</v>
      </c>
      <c r="T150" s="32">
        <v>6310488120</v>
      </c>
      <c r="V150" s="36">
        <v>6312314120</v>
      </c>
      <c r="W150" s="36">
        <v>6311506121</v>
      </c>
      <c r="Y150" s="41">
        <f ca="1">IFERROR(__xludf.DUMMYFUNCTION("""COMPUTED_VALUE"""),6410414224)</f>
        <v>6410414224</v>
      </c>
      <c r="Z150" s="36">
        <v>6410488221</v>
      </c>
    </row>
    <row r="151" spans="1:26" ht="18" customHeight="1">
      <c r="A151" s="3">
        <v>149</v>
      </c>
      <c r="B151" s="3">
        <v>6510633122</v>
      </c>
      <c r="C151" s="4" t="s">
        <v>29</v>
      </c>
      <c r="D151" s="4" t="s">
        <v>454</v>
      </c>
      <c r="E151" s="4" t="s">
        <v>455</v>
      </c>
      <c r="F151" s="4" t="s">
        <v>456</v>
      </c>
      <c r="G151" s="4" t="s">
        <v>287</v>
      </c>
      <c r="H151" s="4" t="s">
        <v>384</v>
      </c>
      <c r="I151" s="3">
        <v>2</v>
      </c>
      <c r="J151" s="45" t="str">
        <f t="shared" si="18"/>
        <v>1</v>
      </c>
      <c r="K151" s="54" t="str">
        <f t="shared" si="19"/>
        <v>0</v>
      </c>
      <c r="L151" s="69" t="str">
        <f t="shared" si="20"/>
        <v>1</v>
      </c>
      <c r="M151" s="74" t="str">
        <f t="shared" si="21"/>
        <v>0</v>
      </c>
      <c r="N151" s="29" t="str">
        <f t="shared" si="22"/>
        <v>1</v>
      </c>
      <c r="O151" s="61" t="str">
        <f t="shared" ca="1" si="23"/>
        <v>1</v>
      </c>
      <c r="P151" s="65" t="str">
        <f t="shared" si="24"/>
        <v>0</v>
      </c>
      <c r="Q151" s="46">
        <f t="shared" ca="1" si="26"/>
        <v>4</v>
      </c>
      <c r="R151" s="83" t="str">
        <f t="shared" ca="1" si="25"/>
        <v>ผ่าน</v>
      </c>
      <c r="S151" s="3" t="s">
        <v>28</v>
      </c>
      <c r="T151" s="32">
        <v>6610488109</v>
      </c>
      <c r="V151" s="36">
        <v>6312314115</v>
      </c>
      <c r="W151" s="36">
        <v>6310073102</v>
      </c>
      <c r="Y151" s="40">
        <f ca="1">IFERROR(__xludf.DUMMYFUNCTION("""COMPUTED_VALUE"""),6410414227)</f>
        <v>6410414227</v>
      </c>
      <c r="Z151" s="36">
        <v>6512798152</v>
      </c>
    </row>
    <row r="152" spans="1:26" ht="18" customHeight="1">
      <c r="A152" s="3">
        <v>150</v>
      </c>
      <c r="B152" s="3">
        <v>6510633125</v>
      </c>
      <c r="C152" s="4" t="s">
        <v>29</v>
      </c>
      <c r="D152" s="4" t="s">
        <v>457</v>
      </c>
      <c r="E152" s="4" t="s">
        <v>458</v>
      </c>
      <c r="F152" s="4" t="s">
        <v>459</v>
      </c>
      <c r="G152" s="4" t="s">
        <v>287</v>
      </c>
      <c r="H152" s="4" t="s">
        <v>384</v>
      </c>
      <c r="I152" s="3">
        <v>2</v>
      </c>
      <c r="J152" s="45" t="str">
        <f t="shared" si="18"/>
        <v>1</v>
      </c>
      <c r="K152" s="54" t="str">
        <f t="shared" si="19"/>
        <v>1</v>
      </c>
      <c r="L152" s="69" t="str">
        <f t="shared" si="20"/>
        <v>0</v>
      </c>
      <c r="M152" s="74" t="str">
        <f t="shared" si="21"/>
        <v>1</v>
      </c>
      <c r="N152" s="29" t="str">
        <f t="shared" si="22"/>
        <v>0</v>
      </c>
      <c r="O152" s="61" t="str">
        <f t="shared" ca="1" si="23"/>
        <v>0</v>
      </c>
      <c r="P152" s="65" t="str">
        <f t="shared" si="24"/>
        <v>0</v>
      </c>
      <c r="Q152" s="46">
        <f t="shared" ca="1" si="26"/>
        <v>3</v>
      </c>
      <c r="R152" s="83" t="str">
        <f t="shared" ca="1" si="25"/>
        <v>ผ่าน</v>
      </c>
      <c r="S152" s="3" t="s">
        <v>28</v>
      </c>
      <c r="T152" s="32">
        <v>6610488225</v>
      </c>
      <c r="V152" s="36">
        <v>6310094124</v>
      </c>
      <c r="W152" s="36">
        <v>6310403107</v>
      </c>
      <c r="Y152" s="41">
        <f ca="1">IFERROR(__xludf.DUMMYFUNCTION("""COMPUTED_VALUE"""),6412258116)</f>
        <v>6412258116</v>
      </c>
      <c r="Z152" s="36">
        <v>6512798109</v>
      </c>
    </row>
    <row r="153" spans="1:26" ht="18" customHeight="1">
      <c r="A153" s="3">
        <v>151</v>
      </c>
      <c r="B153" s="3">
        <v>6510633130</v>
      </c>
      <c r="C153" s="4" t="s">
        <v>29</v>
      </c>
      <c r="D153" s="4" t="s">
        <v>460</v>
      </c>
      <c r="E153" s="4" t="s">
        <v>461</v>
      </c>
      <c r="F153" s="4" t="s">
        <v>462</v>
      </c>
      <c r="G153" s="4" t="s">
        <v>287</v>
      </c>
      <c r="H153" s="4" t="s">
        <v>384</v>
      </c>
      <c r="I153" s="3">
        <v>2</v>
      </c>
      <c r="J153" s="44" t="str">
        <f t="shared" si="18"/>
        <v>0</v>
      </c>
      <c r="K153" s="54" t="str">
        <f t="shared" si="19"/>
        <v>1</v>
      </c>
      <c r="L153" s="69" t="str">
        <f t="shared" si="20"/>
        <v>0</v>
      </c>
      <c r="M153" s="74" t="str">
        <f t="shared" si="21"/>
        <v>0</v>
      </c>
      <c r="N153" s="29" t="str">
        <f t="shared" si="22"/>
        <v>0</v>
      </c>
      <c r="O153" s="61" t="str">
        <f t="shared" ca="1" si="23"/>
        <v>1</v>
      </c>
      <c r="P153" s="65" t="str">
        <f t="shared" si="24"/>
        <v>0</v>
      </c>
      <c r="Q153" s="46">
        <f t="shared" ca="1" si="26"/>
        <v>2</v>
      </c>
      <c r="R153" s="3" t="str">
        <f t="shared" ca="1" si="25"/>
        <v>ไม่ผ่าน</v>
      </c>
      <c r="S153" s="3" t="s">
        <v>28</v>
      </c>
      <c r="T153" s="32">
        <v>6512798118</v>
      </c>
      <c r="V153" s="36">
        <v>6310094134</v>
      </c>
      <c r="W153" s="36">
        <v>6310403124</v>
      </c>
      <c r="Y153" s="40">
        <f ca="1">IFERROR(__xludf.DUMMYFUNCTION("""COMPUTED_VALUE"""),6412258129)</f>
        <v>6412258129</v>
      </c>
      <c r="Z153" s="36">
        <v>6412743112</v>
      </c>
    </row>
    <row r="154" spans="1:26" ht="18" customHeight="1">
      <c r="A154" s="3">
        <v>152</v>
      </c>
      <c r="B154" s="3">
        <v>6510633205</v>
      </c>
      <c r="C154" s="4" t="s">
        <v>22</v>
      </c>
      <c r="D154" s="4" t="s">
        <v>463</v>
      </c>
      <c r="E154" s="4" t="s">
        <v>464</v>
      </c>
      <c r="F154" s="4" t="s">
        <v>465</v>
      </c>
      <c r="G154" s="4" t="s">
        <v>287</v>
      </c>
      <c r="H154" s="4" t="s">
        <v>384</v>
      </c>
      <c r="I154" s="3">
        <v>2</v>
      </c>
      <c r="J154" s="45" t="str">
        <f t="shared" si="18"/>
        <v>1</v>
      </c>
      <c r="K154" s="54" t="str">
        <f t="shared" si="19"/>
        <v>0</v>
      </c>
      <c r="L154" s="69" t="str">
        <f t="shared" si="20"/>
        <v>1</v>
      </c>
      <c r="M154" s="74" t="str">
        <f t="shared" si="21"/>
        <v>0</v>
      </c>
      <c r="N154" s="29">
        <v>1</v>
      </c>
      <c r="O154" s="61" t="str">
        <f t="shared" ca="1" si="23"/>
        <v>0</v>
      </c>
      <c r="P154" s="65">
        <v>1</v>
      </c>
      <c r="Q154" s="46">
        <f t="shared" ca="1" si="26"/>
        <v>4</v>
      </c>
      <c r="R154" s="84" t="s">
        <v>395</v>
      </c>
      <c r="S154" s="3" t="s">
        <v>28</v>
      </c>
      <c r="T154" s="32">
        <v>6610633108</v>
      </c>
      <c r="V154" s="36">
        <v>6310094126</v>
      </c>
      <c r="W154" s="36">
        <v>6311506220</v>
      </c>
      <c r="Y154" s="41">
        <f ca="1">IFERROR(__xludf.DUMMYFUNCTION("""COMPUTED_VALUE"""),6412798105)</f>
        <v>6412798105</v>
      </c>
      <c r="Z154" s="36">
        <v>6410106127</v>
      </c>
    </row>
    <row r="155" spans="1:26" ht="18" customHeight="1">
      <c r="A155" s="3">
        <v>153</v>
      </c>
      <c r="B155" s="3">
        <v>6510633207</v>
      </c>
      <c r="C155" s="4" t="s">
        <v>22</v>
      </c>
      <c r="D155" s="4" t="s">
        <v>466</v>
      </c>
      <c r="E155" s="4" t="s">
        <v>467</v>
      </c>
      <c r="F155" s="4" t="s">
        <v>468</v>
      </c>
      <c r="G155" s="4" t="s">
        <v>287</v>
      </c>
      <c r="H155" s="4" t="s">
        <v>384</v>
      </c>
      <c r="I155" s="3">
        <v>2</v>
      </c>
      <c r="J155" s="45" t="str">
        <f t="shared" si="18"/>
        <v>1</v>
      </c>
      <c r="K155" s="54" t="str">
        <f t="shared" si="19"/>
        <v>0</v>
      </c>
      <c r="L155" s="69" t="str">
        <f t="shared" si="20"/>
        <v>1</v>
      </c>
      <c r="M155" s="74" t="str">
        <f t="shared" si="21"/>
        <v>0</v>
      </c>
      <c r="N155" s="29">
        <v>1</v>
      </c>
      <c r="O155" s="61" t="str">
        <f t="shared" ca="1" si="23"/>
        <v>0</v>
      </c>
      <c r="P155" s="65">
        <v>1</v>
      </c>
      <c r="Q155" s="46">
        <f t="shared" ca="1" si="26"/>
        <v>4</v>
      </c>
      <c r="R155" s="83" t="str">
        <f ca="1">IF(Q155&gt;=3,"ผ่าน",IF(Q155&lt;3,"ไม่ผ่าน"))</f>
        <v>ผ่าน</v>
      </c>
      <c r="S155" s="3" t="s">
        <v>28</v>
      </c>
      <c r="T155" s="32">
        <v>6510403126</v>
      </c>
      <c r="V155" s="36">
        <v>6310094130</v>
      </c>
      <c r="W155" s="36">
        <v>6312325107</v>
      </c>
      <c r="Y155" s="40">
        <f ca="1">IFERROR(__xludf.DUMMYFUNCTION("""COMPUTED_VALUE"""),6412798125)</f>
        <v>6412798125</v>
      </c>
      <c r="Z155" s="36">
        <v>6410414227</v>
      </c>
    </row>
    <row r="156" spans="1:26" ht="18" customHeight="1">
      <c r="A156" s="3">
        <v>154</v>
      </c>
      <c r="B156" s="3">
        <v>6510633211</v>
      </c>
      <c r="C156" s="4" t="s">
        <v>29</v>
      </c>
      <c r="D156" s="4" t="s">
        <v>469</v>
      </c>
      <c r="E156" s="4" t="s">
        <v>470</v>
      </c>
      <c r="F156" s="4" t="s">
        <v>193</v>
      </c>
      <c r="G156" s="4" t="s">
        <v>287</v>
      </c>
      <c r="H156" s="4" t="s">
        <v>384</v>
      </c>
      <c r="I156" s="3">
        <v>2</v>
      </c>
      <c r="J156" s="45" t="str">
        <f t="shared" si="18"/>
        <v>1</v>
      </c>
      <c r="K156" s="54" t="str">
        <f t="shared" si="19"/>
        <v>0</v>
      </c>
      <c r="L156" s="69" t="str">
        <f t="shared" si="20"/>
        <v>1</v>
      </c>
      <c r="M156" s="74" t="str">
        <f t="shared" si="21"/>
        <v>0</v>
      </c>
      <c r="N156" s="29" t="str">
        <f t="shared" si="22"/>
        <v>1</v>
      </c>
      <c r="O156" s="61" t="str">
        <f t="shared" ca="1" si="23"/>
        <v>1</v>
      </c>
      <c r="P156" s="65" t="str">
        <f t="shared" si="24"/>
        <v>1</v>
      </c>
      <c r="Q156" s="46">
        <f t="shared" ca="1" si="26"/>
        <v>5</v>
      </c>
      <c r="R156" s="83" t="str">
        <f t="shared" ca="1" si="25"/>
        <v>ผ่าน</v>
      </c>
      <c r="S156" s="3" t="s">
        <v>28</v>
      </c>
      <c r="T156" s="32">
        <v>6410073101</v>
      </c>
      <c r="V156" s="36">
        <v>6310403107</v>
      </c>
      <c r="W156" s="36">
        <v>6310403120</v>
      </c>
      <c r="Y156" s="41">
        <f ca="1">IFERROR(__xludf.DUMMYFUNCTION("""COMPUTED_VALUE"""),6412743112)</f>
        <v>6412743112</v>
      </c>
      <c r="Z156" s="36">
        <v>6512247122</v>
      </c>
    </row>
    <row r="157" spans="1:26" ht="18" customHeight="1">
      <c r="A157" s="3">
        <v>155</v>
      </c>
      <c r="B157" s="3">
        <v>6510633213</v>
      </c>
      <c r="C157" s="4" t="s">
        <v>29</v>
      </c>
      <c r="D157" s="4" t="s">
        <v>471</v>
      </c>
      <c r="E157" s="4" t="s">
        <v>472</v>
      </c>
      <c r="F157" s="4" t="s">
        <v>473</v>
      </c>
      <c r="G157" s="4" t="s">
        <v>287</v>
      </c>
      <c r="H157" s="4" t="s">
        <v>384</v>
      </c>
      <c r="I157" s="3">
        <v>2</v>
      </c>
      <c r="J157" s="45" t="str">
        <f t="shared" si="18"/>
        <v>1</v>
      </c>
      <c r="K157" s="54" t="str">
        <f t="shared" si="19"/>
        <v>1</v>
      </c>
      <c r="L157" s="69" t="str">
        <f t="shared" si="20"/>
        <v>0</v>
      </c>
      <c r="M157" s="74" t="str">
        <f t="shared" si="21"/>
        <v>0</v>
      </c>
      <c r="N157" s="29" t="str">
        <f t="shared" si="22"/>
        <v>1</v>
      </c>
      <c r="O157" s="61" t="str">
        <f t="shared" ca="1" si="23"/>
        <v>0</v>
      </c>
      <c r="P157" s="65" t="str">
        <f t="shared" si="24"/>
        <v>0</v>
      </c>
      <c r="Q157" s="46">
        <f t="shared" ca="1" si="26"/>
        <v>3</v>
      </c>
      <c r="R157" s="83" t="str">
        <f t="shared" ca="1" si="25"/>
        <v>ผ่าน</v>
      </c>
      <c r="S157" s="3" t="s">
        <v>28</v>
      </c>
      <c r="T157" s="32">
        <v>6610392212</v>
      </c>
      <c r="V157" s="36">
        <v>6310403124</v>
      </c>
      <c r="W157" s="36">
        <v>6312325117</v>
      </c>
      <c r="Y157" s="40">
        <f ca="1">IFERROR(__xludf.DUMMYFUNCTION("""COMPUTED_VALUE"""),6412743113)</f>
        <v>6412743113</v>
      </c>
      <c r="Z157" s="36">
        <v>6410106112</v>
      </c>
    </row>
    <row r="158" spans="1:26" ht="18" customHeight="1">
      <c r="A158" s="3">
        <v>156</v>
      </c>
      <c r="B158" s="3">
        <v>6510633216</v>
      </c>
      <c r="C158" s="4" t="s">
        <v>29</v>
      </c>
      <c r="D158" s="4" t="s">
        <v>447</v>
      </c>
      <c r="E158" s="4" t="s">
        <v>474</v>
      </c>
      <c r="F158" s="4" t="s">
        <v>475</v>
      </c>
      <c r="G158" s="4" t="s">
        <v>287</v>
      </c>
      <c r="H158" s="4" t="s">
        <v>384</v>
      </c>
      <c r="I158" s="3">
        <v>2</v>
      </c>
      <c r="J158" s="44" t="str">
        <f t="shared" si="18"/>
        <v>0</v>
      </c>
      <c r="K158" s="54" t="str">
        <f t="shared" si="19"/>
        <v>1</v>
      </c>
      <c r="L158" s="69" t="str">
        <f t="shared" si="20"/>
        <v>0</v>
      </c>
      <c r="M158" s="74" t="str">
        <f t="shared" si="21"/>
        <v>1</v>
      </c>
      <c r="N158" s="29" t="str">
        <f t="shared" si="22"/>
        <v>0</v>
      </c>
      <c r="O158" s="61" t="str">
        <f t="shared" ca="1" si="23"/>
        <v>1</v>
      </c>
      <c r="P158" s="65" t="str">
        <f t="shared" si="24"/>
        <v>0</v>
      </c>
      <c r="Q158" s="46">
        <f t="shared" ca="1" si="26"/>
        <v>3</v>
      </c>
      <c r="R158" s="83" t="str">
        <f t="shared" ca="1" si="25"/>
        <v>ผ่าน</v>
      </c>
      <c r="S158" s="3" t="s">
        <v>28</v>
      </c>
      <c r="T158" s="32">
        <v>6510633111</v>
      </c>
      <c r="V158" s="36">
        <v>6310207215</v>
      </c>
      <c r="W158" s="36">
        <v>6312325114</v>
      </c>
      <c r="Y158" s="41">
        <f ca="1">IFERROR(__xludf.DUMMYFUNCTION("""COMPUTED_VALUE"""),6412743126)</f>
        <v>6412743126</v>
      </c>
      <c r="Z158" s="36">
        <v>6512247224</v>
      </c>
    </row>
    <row r="159" spans="1:26" ht="18" customHeight="1">
      <c r="A159" s="3">
        <v>157</v>
      </c>
      <c r="B159" s="3">
        <v>6510633224</v>
      </c>
      <c r="C159" s="4" t="s">
        <v>29</v>
      </c>
      <c r="D159" s="4" t="s">
        <v>476</v>
      </c>
      <c r="E159" s="4" t="s">
        <v>477</v>
      </c>
      <c r="F159" s="4" t="s">
        <v>179</v>
      </c>
      <c r="G159" s="4" t="s">
        <v>287</v>
      </c>
      <c r="H159" s="4" t="s">
        <v>384</v>
      </c>
      <c r="I159" s="3">
        <v>2</v>
      </c>
      <c r="J159" s="45" t="str">
        <f t="shared" si="18"/>
        <v>1</v>
      </c>
      <c r="K159" s="54" t="str">
        <f t="shared" si="19"/>
        <v>1</v>
      </c>
      <c r="L159" s="69" t="str">
        <f t="shared" si="20"/>
        <v>0</v>
      </c>
      <c r="M159" s="74" t="str">
        <f t="shared" si="21"/>
        <v>0</v>
      </c>
      <c r="N159" s="29" t="str">
        <f t="shared" si="22"/>
        <v>1</v>
      </c>
      <c r="O159" s="61" t="str">
        <f t="shared" ca="1" si="23"/>
        <v>1</v>
      </c>
      <c r="P159" s="65" t="str">
        <f t="shared" si="24"/>
        <v>1</v>
      </c>
      <c r="Q159" s="46">
        <f t="shared" ca="1" si="26"/>
        <v>5</v>
      </c>
      <c r="R159" s="83" t="str">
        <f t="shared" ca="1" si="25"/>
        <v>ผ่าน</v>
      </c>
      <c r="S159" s="3" t="s">
        <v>28</v>
      </c>
      <c r="T159" s="32">
        <v>6512743215</v>
      </c>
      <c r="V159" s="36">
        <v>6310207210</v>
      </c>
      <c r="W159" s="36">
        <v>6311506104</v>
      </c>
      <c r="Y159" s="40">
        <f ca="1">IFERROR(__xludf.DUMMYFUNCTION("""COMPUTED_VALUE"""),6412743133)</f>
        <v>6412743133</v>
      </c>
      <c r="Z159" s="36">
        <v>6410073109</v>
      </c>
    </row>
    <row r="160" spans="1:26" ht="18" customHeight="1">
      <c r="A160" s="3">
        <v>158</v>
      </c>
      <c r="B160" s="3">
        <v>6510633227</v>
      </c>
      <c r="C160" s="4" t="s">
        <v>29</v>
      </c>
      <c r="D160" s="4" t="s">
        <v>478</v>
      </c>
      <c r="E160" s="4" t="s">
        <v>472</v>
      </c>
      <c r="F160" s="4" t="s">
        <v>479</v>
      </c>
      <c r="G160" s="4" t="s">
        <v>287</v>
      </c>
      <c r="H160" s="4" t="s">
        <v>384</v>
      </c>
      <c r="I160" s="3">
        <v>2</v>
      </c>
      <c r="J160" s="45" t="str">
        <f t="shared" si="18"/>
        <v>1</v>
      </c>
      <c r="K160" s="54" t="str">
        <f t="shared" si="19"/>
        <v>0</v>
      </c>
      <c r="L160" s="69" t="str">
        <f t="shared" si="20"/>
        <v>1</v>
      </c>
      <c r="M160" s="74" t="str">
        <f t="shared" si="21"/>
        <v>0</v>
      </c>
      <c r="N160" s="29" t="str">
        <f t="shared" si="22"/>
        <v>1</v>
      </c>
      <c r="O160" s="61" t="str">
        <f t="shared" ca="1" si="23"/>
        <v>1</v>
      </c>
      <c r="P160" s="65" t="str">
        <f t="shared" si="24"/>
        <v>1</v>
      </c>
      <c r="Q160" s="46">
        <f t="shared" ca="1" si="26"/>
        <v>5</v>
      </c>
      <c r="R160" s="83" t="str">
        <f t="shared" ca="1" si="25"/>
        <v>ผ่าน</v>
      </c>
      <c r="S160" s="3" t="s">
        <v>28</v>
      </c>
      <c r="T160" s="32">
        <v>6610488216</v>
      </c>
      <c r="V160" s="36">
        <v>6310207206</v>
      </c>
      <c r="W160" s="36">
        <v>6312269101</v>
      </c>
      <c r="Y160" s="41">
        <f ca="1">IFERROR(__xludf.DUMMYFUNCTION("""COMPUTED_VALUE"""),6412743137)</f>
        <v>6412743137</v>
      </c>
      <c r="Z160" s="36">
        <v>6412866222</v>
      </c>
    </row>
    <row r="161" spans="1:26" ht="18" customHeight="1">
      <c r="A161" s="3">
        <v>159</v>
      </c>
      <c r="B161" s="3">
        <v>6510633230</v>
      </c>
      <c r="C161" s="4" t="s">
        <v>29</v>
      </c>
      <c r="D161" s="4" t="s">
        <v>480</v>
      </c>
      <c r="E161" s="4" t="s">
        <v>206</v>
      </c>
      <c r="F161" s="4" t="s">
        <v>391</v>
      </c>
      <c r="G161" s="4" t="s">
        <v>287</v>
      </c>
      <c r="H161" s="4" t="s">
        <v>384</v>
      </c>
      <c r="I161" s="3">
        <v>2</v>
      </c>
      <c r="J161" s="45" t="str">
        <f t="shared" si="18"/>
        <v>1</v>
      </c>
      <c r="K161" s="54" t="str">
        <f t="shared" si="19"/>
        <v>0</v>
      </c>
      <c r="L161" s="69" t="str">
        <f t="shared" si="20"/>
        <v>1</v>
      </c>
      <c r="M161" s="74" t="str">
        <f t="shared" si="21"/>
        <v>1</v>
      </c>
      <c r="N161" s="29" t="str">
        <f t="shared" si="22"/>
        <v>0</v>
      </c>
      <c r="O161" s="61" t="str">
        <f t="shared" ca="1" si="23"/>
        <v>1</v>
      </c>
      <c r="P161" s="65" t="str">
        <f t="shared" si="24"/>
        <v>1</v>
      </c>
      <c r="Q161" s="46">
        <f t="shared" ca="1" si="26"/>
        <v>5</v>
      </c>
      <c r="R161" s="83" t="str">
        <f t="shared" ca="1" si="25"/>
        <v>ผ่าน</v>
      </c>
      <c r="S161" s="3" t="s">
        <v>28</v>
      </c>
      <c r="T161" s="32">
        <v>6510403107</v>
      </c>
      <c r="V161" s="36">
        <v>6310207111</v>
      </c>
      <c r="W161" s="36">
        <v>6312743214</v>
      </c>
      <c r="Y161" s="40">
        <f ca="1">IFERROR(__xludf.DUMMYFUNCTION("""COMPUTED_VALUE"""),6412743138)</f>
        <v>6412743138</v>
      </c>
      <c r="Z161" s="36">
        <v>6412866227</v>
      </c>
    </row>
    <row r="162" spans="1:26" ht="18" customHeight="1">
      <c r="A162" s="3">
        <v>160</v>
      </c>
      <c r="B162" s="3">
        <v>6410633101</v>
      </c>
      <c r="C162" s="4" t="s">
        <v>22</v>
      </c>
      <c r="D162" s="4" t="s">
        <v>481</v>
      </c>
      <c r="E162" s="4" t="s">
        <v>482</v>
      </c>
      <c r="F162" s="4" t="s">
        <v>483</v>
      </c>
      <c r="G162" s="4" t="s">
        <v>287</v>
      </c>
      <c r="H162" s="4" t="s">
        <v>384</v>
      </c>
      <c r="I162" s="3">
        <v>3</v>
      </c>
      <c r="J162" s="45" t="str">
        <f t="shared" si="18"/>
        <v>1</v>
      </c>
      <c r="K162" s="54" t="str">
        <f t="shared" si="19"/>
        <v>0</v>
      </c>
      <c r="L162" s="69" t="str">
        <f t="shared" si="20"/>
        <v>1</v>
      </c>
      <c r="M162" s="74" t="str">
        <f t="shared" si="21"/>
        <v>0</v>
      </c>
      <c r="N162" s="29">
        <v>1</v>
      </c>
      <c r="O162" s="61" t="str">
        <f t="shared" ca="1" si="23"/>
        <v>0</v>
      </c>
      <c r="P162" s="65">
        <v>1</v>
      </c>
      <c r="Q162" s="46">
        <f t="shared" ca="1" si="26"/>
        <v>4</v>
      </c>
      <c r="R162" s="83" t="str">
        <f t="shared" ca="1" si="25"/>
        <v>ผ่าน</v>
      </c>
      <c r="S162" s="3" t="s">
        <v>28</v>
      </c>
      <c r="T162" s="32">
        <v>6312247122</v>
      </c>
      <c r="V162" s="36">
        <v>6310633104</v>
      </c>
      <c r="W162" s="36">
        <v>6410048157</v>
      </c>
      <c r="Y162" s="41">
        <f ca="1">IFERROR(__xludf.DUMMYFUNCTION("""COMPUTED_VALUE"""),6412743142)</f>
        <v>6412743142</v>
      </c>
      <c r="Z162" s="36">
        <v>6610073105</v>
      </c>
    </row>
    <row r="163" spans="1:26" ht="18" customHeight="1">
      <c r="A163" s="3">
        <v>161</v>
      </c>
      <c r="B163" s="3">
        <v>6410633102</v>
      </c>
      <c r="C163" s="4" t="s">
        <v>22</v>
      </c>
      <c r="D163" s="4" t="s">
        <v>484</v>
      </c>
      <c r="E163" s="4" t="s">
        <v>485</v>
      </c>
      <c r="F163" s="4" t="s">
        <v>486</v>
      </c>
      <c r="G163" s="4" t="s">
        <v>287</v>
      </c>
      <c r="H163" s="4" t="s">
        <v>384</v>
      </c>
      <c r="I163" s="3">
        <v>3</v>
      </c>
      <c r="J163" s="45" t="str">
        <f t="shared" si="18"/>
        <v>1</v>
      </c>
      <c r="K163" s="54" t="str">
        <f t="shared" si="19"/>
        <v>0</v>
      </c>
      <c r="L163" s="69" t="str">
        <f t="shared" si="20"/>
        <v>1</v>
      </c>
      <c r="M163" s="74" t="str">
        <f t="shared" si="21"/>
        <v>0</v>
      </c>
      <c r="N163" s="29">
        <v>1</v>
      </c>
      <c r="O163" s="61" t="str">
        <f t="shared" ca="1" si="23"/>
        <v>0</v>
      </c>
      <c r="P163" s="65">
        <v>1</v>
      </c>
      <c r="Q163" s="46">
        <f t="shared" ca="1" si="26"/>
        <v>4</v>
      </c>
      <c r="R163" s="83" t="str">
        <f t="shared" ca="1" si="25"/>
        <v>ผ่าน</v>
      </c>
      <c r="S163" s="3" t="s">
        <v>28</v>
      </c>
      <c r="T163" s="32">
        <v>6312269126</v>
      </c>
      <c r="V163" s="36">
        <v>6310633217</v>
      </c>
      <c r="W163" s="36">
        <v>6410048161</v>
      </c>
      <c r="Y163" s="40">
        <f ca="1">IFERROR(__xludf.DUMMYFUNCTION("""COMPUTED_VALUE"""),6412743150)</f>
        <v>6412743150</v>
      </c>
      <c r="Z163" s="36">
        <v>6512798102</v>
      </c>
    </row>
    <row r="164" spans="1:26" ht="18" customHeight="1">
      <c r="A164" s="3">
        <v>162</v>
      </c>
      <c r="B164" s="3">
        <v>6410633104</v>
      </c>
      <c r="C164" s="4" t="s">
        <v>22</v>
      </c>
      <c r="D164" s="4" t="s">
        <v>487</v>
      </c>
      <c r="E164" s="4" t="s">
        <v>488</v>
      </c>
      <c r="F164" s="4" t="s">
        <v>489</v>
      </c>
      <c r="G164" s="4" t="s">
        <v>287</v>
      </c>
      <c r="H164" s="4" t="s">
        <v>384</v>
      </c>
      <c r="I164" s="3">
        <v>3</v>
      </c>
      <c r="J164" s="45" t="str">
        <f t="shared" si="18"/>
        <v>1</v>
      </c>
      <c r="K164" s="54" t="str">
        <f t="shared" si="19"/>
        <v>0</v>
      </c>
      <c r="L164" s="69" t="str">
        <f t="shared" si="20"/>
        <v>1</v>
      </c>
      <c r="M164" s="74" t="str">
        <f t="shared" si="21"/>
        <v>0</v>
      </c>
      <c r="N164" s="29">
        <v>1</v>
      </c>
      <c r="O164" s="61" t="str">
        <f t="shared" ca="1" si="23"/>
        <v>0</v>
      </c>
      <c r="P164" s="65">
        <v>1</v>
      </c>
      <c r="Q164" s="46">
        <f t="shared" ca="1" si="26"/>
        <v>4</v>
      </c>
      <c r="R164" s="83" t="str">
        <f t="shared" ca="1" si="25"/>
        <v>ผ่าน</v>
      </c>
      <c r="S164" s="3" t="s">
        <v>28</v>
      </c>
      <c r="T164" s="32">
        <v>6610633204</v>
      </c>
      <c r="V164" s="36">
        <v>6312325102</v>
      </c>
      <c r="W164" s="36">
        <v>6310048219</v>
      </c>
      <c r="Y164" s="41">
        <f ca="1">IFERROR(__xludf.DUMMYFUNCTION("""COMPUTED_VALUE"""),6412743202)</f>
        <v>6412743202</v>
      </c>
      <c r="Z164" s="36">
        <v>6610414208</v>
      </c>
    </row>
    <row r="165" spans="1:26" ht="18" customHeight="1">
      <c r="A165" s="3">
        <v>163</v>
      </c>
      <c r="B165" s="3">
        <v>6410633105</v>
      </c>
      <c r="C165" s="4" t="s">
        <v>22</v>
      </c>
      <c r="D165" s="4" t="s">
        <v>490</v>
      </c>
      <c r="E165" s="4" t="s">
        <v>491</v>
      </c>
      <c r="F165" s="4" t="s">
        <v>492</v>
      </c>
      <c r="G165" s="4" t="s">
        <v>287</v>
      </c>
      <c r="H165" s="4" t="s">
        <v>384</v>
      </c>
      <c r="I165" s="3">
        <v>3</v>
      </c>
      <c r="J165" s="45" t="str">
        <f t="shared" si="18"/>
        <v>1</v>
      </c>
      <c r="K165" s="54" t="str">
        <f t="shared" si="19"/>
        <v>0</v>
      </c>
      <c r="L165" s="69" t="str">
        <f t="shared" si="20"/>
        <v>1</v>
      </c>
      <c r="M165" s="74" t="str">
        <f t="shared" si="21"/>
        <v>0</v>
      </c>
      <c r="N165" s="29">
        <v>1</v>
      </c>
      <c r="O165" s="61" t="str">
        <f t="shared" ca="1" si="23"/>
        <v>0</v>
      </c>
      <c r="P165" s="65">
        <v>1</v>
      </c>
      <c r="Q165" s="46">
        <f t="shared" ca="1" si="26"/>
        <v>4</v>
      </c>
      <c r="R165" s="83" t="str">
        <f t="shared" ca="1" si="25"/>
        <v>ผ่าน</v>
      </c>
      <c r="S165" s="3" t="s">
        <v>28</v>
      </c>
      <c r="T165" s="32">
        <v>6412798118</v>
      </c>
      <c r="V165" s="36">
        <v>6312325106</v>
      </c>
      <c r="W165" s="36">
        <v>6312269134</v>
      </c>
      <c r="Y165" s="40">
        <f ca="1">IFERROR(__xludf.DUMMYFUNCTION("""COMPUTED_VALUE"""),6412743206)</f>
        <v>6412743206</v>
      </c>
      <c r="Z165" s="36">
        <v>6510403208</v>
      </c>
    </row>
    <row r="166" spans="1:26" ht="18" customHeight="1">
      <c r="A166" s="3">
        <v>164</v>
      </c>
      <c r="B166" s="3">
        <v>6410633106</v>
      </c>
      <c r="C166" s="4" t="s">
        <v>22</v>
      </c>
      <c r="D166" s="4" t="s">
        <v>493</v>
      </c>
      <c r="E166" s="4" t="s">
        <v>494</v>
      </c>
      <c r="F166" s="4" t="s">
        <v>495</v>
      </c>
      <c r="G166" s="4" t="s">
        <v>287</v>
      </c>
      <c r="H166" s="4" t="s">
        <v>384</v>
      </c>
      <c r="I166" s="3">
        <v>3</v>
      </c>
      <c r="J166" s="45" t="str">
        <f t="shared" si="18"/>
        <v>1</v>
      </c>
      <c r="K166" s="54" t="str">
        <f t="shared" si="19"/>
        <v>0</v>
      </c>
      <c r="L166" s="69" t="str">
        <f t="shared" si="20"/>
        <v>1</v>
      </c>
      <c r="M166" s="74" t="str">
        <f t="shared" si="21"/>
        <v>0</v>
      </c>
      <c r="N166" s="29">
        <v>1</v>
      </c>
      <c r="O166" s="61" t="str">
        <f t="shared" ca="1" si="23"/>
        <v>0</v>
      </c>
      <c r="P166" s="65">
        <v>1</v>
      </c>
      <c r="Q166" s="46">
        <f t="shared" ca="1" si="26"/>
        <v>4</v>
      </c>
      <c r="R166" s="83" t="str">
        <f t="shared" ca="1" si="25"/>
        <v>ผ่าน</v>
      </c>
      <c r="S166" s="3" t="s">
        <v>28</v>
      </c>
      <c r="T166" s="32">
        <v>6412743206</v>
      </c>
      <c r="V166" s="36">
        <v>6310073110</v>
      </c>
      <c r="W166" s="36">
        <v>6412236223</v>
      </c>
      <c r="Y166" s="41">
        <f ca="1">IFERROR(__xludf.DUMMYFUNCTION("""COMPUTED_VALUE"""),6412743207)</f>
        <v>6412743207</v>
      </c>
      <c r="Z166" s="36">
        <v>6410403105</v>
      </c>
    </row>
    <row r="167" spans="1:26" ht="18" customHeight="1">
      <c r="A167" s="3">
        <v>165</v>
      </c>
      <c r="B167" s="3">
        <v>6410633108</v>
      </c>
      <c r="C167" s="4" t="s">
        <v>22</v>
      </c>
      <c r="D167" s="4" t="s">
        <v>496</v>
      </c>
      <c r="E167" s="4" t="s">
        <v>497</v>
      </c>
      <c r="F167" s="4" t="s">
        <v>498</v>
      </c>
      <c r="G167" s="4" t="s">
        <v>287</v>
      </c>
      <c r="H167" s="4" t="s">
        <v>384</v>
      </c>
      <c r="I167" s="3">
        <v>3</v>
      </c>
      <c r="J167" s="45" t="str">
        <f t="shared" si="18"/>
        <v>1</v>
      </c>
      <c r="K167" s="54" t="str">
        <f t="shared" si="19"/>
        <v>0</v>
      </c>
      <c r="L167" s="69" t="str">
        <f t="shared" si="20"/>
        <v>1</v>
      </c>
      <c r="M167" s="74" t="str">
        <f t="shared" si="21"/>
        <v>0</v>
      </c>
      <c r="N167" s="29">
        <v>1</v>
      </c>
      <c r="O167" s="61">
        <v>1</v>
      </c>
      <c r="P167" s="65">
        <v>1</v>
      </c>
      <c r="Q167" s="46">
        <f t="shared" si="26"/>
        <v>5</v>
      </c>
      <c r="R167" s="83" t="str">
        <f t="shared" si="25"/>
        <v>ผ่าน</v>
      </c>
      <c r="S167" s="3" t="s">
        <v>28</v>
      </c>
      <c r="T167" s="32">
        <v>6610392101</v>
      </c>
      <c r="V167" s="36">
        <v>6310073101</v>
      </c>
      <c r="W167" s="36">
        <v>6410488105</v>
      </c>
      <c r="Y167" s="40">
        <f ca="1">IFERROR(__xludf.DUMMYFUNCTION("""COMPUTED_VALUE"""),6412743215)</f>
        <v>6412743215</v>
      </c>
      <c r="Z167" s="36">
        <v>6510403107</v>
      </c>
    </row>
    <row r="168" spans="1:26" ht="18" customHeight="1">
      <c r="A168" s="3">
        <v>166</v>
      </c>
      <c r="B168" s="3">
        <v>6410633111</v>
      </c>
      <c r="C168" s="4" t="s">
        <v>22</v>
      </c>
      <c r="D168" s="4" t="s">
        <v>499</v>
      </c>
      <c r="E168" s="4" t="s">
        <v>500</v>
      </c>
      <c r="F168" s="4" t="s">
        <v>501</v>
      </c>
      <c r="G168" s="4" t="s">
        <v>287</v>
      </c>
      <c r="H168" s="4" t="s">
        <v>384</v>
      </c>
      <c r="I168" s="3">
        <v>3</v>
      </c>
      <c r="J168" s="45" t="str">
        <f t="shared" si="18"/>
        <v>1</v>
      </c>
      <c r="K168" s="54" t="str">
        <f t="shared" si="19"/>
        <v>0</v>
      </c>
      <c r="L168" s="69" t="str">
        <f t="shared" si="20"/>
        <v>1</v>
      </c>
      <c r="M168" s="74" t="str">
        <f t="shared" si="21"/>
        <v>0</v>
      </c>
      <c r="N168" s="29" t="str">
        <f t="shared" si="22"/>
        <v>1</v>
      </c>
      <c r="O168" s="61" t="str">
        <f t="shared" ca="1" si="23"/>
        <v>1</v>
      </c>
      <c r="P168" s="65" t="str">
        <f t="shared" si="24"/>
        <v>1</v>
      </c>
      <c r="Q168" s="46">
        <f t="shared" ca="1" si="26"/>
        <v>5</v>
      </c>
      <c r="R168" s="83" t="str">
        <f t="shared" ca="1" si="25"/>
        <v>ผ่าน</v>
      </c>
      <c r="S168" s="3" t="s">
        <v>28</v>
      </c>
      <c r="T168" s="32">
        <v>6310488227</v>
      </c>
      <c r="V168" s="36">
        <v>6312269101</v>
      </c>
      <c r="W168" s="36">
        <v>6510083109</v>
      </c>
      <c r="Y168" s="41">
        <f ca="1">IFERROR(__xludf.DUMMYFUNCTION("""COMPUTED_VALUE"""),6412743220)</f>
        <v>6412743220</v>
      </c>
      <c r="Z168" s="36">
        <v>6412866119</v>
      </c>
    </row>
    <row r="169" spans="1:26" ht="18" customHeight="1">
      <c r="A169" s="3">
        <v>167</v>
      </c>
      <c r="B169" s="3">
        <v>6410633113</v>
      </c>
      <c r="C169" s="4" t="s">
        <v>29</v>
      </c>
      <c r="D169" s="4" t="s">
        <v>502</v>
      </c>
      <c r="E169" s="4" t="s">
        <v>503</v>
      </c>
      <c r="F169" s="4" t="s">
        <v>504</v>
      </c>
      <c r="G169" s="4" t="s">
        <v>287</v>
      </c>
      <c r="H169" s="4" t="s">
        <v>384</v>
      </c>
      <c r="I169" s="3">
        <v>3</v>
      </c>
      <c r="J169" s="45" t="str">
        <f t="shared" si="18"/>
        <v>1</v>
      </c>
      <c r="K169" s="54" t="str">
        <f t="shared" si="19"/>
        <v>0</v>
      </c>
      <c r="L169" s="69" t="str">
        <f t="shared" si="20"/>
        <v>1</v>
      </c>
      <c r="M169" s="74" t="str">
        <f t="shared" si="21"/>
        <v>0</v>
      </c>
      <c r="N169" s="29" t="str">
        <f t="shared" si="22"/>
        <v>1</v>
      </c>
      <c r="O169" s="61" t="str">
        <f t="shared" ca="1" si="23"/>
        <v>0</v>
      </c>
      <c r="P169" s="65" t="str">
        <f t="shared" si="24"/>
        <v>1</v>
      </c>
      <c r="Q169" s="46">
        <f t="shared" ca="1" si="26"/>
        <v>4</v>
      </c>
      <c r="R169" s="83" t="str">
        <f t="shared" ca="1" si="25"/>
        <v>ผ่าน</v>
      </c>
      <c r="S169" s="3" t="s">
        <v>28</v>
      </c>
      <c r="T169" s="32">
        <v>6310414119</v>
      </c>
      <c r="V169" s="36">
        <v>6312269126</v>
      </c>
      <c r="W169" s="36">
        <v>6412743241</v>
      </c>
      <c r="Y169" s="40">
        <f ca="1">IFERROR(__xludf.DUMMYFUNCTION("""COMPUTED_VALUE"""),6412743229)</f>
        <v>6412743229</v>
      </c>
      <c r="Z169" s="36">
        <v>6510392117</v>
      </c>
    </row>
    <row r="170" spans="1:26" ht="18" customHeight="1">
      <c r="A170" s="3">
        <v>168</v>
      </c>
      <c r="B170" s="3">
        <v>6410633115</v>
      </c>
      <c r="C170" s="4" t="s">
        <v>29</v>
      </c>
      <c r="D170" s="4" t="s">
        <v>505</v>
      </c>
      <c r="E170" s="4" t="s">
        <v>506</v>
      </c>
      <c r="F170" s="4" t="s">
        <v>507</v>
      </c>
      <c r="G170" s="4" t="s">
        <v>287</v>
      </c>
      <c r="H170" s="4" t="s">
        <v>384</v>
      </c>
      <c r="I170" s="3">
        <v>3</v>
      </c>
      <c r="J170" s="45" t="str">
        <f t="shared" si="18"/>
        <v>1</v>
      </c>
      <c r="K170" s="54" t="str">
        <f t="shared" si="19"/>
        <v>0</v>
      </c>
      <c r="L170" s="69" t="str">
        <f t="shared" si="20"/>
        <v>1</v>
      </c>
      <c r="M170" s="74" t="str">
        <f t="shared" si="21"/>
        <v>0</v>
      </c>
      <c r="N170" s="29" t="str">
        <f t="shared" si="22"/>
        <v>1</v>
      </c>
      <c r="O170" s="61" t="str">
        <f t="shared" ca="1" si="23"/>
        <v>1</v>
      </c>
      <c r="P170" s="65" t="str">
        <f t="shared" si="24"/>
        <v>1</v>
      </c>
      <c r="Q170" s="46">
        <f t="shared" ca="1" si="26"/>
        <v>5</v>
      </c>
      <c r="R170" s="83" t="str">
        <f t="shared" ca="1" si="25"/>
        <v>ผ่าน</v>
      </c>
      <c r="S170" s="3" t="s">
        <v>28</v>
      </c>
      <c r="T170" s="32">
        <v>6410633115</v>
      </c>
      <c r="V170" s="36">
        <v>6312269125</v>
      </c>
      <c r="W170" s="36">
        <v>6410083101</v>
      </c>
      <c r="Y170" s="41">
        <f ca="1">IFERROR(__xludf.DUMMYFUNCTION("""COMPUTED_VALUE"""),6412743239)</f>
        <v>6412743239</v>
      </c>
      <c r="Z170" s="36">
        <v>6610068113</v>
      </c>
    </row>
    <row r="171" spans="1:26" ht="18" customHeight="1">
      <c r="A171" s="3">
        <v>169</v>
      </c>
      <c r="B171" s="3">
        <v>6410633119</v>
      </c>
      <c r="C171" s="4" t="s">
        <v>29</v>
      </c>
      <c r="D171" s="4" t="s">
        <v>508</v>
      </c>
      <c r="E171" s="4" t="s">
        <v>509</v>
      </c>
      <c r="F171" s="4" t="s">
        <v>510</v>
      </c>
      <c r="G171" s="4" t="s">
        <v>287</v>
      </c>
      <c r="H171" s="4" t="s">
        <v>384</v>
      </c>
      <c r="I171" s="3">
        <v>3</v>
      </c>
      <c r="J171" s="45" t="str">
        <f t="shared" si="18"/>
        <v>1</v>
      </c>
      <c r="K171" s="54" t="str">
        <f t="shared" si="19"/>
        <v>0</v>
      </c>
      <c r="L171" s="69" t="str">
        <f t="shared" si="20"/>
        <v>1</v>
      </c>
      <c r="M171" s="74" t="str">
        <f t="shared" si="21"/>
        <v>0</v>
      </c>
      <c r="N171" s="29">
        <v>1</v>
      </c>
      <c r="O171" s="61" t="str">
        <f t="shared" ca="1" si="23"/>
        <v>0</v>
      </c>
      <c r="P171" s="65" t="str">
        <f t="shared" si="24"/>
        <v>0</v>
      </c>
      <c r="Q171" s="46">
        <f t="shared" ca="1" si="26"/>
        <v>3</v>
      </c>
      <c r="R171" s="83" t="str">
        <f t="shared" ca="1" si="25"/>
        <v>ผ่าน</v>
      </c>
      <c r="S171" s="3" t="s">
        <v>28</v>
      </c>
      <c r="T171" s="32">
        <v>6412798125</v>
      </c>
      <c r="V171" s="36">
        <v>6312269112</v>
      </c>
      <c r="W171" s="36">
        <v>6412743215</v>
      </c>
      <c r="Y171" s="40">
        <f ca="1">IFERROR(__xludf.DUMMYFUNCTION("""COMPUTED_VALUE"""),6412743241)</f>
        <v>6412743241</v>
      </c>
      <c r="Z171" s="36">
        <v>6410633115</v>
      </c>
    </row>
    <row r="172" spans="1:26" ht="18" customHeight="1">
      <c r="A172" s="3">
        <v>170</v>
      </c>
      <c r="B172" s="3">
        <v>6410633120</v>
      </c>
      <c r="C172" s="4" t="s">
        <v>29</v>
      </c>
      <c r="D172" s="4" t="s">
        <v>447</v>
      </c>
      <c r="E172" s="4" t="s">
        <v>511</v>
      </c>
      <c r="F172" s="4" t="s">
        <v>512</v>
      </c>
      <c r="G172" s="4" t="s">
        <v>287</v>
      </c>
      <c r="H172" s="4" t="s">
        <v>384</v>
      </c>
      <c r="I172" s="3">
        <v>3</v>
      </c>
      <c r="J172" s="45" t="str">
        <f t="shared" si="18"/>
        <v>1</v>
      </c>
      <c r="K172" s="54" t="str">
        <f t="shared" si="19"/>
        <v>0</v>
      </c>
      <c r="L172" s="69" t="str">
        <f t="shared" si="20"/>
        <v>1</v>
      </c>
      <c r="M172" s="74" t="str">
        <f t="shared" si="21"/>
        <v>0</v>
      </c>
      <c r="N172" s="29" t="str">
        <f t="shared" si="22"/>
        <v>1</v>
      </c>
      <c r="O172" s="61" t="str">
        <f t="shared" ca="1" si="23"/>
        <v>1</v>
      </c>
      <c r="P172" s="65" t="str">
        <f t="shared" si="24"/>
        <v>1</v>
      </c>
      <c r="Q172" s="46">
        <f t="shared" ca="1" si="26"/>
        <v>5</v>
      </c>
      <c r="R172" s="83" t="str">
        <f t="shared" ca="1" si="25"/>
        <v>ผ่าน</v>
      </c>
      <c r="S172" s="3" t="s">
        <v>28</v>
      </c>
      <c r="T172" s="32">
        <v>6410488221</v>
      </c>
      <c r="V172" s="36">
        <v>6312269106</v>
      </c>
      <c r="W172" s="36">
        <v>6310633114</v>
      </c>
      <c r="Y172" s="41">
        <f ca="1">IFERROR(__xludf.DUMMYFUNCTION("""COMPUTED_VALUE"""),6412743246)</f>
        <v>6412743246</v>
      </c>
      <c r="Z172" s="36">
        <v>6412798107</v>
      </c>
    </row>
    <row r="173" spans="1:26" ht="18" customHeight="1">
      <c r="A173" s="3">
        <v>171</v>
      </c>
      <c r="B173" s="3">
        <v>6410633124</v>
      </c>
      <c r="C173" s="4" t="s">
        <v>29</v>
      </c>
      <c r="D173" s="4" t="s">
        <v>513</v>
      </c>
      <c r="E173" s="4" t="s">
        <v>514</v>
      </c>
      <c r="F173" s="4" t="s">
        <v>515</v>
      </c>
      <c r="G173" s="4" t="s">
        <v>287</v>
      </c>
      <c r="H173" s="4" t="s">
        <v>384</v>
      </c>
      <c r="I173" s="3">
        <v>3</v>
      </c>
      <c r="J173" s="45" t="str">
        <f t="shared" si="18"/>
        <v>1</v>
      </c>
      <c r="K173" s="54" t="str">
        <f t="shared" si="19"/>
        <v>0</v>
      </c>
      <c r="L173" s="69" t="str">
        <f t="shared" si="20"/>
        <v>1</v>
      </c>
      <c r="M173" s="74" t="str">
        <f t="shared" si="21"/>
        <v>0</v>
      </c>
      <c r="N173" s="29" t="str">
        <f t="shared" si="22"/>
        <v>1</v>
      </c>
      <c r="O173" s="61" t="str">
        <f t="shared" ca="1" si="23"/>
        <v>0</v>
      </c>
      <c r="P173" s="65" t="str">
        <f t="shared" si="24"/>
        <v>0</v>
      </c>
      <c r="Q173" s="46">
        <f t="shared" ca="1" si="26"/>
        <v>3</v>
      </c>
      <c r="R173" s="83" t="str">
        <f t="shared" ca="1" si="25"/>
        <v>ผ่าน</v>
      </c>
      <c r="S173" s="3" t="s">
        <v>28</v>
      </c>
      <c r="T173" s="32">
        <v>6411506114</v>
      </c>
      <c r="V173" s="36">
        <v>6315964117</v>
      </c>
      <c r="W173" s="36">
        <v>6412743229</v>
      </c>
      <c r="Y173" s="40">
        <f ca="1">IFERROR(__xludf.DUMMYFUNCTION("""COMPUTED_VALUE"""),6410106104)</f>
        <v>6410106104</v>
      </c>
      <c r="Z173" s="36">
        <v>6410083112</v>
      </c>
    </row>
    <row r="174" spans="1:26" ht="18" customHeight="1">
      <c r="A174" s="3">
        <v>172</v>
      </c>
      <c r="B174" s="3">
        <v>6410633201</v>
      </c>
      <c r="C174" s="4" t="s">
        <v>22</v>
      </c>
      <c r="D174" s="4" t="s">
        <v>516</v>
      </c>
      <c r="E174" s="4" t="s">
        <v>517</v>
      </c>
      <c r="F174" s="4" t="s">
        <v>518</v>
      </c>
      <c r="G174" s="4" t="s">
        <v>287</v>
      </c>
      <c r="H174" s="4" t="s">
        <v>384</v>
      </c>
      <c r="I174" s="3">
        <v>3</v>
      </c>
      <c r="J174" s="45" t="str">
        <f t="shared" si="18"/>
        <v>1</v>
      </c>
      <c r="K174" s="54" t="str">
        <f t="shared" si="19"/>
        <v>0</v>
      </c>
      <c r="L174" s="69" t="str">
        <f t="shared" si="20"/>
        <v>1</v>
      </c>
      <c r="M174" s="74" t="str">
        <f t="shared" si="21"/>
        <v>0</v>
      </c>
      <c r="N174" s="29">
        <v>1</v>
      </c>
      <c r="O174" s="61">
        <v>1</v>
      </c>
      <c r="P174" s="65">
        <v>1</v>
      </c>
      <c r="Q174" s="46">
        <f t="shared" si="26"/>
        <v>5</v>
      </c>
      <c r="R174" s="83" t="str">
        <f t="shared" si="25"/>
        <v>ผ่าน</v>
      </c>
      <c r="S174" s="3" t="s">
        <v>28</v>
      </c>
      <c r="T174" s="32">
        <v>6410073116</v>
      </c>
      <c r="V174" s="36">
        <v>6315964111</v>
      </c>
      <c r="W174" s="36">
        <v>6310633215</v>
      </c>
      <c r="Y174" s="41">
        <f ca="1">IFERROR(__xludf.DUMMYFUNCTION("""COMPUTED_VALUE"""),6410106112)</f>
        <v>6410106112</v>
      </c>
      <c r="Z174" s="36">
        <v>6410488105</v>
      </c>
    </row>
    <row r="175" spans="1:26" ht="18" customHeight="1">
      <c r="A175" s="3">
        <v>173</v>
      </c>
      <c r="B175" s="3">
        <v>6410633203</v>
      </c>
      <c r="C175" s="4" t="s">
        <v>22</v>
      </c>
      <c r="D175" s="4" t="s">
        <v>519</v>
      </c>
      <c r="E175" s="4" t="s">
        <v>520</v>
      </c>
      <c r="F175" s="4" t="s">
        <v>479</v>
      </c>
      <c r="G175" s="4" t="s">
        <v>287</v>
      </c>
      <c r="H175" s="4" t="s">
        <v>384</v>
      </c>
      <c r="I175" s="3">
        <v>3</v>
      </c>
      <c r="J175" s="45" t="str">
        <f t="shared" si="18"/>
        <v>1</v>
      </c>
      <c r="K175" s="54" t="str">
        <f t="shared" si="19"/>
        <v>0</v>
      </c>
      <c r="L175" s="69" t="str">
        <f t="shared" si="20"/>
        <v>1</v>
      </c>
      <c r="M175" s="74" t="str">
        <f t="shared" si="21"/>
        <v>0</v>
      </c>
      <c r="N175" s="29">
        <v>1</v>
      </c>
      <c r="O175" s="61" t="str">
        <f t="shared" ca="1" si="23"/>
        <v>0</v>
      </c>
      <c r="P175" s="65">
        <v>1</v>
      </c>
      <c r="Q175" s="46">
        <f t="shared" ca="1" si="26"/>
        <v>4</v>
      </c>
      <c r="R175" s="83" t="str">
        <f t="shared" ca="1" si="25"/>
        <v>ผ่าน</v>
      </c>
      <c r="S175" s="3" t="s">
        <v>28</v>
      </c>
      <c r="T175" s="32">
        <v>6410488118</v>
      </c>
      <c r="V175" s="36">
        <v>6315964119</v>
      </c>
      <c r="W175" s="36">
        <v>6410488201</v>
      </c>
      <c r="Y175" s="40">
        <f ca="1">IFERROR(__xludf.DUMMYFUNCTION("""COMPUTED_VALUE"""),6410106114)</f>
        <v>6410106114</v>
      </c>
      <c r="Z175" s="36">
        <v>6410073113</v>
      </c>
    </row>
    <row r="176" spans="1:26" ht="18" customHeight="1">
      <c r="A176" s="3">
        <v>174</v>
      </c>
      <c r="B176" s="3">
        <v>6410633204</v>
      </c>
      <c r="C176" s="4" t="s">
        <v>22</v>
      </c>
      <c r="D176" s="4" t="s">
        <v>521</v>
      </c>
      <c r="E176" s="4" t="s">
        <v>522</v>
      </c>
      <c r="F176" s="4" t="s">
        <v>401</v>
      </c>
      <c r="G176" s="4" t="s">
        <v>287</v>
      </c>
      <c r="H176" s="4" t="s">
        <v>384</v>
      </c>
      <c r="I176" s="3">
        <v>3</v>
      </c>
      <c r="J176" s="45" t="str">
        <f t="shared" si="18"/>
        <v>1</v>
      </c>
      <c r="K176" s="54" t="str">
        <f t="shared" si="19"/>
        <v>0</v>
      </c>
      <c r="L176" s="69" t="str">
        <f t="shared" si="20"/>
        <v>1</v>
      </c>
      <c r="M176" s="74" t="str">
        <f t="shared" si="21"/>
        <v>0</v>
      </c>
      <c r="N176" s="29">
        <v>1</v>
      </c>
      <c r="O176" s="61">
        <v>1</v>
      </c>
      <c r="P176" s="65">
        <v>1</v>
      </c>
      <c r="Q176" s="46">
        <f t="shared" si="26"/>
        <v>5</v>
      </c>
      <c r="R176" s="83" t="str">
        <f t="shared" si="25"/>
        <v>ผ่าน</v>
      </c>
      <c r="S176" s="3" t="s">
        <v>28</v>
      </c>
      <c r="T176" s="32">
        <v>6310106203</v>
      </c>
      <c r="V176" s="36">
        <v>6315964112</v>
      </c>
      <c r="W176" s="36">
        <v>6410488206</v>
      </c>
      <c r="Y176" s="41">
        <f ca="1">IFERROR(__xludf.DUMMYFUNCTION("""COMPUTED_VALUE"""),6410106119)</f>
        <v>6410106119</v>
      </c>
      <c r="Z176" s="36">
        <v>6410488216</v>
      </c>
    </row>
    <row r="177" spans="1:26" ht="18" customHeight="1">
      <c r="A177" s="3">
        <v>175</v>
      </c>
      <c r="B177" s="3">
        <v>6410633207</v>
      </c>
      <c r="C177" s="4" t="s">
        <v>22</v>
      </c>
      <c r="D177" s="4" t="s">
        <v>523</v>
      </c>
      <c r="E177" s="4" t="s">
        <v>524</v>
      </c>
      <c r="F177" s="4" t="s">
        <v>525</v>
      </c>
      <c r="G177" s="4" t="s">
        <v>287</v>
      </c>
      <c r="H177" s="4" t="s">
        <v>384</v>
      </c>
      <c r="I177" s="3">
        <v>3</v>
      </c>
      <c r="J177" s="45" t="str">
        <f t="shared" si="18"/>
        <v>1</v>
      </c>
      <c r="K177" s="54" t="str">
        <f t="shared" si="19"/>
        <v>0</v>
      </c>
      <c r="L177" s="69" t="str">
        <f t="shared" si="20"/>
        <v>1</v>
      </c>
      <c r="M177" s="74" t="str">
        <f t="shared" si="21"/>
        <v>0</v>
      </c>
      <c r="N177" s="29">
        <v>1</v>
      </c>
      <c r="O177" s="61" t="str">
        <f t="shared" ca="1" si="23"/>
        <v>0</v>
      </c>
      <c r="P177" s="65">
        <v>1</v>
      </c>
      <c r="Q177" s="46">
        <f t="shared" ca="1" si="26"/>
        <v>4</v>
      </c>
      <c r="R177" s="83" t="str">
        <f t="shared" ca="1" si="25"/>
        <v>ผ่าน</v>
      </c>
      <c r="S177" s="3" t="s">
        <v>28</v>
      </c>
      <c r="T177" s="32">
        <v>6410414211</v>
      </c>
      <c r="V177" s="36">
        <v>6315964103</v>
      </c>
      <c r="W177" s="36">
        <v>6410488124</v>
      </c>
      <c r="Y177" s="40">
        <f ca="1">IFERROR(__xludf.DUMMYFUNCTION("""COMPUTED_VALUE"""),6410106121)</f>
        <v>6410106121</v>
      </c>
      <c r="Z177" s="36">
        <v>6410488212</v>
      </c>
    </row>
    <row r="178" spans="1:26" ht="18" customHeight="1">
      <c r="A178" s="3">
        <v>176</v>
      </c>
      <c r="B178" s="3">
        <v>6410633208</v>
      </c>
      <c r="C178" s="4" t="s">
        <v>22</v>
      </c>
      <c r="D178" s="4" t="s">
        <v>526</v>
      </c>
      <c r="E178" s="4" t="s">
        <v>527</v>
      </c>
      <c r="F178" s="4" t="s">
        <v>528</v>
      </c>
      <c r="G178" s="4" t="s">
        <v>287</v>
      </c>
      <c r="H178" s="4" t="s">
        <v>384</v>
      </c>
      <c r="I178" s="3">
        <v>3</v>
      </c>
      <c r="J178" s="45" t="str">
        <f t="shared" si="18"/>
        <v>1</v>
      </c>
      <c r="K178" s="54" t="str">
        <f t="shared" si="19"/>
        <v>0</v>
      </c>
      <c r="L178" s="69" t="str">
        <f t="shared" si="20"/>
        <v>1</v>
      </c>
      <c r="M178" s="74" t="str">
        <f t="shared" si="21"/>
        <v>0</v>
      </c>
      <c r="N178" s="29">
        <v>1</v>
      </c>
      <c r="O178" s="61" t="str">
        <f t="shared" ca="1" si="23"/>
        <v>0</v>
      </c>
      <c r="P178" s="65">
        <v>1</v>
      </c>
      <c r="Q178" s="46">
        <f t="shared" ca="1" si="26"/>
        <v>4</v>
      </c>
      <c r="R178" s="83" t="str">
        <f t="shared" ca="1" si="25"/>
        <v>ผ่าน</v>
      </c>
      <c r="S178" s="3" t="s">
        <v>28</v>
      </c>
      <c r="T178" s="32">
        <v>6410048262</v>
      </c>
      <c r="V178" s="36">
        <v>6315964107</v>
      </c>
      <c r="W178" s="36">
        <v>6412743113</v>
      </c>
      <c r="Y178" s="41">
        <f ca="1">IFERROR(__xludf.DUMMYFUNCTION("""COMPUTED_VALUE"""),6410106125)</f>
        <v>6410106125</v>
      </c>
      <c r="Z178" s="36">
        <v>6410106125</v>
      </c>
    </row>
    <row r="179" spans="1:26" ht="18" customHeight="1">
      <c r="A179" s="3">
        <v>177</v>
      </c>
      <c r="B179" s="3">
        <v>6410633209</v>
      </c>
      <c r="C179" s="4" t="s">
        <v>22</v>
      </c>
      <c r="D179" s="4" t="s">
        <v>22</v>
      </c>
      <c r="E179" s="4" t="s">
        <v>529</v>
      </c>
      <c r="F179" s="4" t="s">
        <v>530</v>
      </c>
      <c r="G179" s="4" t="s">
        <v>287</v>
      </c>
      <c r="H179" s="4" t="s">
        <v>384</v>
      </c>
      <c r="I179" s="3">
        <v>3</v>
      </c>
      <c r="J179" s="45" t="str">
        <f t="shared" si="18"/>
        <v>1</v>
      </c>
      <c r="K179" s="54" t="str">
        <f t="shared" si="19"/>
        <v>0</v>
      </c>
      <c r="L179" s="69" t="str">
        <f t="shared" si="20"/>
        <v>1</v>
      </c>
      <c r="M179" s="74" t="str">
        <f t="shared" si="21"/>
        <v>0</v>
      </c>
      <c r="N179" s="29">
        <v>1</v>
      </c>
      <c r="O179" s="61" t="str">
        <f t="shared" ca="1" si="23"/>
        <v>0</v>
      </c>
      <c r="P179" s="65">
        <v>1</v>
      </c>
      <c r="Q179" s="46">
        <f t="shared" ca="1" si="26"/>
        <v>4</v>
      </c>
      <c r="R179" s="83" t="str">
        <f t="shared" ca="1" si="25"/>
        <v>ผ่าน</v>
      </c>
      <c r="S179" s="3" t="s">
        <v>28</v>
      </c>
      <c r="T179" s="32">
        <v>6612258203</v>
      </c>
      <c r="V179" s="36">
        <v>6315964102</v>
      </c>
      <c r="W179" s="36">
        <v>6610068107</v>
      </c>
      <c r="Y179" s="40">
        <f ca="1">IFERROR(__xludf.DUMMYFUNCTION("""COMPUTED_VALUE"""),6410106127)</f>
        <v>6410106127</v>
      </c>
      <c r="Z179" s="36">
        <v>6412258129</v>
      </c>
    </row>
    <row r="180" spans="1:26" ht="18" customHeight="1">
      <c r="A180" s="3">
        <v>178</v>
      </c>
      <c r="B180" s="3">
        <v>6410633211</v>
      </c>
      <c r="C180" s="4" t="s">
        <v>22</v>
      </c>
      <c r="D180" s="4" t="s">
        <v>531</v>
      </c>
      <c r="E180" s="4" t="s">
        <v>532</v>
      </c>
      <c r="F180" s="4" t="s">
        <v>270</v>
      </c>
      <c r="G180" s="4" t="s">
        <v>287</v>
      </c>
      <c r="H180" s="4" t="s">
        <v>384</v>
      </c>
      <c r="I180" s="3">
        <v>3</v>
      </c>
      <c r="J180" s="45" t="str">
        <f t="shared" si="18"/>
        <v>1</v>
      </c>
      <c r="K180" s="54" t="str">
        <f t="shared" si="19"/>
        <v>0</v>
      </c>
      <c r="L180" s="69" t="str">
        <f t="shared" si="20"/>
        <v>1</v>
      </c>
      <c r="M180" s="74" t="str">
        <f t="shared" si="21"/>
        <v>0</v>
      </c>
      <c r="N180" s="29">
        <v>1</v>
      </c>
      <c r="O180" s="61" t="str">
        <f t="shared" ca="1" si="23"/>
        <v>0</v>
      </c>
      <c r="P180" s="65">
        <v>1</v>
      </c>
      <c r="Q180" s="46">
        <f t="shared" ca="1" si="26"/>
        <v>4</v>
      </c>
      <c r="R180" s="83" t="str">
        <f t="shared" ca="1" si="25"/>
        <v>ผ่าน</v>
      </c>
      <c r="S180" s="3" t="s">
        <v>28</v>
      </c>
      <c r="T180" s="32">
        <v>6410048152</v>
      </c>
      <c r="V180" s="36">
        <v>6312798105</v>
      </c>
      <c r="W180" s="36">
        <v>6610392109</v>
      </c>
      <c r="Y180" s="41">
        <f ca="1">IFERROR(__xludf.DUMMYFUNCTION("""COMPUTED_VALUE"""),6410106209)</f>
        <v>6410106209</v>
      </c>
      <c r="Z180" s="36">
        <v>6610068224</v>
      </c>
    </row>
    <row r="181" spans="1:26" ht="18" customHeight="1">
      <c r="A181" s="3">
        <v>179</v>
      </c>
      <c r="B181" s="3">
        <v>6410633223</v>
      </c>
      <c r="C181" s="4" t="s">
        <v>29</v>
      </c>
      <c r="D181" s="4" t="s">
        <v>533</v>
      </c>
      <c r="E181" s="4" t="s">
        <v>534</v>
      </c>
      <c r="F181" s="4" t="s">
        <v>535</v>
      </c>
      <c r="G181" s="4" t="s">
        <v>287</v>
      </c>
      <c r="H181" s="4" t="s">
        <v>384</v>
      </c>
      <c r="I181" s="3">
        <v>3</v>
      </c>
      <c r="J181" s="45" t="str">
        <f t="shared" si="18"/>
        <v>1</v>
      </c>
      <c r="K181" s="54" t="str">
        <f t="shared" si="19"/>
        <v>0</v>
      </c>
      <c r="L181" s="69" t="str">
        <f t="shared" si="20"/>
        <v>1</v>
      </c>
      <c r="M181" s="74" t="str">
        <f t="shared" si="21"/>
        <v>0</v>
      </c>
      <c r="N181" s="29">
        <v>1</v>
      </c>
      <c r="O181" s="61" t="str">
        <f t="shared" ca="1" si="23"/>
        <v>0</v>
      </c>
      <c r="P181" s="65" t="str">
        <f t="shared" si="24"/>
        <v>1</v>
      </c>
      <c r="Q181" s="46">
        <f t="shared" ca="1" si="26"/>
        <v>4</v>
      </c>
      <c r="R181" s="83" t="str">
        <f t="shared" ca="1" si="25"/>
        <v>ผ่าน</v>
      </c>
      <c r="S181" s="3" t="s">
        <v>28</v>
      </c>
      <c r="T181" s="32">
        <v>6510392111</v>
      </c>
      <c r="V181" s="36">
        <v>6310106204</v>
      </c>
      <c r="W181" s="38"/>
      <c r="Y181" s="40">
        <f ca="1">IFERROR(__xludf.DUMMYFUNCTION("""COMPUTED_VALUE"""),6410106210)</f>
        <v>6410106210</v>
      </c>
      <c r="Z181" s="36">
        <v>6410488123</v>
      </c>
    </row>
    <row r="182" spans="1:26" ht="18" customHeight="1">
      <c r="A182" s="3">
        <v>180</v>
      </c>
      <c r="B182" s="3">
        <v>6410633229</v>
      </c>
      <c r="C182" s="4" t="s">
        <v>29</v>
      </c>
      <c r="D182" s="4" t="s">
        <v>536</v>
      </c>
      <c r="E182" s="4" t="s">
        <v>537</v>
      </c>
      <c r="F182" s="4" t="s">
        <v>179</v>
      </c>
      <c r="G182" s="4" t="s">
        <v>287</v>
      </c>
      <c r="H182" s="4" t="s">
        <v>384</v>
      </c>
      <c r="I182" s="3">
        <v>3</v>
      </c>
      <c r="J182" s="45" t="str">
        <f t="shared" si="18"/>
        <v>1</v>
      </c>
      <c r="K182" s="54" t="str">
        <f t="shared" si="19"/>
        <v>0</v>
      </c>
      <c r="L182" s="69" t="str">
        <f t="shared" si="20"/>
        <v>1</v>
      </c>
      <c r="M182" s="74" t="str">
        <f t="shared" si="21"/>
        <v>0</v>
      </c>
      <c r="N182" s="29" t="str">
        <f t="shared" si="22"/>
        <v>1</v>
      </c>
      <c r="O182" s="61" t="str">
        <f t="shared" ca="1" si="23"/>
        <v>0</v>
      </c>
      <c r="P182" s="65" t="str">
        <f t="shared" si="24"/>
        <v>1</v>
      </c>
      <c r="Q182" s="46">
        <f t="shared" ca="1" si="26"/>
        <v>4</v>
      </c>
      <c r="R182" s="83" t="str">
        <f t="shared" ca="1" si="25"/>
        <v>ผ่าน</v>
      </c>
      <c r="S182" s="3" t="s">
        <v>28</v>
      </c>
      <c r="T182" s="32">
        <v>6515964107</v>
      </c>
      <c r="V182" s="36">
        <v>6310106105</v>
      </c>
      <c r="W182" s="36">
        <v>6610392110</v>
      </c>
      <c r="Y182" s="41">
        <f ca="1">IFERROR(__xludf.DUMMYFUNCTION("""COMPUTED_VALUE"""),6410106213)</f>
        <v>6410106213</v>
      </c>
      <c r="Z182" s="36">
        <v>6412269106</v>
      </c>
    </row>
    <row r="183" spans="1:26" ht="18" customHeight="1">
      <c r="A183" s="3">
        <v>181</v>
      </c>
      <c r="B183" s="3">
        <v>6410633230</v>
      </c>
      <c r="C183" s="4" t="s">
        <v>29</v>
      </c>
      <c r="D183" s="4" t="s">
        <v>295</v>
      </c>
      <c r="E183" s="4" t="s">
        <v>538</v>
      </c>
      <c r="F183" s="4" t="s">
        <v>38</v>
      </c>
      <c r="G183" s="4" t="s">
        <v>287</v>
      </c>
      <c r="H183" s="4" t="s">
        <v>384</v>
      </c>
      <c r="I183" s="3">
        <v>3</v>
      </c>
      <c r="J183" s="45" t="str">
        <f t="shared" si="18"/>
        <v>1</v>
      </c>
      <c r="K183" s="54" t="str">
        <f t="shared" si="19"/>
        <v>0</v>
      </c>
      <c r="L183" s="69" t="str">
        <f t="shared" si="20"/>
        <v>1</v>
      </c>
      <c r="M183" s="74" t="str">
        <f t="shared" si="21"/>
        <v>0</v>
      </c>
      <c r="N183" s="29">
        <v>1</v>
      </c>
      <c r="O183" s="61" t="str">
        <f t="shared" ca="1" si="23"/>
        <v>1</v>
      </c>
      <c r="P183" s="65" t="str">
        <f t="shared" si="24"/>
        <v>1</v>
      </c>
      <c r="Q183" s="46">
        <f t="shared" ca="1" si="26"/>
        <v>5</v>
      </c>
      <c r="R183" s="83" t="str">
        <f t="shared" ca="1" si="25"/>
        <v>ผ่าน</v>
      </c>
      <c r="S183" s="3" t="s">
        <v>28</v>
      </c>
      <c r="T183" s="32">
        <v>6310633124</v>
      </c>
      <c r="V183" s="36">
        <v>6310106109</v>
      </c>
      <c r="W183" s="36">
        <v>6610392101</v>
      </c>
      <c r="Y183" s="40">
        <f ca="1">IFERROR(__xludf.DUMMYFUNCTION("""COMPUTED_VALUE"""),6410106215)</f>
        <v>6410106215</v>
      </c>
      <c r="Z183" s="36">
        <v>6510392128</v>
      </c>
    </row>
    <row r="184" spans="1:26" ht="18" customHeight="1">
      <c r="A184" s="3">
        <v>182</v>
      </c>
      <c r="B184" s="3">
        <v>6410633231</v>
      </c>
      <c r="C184" s="4" t="s">
        <v>29</v>
      </c>
      <c r="D184" s="4" t="s">
        <v>539</v>
      </c>
      <c r="E184" s="4" t="s">
        <v>540</v>
      </c>
      <c r="F184" s="4" t="s">
        <v>391</v>
      </c>
      <c r="G184" s="4" t="s">
        <v>287</v>
      </c>
      <c r="H184" s="4" t="s">
        <v>384</v>
      </c>
      <c r="I184" s="3">
        <v>3</v>
      </c>
      <c r="J184" s="44" t="str">
        <f t="shared" si="18"/>
        <v>0</v>
      </c>
      <c r="K184" s="54" t="str">
        <f t="shared" si="19"/>
        <v>0</v>
      </c>
      <c r="L184" s="69" t="str">
        <f t="shared" si="20"/>
        <v>1</v>
      </c>
      <c r="M184" s="74" t="str">
        <f t="shared" si="21"/>
        <v>0</v>
      </c>
      <c r="N184" s="29">
        <v>1</v>
      </c>
      <c r="O184" s="61">
        <v>1</v>
      </c>
      <c r="P184" s="65">
        <v>1</v>
      </c>
      <c r="Q184" s="46">
        <f t="shared" si="26"/>
        <v>4</v>
      </c>
      <c r="R184" s="83" t="str">
        <f t="shared" si="25"/>
        <v>ผ่าน</v>
      </c>
      <c r="S184" s="3" t="s">
        <v>28</v>
      </c>
      <c r="T184" s="32">
        <v>6410048143</v>
      </c>
      <c r="V184" s="36">
        <v>6310488205</v>
      </c>
      <c r="W184" s="36">
        <v>6610392104</v>
      </c>
      <c r="Y184" s="41">
        <f ca="1">IFERROR(__xludf.DUMMYFUNCTION("""COMPUTED_VALUE"""),6410106216)</f>
        <v>6410106216</v>
      </c>
      <c r="Z184" s="36">
        <v>6410403222</v>
      </c>
    </row>
    <row r="185" spans="1:26" ht="18" customHeight="1">
      <c r="A185" s="3">
        <v>183</v>
      </c>
      <c r="B185" s="3">
        <v>6310633104</v>
      </c>
      <c r="C185" s="4" t="s">
        <v>22</v>
      </c>
      <c r="D185" s="4" t="s">
        <v>541</v>
      </c>
      <c r="E185" s="4" t="s">
        <v>542</v>
      </c>
      <c r="F185" s="4" t="s">
        <v>543</v>
      </c>
      <c r="G185" s="4" t="s">
        <v>287</v>
      </c>
      <c r="H185" s="4" t="s">
        <v>384</v>
      </c>
      <c r="I185" s="3">
        <v>4</v>
      </c>
      <c r="J185" s="44" t="str">
        <f t="shared" si="18"/>
        <v>0</v>
      </c>
      <c r="K185" s="54" t="str">
        <f t="shared" si="19"/>
        <v>1</v>
      </c>
      <c r="L185" s="69" t="str">
        <f t="shared" si="20"/>
        <v>0</v>
      </c>
      <c r="M185" s="74" t="str">
        <f t="shared" si="21"/>
        <v>1</v>
      </c>
      <c r="N185" s="29" t="str">
        <f t="shared" si="22"/>
        <v>0</v>
      </c>
      <c r="O185" s="61">
        <v>1</v>
      </c>
      <c r="P185" s="65">
        <v>1</v>
      </c>
      <c r="Q185" s="46">
        <f t="shared" si="26"/>
        <v>4</v>
      </c>
      <c r="R185" s="83" t="str">
        <f t="shared" si="25"/>
        <v>ผ่าน</v>
      </c>
      <c r="S185" s="3" t="s">
        <v>28</v>
      </c>
      <c r="T185" s="32">
        <v>6612236114</v>
      </c>
      <c r="V185" s="36">
        <v>6310488118</v>
      </c>
      <c r="W185" s="36">
        <v>6310488222</v>
      </c>
      <c r="Y185" s="40">
        <f ca="1">IFERROR(__xludf.DUMMYFUNCTION("""COMPUTED_VALUE"""),6410106218)</f>
        <v>6410106218</v>
      </c>
      <c r="Z185" s="36">
        <v>6310633210</v>
      </c>
    </row>
    <row r="186" spans="1:26" ht="18" customHeight="1">
      <c r="A186" s="3">
        <v>184</v>
      </c>
      <c r="B186" s="3">
        <v>6310633106</v>
      </c>
      <c r="C186" s="4" t="s">
        <v>22</v>
      </c>
      <c r="D186" s="4" t="s">
        <v>544</v>
      </c>
      <c r="E186" s="4" t="s">
        <v>545</v>
      </c>
      <c r="F186" s="4" t="s">
        <v>546</v>
      </c>
      <c r="G186" s="4" t="s">
        <v>287</v>
      </c>
      <c r="H186" s="4" t="s">
        <v>384</v>
      </c>
      <c r="I186" s="3">
        <v>4</v>
      </c>
      <c r="J186" s="44" t="str">
        <f t="shared" si="18"/>
        <v>0</v>
      </c>
      <c r="K186" s="54" t="str">
        <f t="shared" si="19"/>
        <v>0</v>
      </c>
      <c r="L186" s="69" t="str">
        <f t="shared" si="20"/>
        <v>0</v>
      </c>
      <c r="M186" s="74" t="str">
        <f t="shared" si="21"/>
        <v>0</v>
      </c>
      <c r="N186" s="29" t="str">
        <f t="shared" si="22"/>
        <v>1</v>
      </c>
      <c r="O186" s="61">
        <v>1</v>
      </c>
      <c r="P186" s="65">
        <v>1</v>
      </c>
      <c r="Q186" s="46">
        <f t="shared" si="26"/>
        <v>3</v>
      </c>
      <c r="R186" s="83" t="str">
        <f t="shared" si="25"/>
        <v>ผ่าน</v>
      </c>
      <c r="S186" s="3" t="s">
        <v>28</v>
      </c>
      <c r="T186" s="32">
        <v>6415964123</v>
      </c>
      <c r="V186" s="36">
        <v>6310488231</v>
      </c>
      <c r="W186" s="36">
        <v>6510059103</v>
      </c>
      <c r="Y186" s="41">
        <f ca="1">IFERROR(__xludf.DUMMYFUNCTION("""COMPUTED_VALUE"""),6410106225)</f>
        <v>6410106225</v>
      </c>
      <c r="Z186" s="36">
        <v>6412269118</v>
      </c>
    </row>
    <row r="187" spans="1:26" ht="18" customHeight="1">
      <c r="A187" s="3">
        <v>185</v>
      </c>
      <c r="B187" s="3">
        <v>6310633110</v>
      </c>
      <c r="C187" s="4" t="s">
        <v>22</v>
      </c>
      <c r="D187" s="4" t="s">
        <v>547</v>
      </c>
      <c r="E187" s="4" t="s">
        <v>548</v>
      </c>
      <c r="F187" s="4" t="s">
        <v>549</v>
      </c>
      <c r="G187" s="4" t="s">
        <v>287</v>
      </c>
      <c r="H187" s="4" t="s">
        <v>384</v>
      </c>
      <c r="I187" s="3">
        <v>4</v>
      </c>
      <c r="J187" s="45" t="str">
        <f t="shared" si="18"/>
        <v>1</v>
      </c>
      <c r="K187" s="54" t="str">
        <f t="shared" si="19"/>
        <v>0</v>
      </c>
      <c r="L187" s="69" t="str">
        <f t="shared" si="20"/>
        <v>1</v>
      </c>
      <c r="M187" s="74" t="str">
        <f t="shared" si="21"/>
        <v>0</v>
      </c>
      <c r="N187" s="29" t="str">
        <f t="shared" si="22"/>
        <v>1</v>
      </c>
      <c r="O187" s="61">
        <v>1</v>
      </c>
      <c r="P187" s="65">
        <v>1</v>
      </c>
      <c r="Q187" s="46">
        <f t="shared" si="26"/>
        <v>5</v>
      </c>
      <c r="R187" s="83" t="str">
        <f t="shared" si="25"/>
        <v>ผ่าน</v>
      </c>
      <c r="S187" s="3" t="s">
        <v>28</v>
      </c>
      <c r="T187" s="32">
        <v>6610488126</v>
      </c>
      <c r="V187" s="36">
        <v>6310488214</v>
      </c>
      <c r="W187" s="36">
        <v>6610073103</v>
      </c>
      <c r="Y187" s="40">
        <f ca="1">IFERROR(__xludf.DUMMYFUNCTION("""COMPUTED_VALUE"""),6410083101)</f>
        <v>6410083101</v>
      </c>
      <c r="Z187" s="36">
        <v>6510403210</v>
      </c>
    </row>
    <row r="188" spans="1:26" ht="18" customHeight="1">
      <c r="A188" s="3">
        <v>186</v>
      </c>
      <c r="B188" s="3">
        <v>6310633113</v>
      </c>
      <c r="C188" s="4" t="s">
        <v>29</v>
      </c>
      <c r="D188" s="4" t="s">
        <v>550</v>
      </c>
      <c r="E188" s="4" t="s">
        <v>551</v>
      </c>
      <c r="F188" s="4" t="s">
        <v>552</v>
      </c>
      <c r="G188" s="4" t="s">
        <v>287</v>
      </c>
      <c r="H188" s="4" t="s">
        <v>384</v>
      </c>
      <c r="I188" s="3">
        <v>4</v>
      </c>
      <c r="J188" s="45" t="str">
        <f t="shared" si="18"/>
        <v>1</v>
      </c>
      <c r="K188" s="54">
        <v>1</v>
      </c>
      <c r="L188" s="69" t="str">
        <f t="shared" si="20"/>
        <v>1</v>
      </c>
      <c r="M188" s="74" t="str">
        <f t="shared" si="21"/>
        <v>0</v>
      </c>
      <c r="N188" s="29" t="str">
        <f t="shared" si="22"/>
        <v>1</v>
      </c>
      <c r="O188" s="61">
        <v>1</v>
      </c>
      <c r="P188" s="65">
        <v>1</v>
      </c>
      <c r="Q188" s="46">
        <f t="shared" si="26"/>
        <v>6</v>
      </c>
      <c r="R188" s="83" t="str">
        <f t="shared" si="25"/>
        <v>ผ่าน</v>
      </c>
      <c r="S188" s="3" t="s">
        <v>28</v>
      </c>
      <c r="T188" s="32">
        <v>6410048154</v>
      </c>
      <c r="V188" s="36">
        <v>6310488220</v>
      </c>
      <c r="W188" s="36">
        <v>6610073105</v>
      </c>
      <c r="Y188" s="41">
        <f ca="1">IFERROR(__xludf.DUMMYFUNCTION("""COMPUTED_VALUE"""),6410083103)</f>
        <v>6410083103</v>
      </c>
      <c r="Z188" s="36">
        <v>6410633230</v>
      </c>
    </row>
    <row r="189" spans="1:26" ht="18" customHeight="1">
      <c r="A189" s="3">
        <v>187</v>
      </c>
      <c r="B189" s="3">
        <v>6310633114</v>
      </c>
      <c r="C189" s="4" t="s">
        <v>29</v>
      </c>
      <c r="D189" s="4" t="s">
        <v>439</v>
      </c>
      <c r="E189" s="4" t="s">
        <v>553</v>
      </c>
      <c r="F189" s="4" t="s">
        <v>554</v>
      </c>
      <c r="G189" s="4" t="s">
        <v>287</v>
      </c>
      <c r="H189" s="4" t="s">
        <v>384</v>
      </c>
      <c r="I189" s="3">
        <v>4</v>
      </c>
      <c r="J189" s="45" t="str">
        <f t="shared" si="18"/>
        <v>1</v>
      </c>
      <c r="K189" s="54" t="str">
        <f t="shared" si="19"/>
        <v>0</v>
      </c>
      <c r="L189" s="69" t="str">
        <f t="shared" si="20"/>
        <v>1</v>
      </c>
      <c r="M189" s="74" t="str">
        <f t="shared" si="21"/>
        <v>1</v>
      </c>
      <c r="N189" s="29" t="str">
        <f t="shared" si="22"/>
        <v>0</v>
      </c>
      <c r="O189" s="61">
        <v>1</v>
      </c>
      <c r="P189" s="65">
        <v>1</v>
      </c>
      <c r="Q189" s="46">
        <f t="shared" si="26"/>
        <v>5</v>
      </c>
      <c r="R189" s="83" t="str">
        <f t="shared" si="25"/>
        <v>ผ่าน</v>
      </c>
      <c r="S189" s="3" t="s">
        <v>28</v>
      </c>
      <c r="T189" s="32">
        <v>6610392115</v>
      </c>
      <c r="V189" s="36">
        <v>6312743106</v>
      </c>
      <c r="W189" s="36">
        <v>6610073109</v>
      </c>
      <c r="Y189" s="40">
        <f ca="1">IFERROR(__xludf.DUMMYFUNCTION("""COMPUTED_VALUE"""),6410083104)</f>
        <v>6410083104</v>
      </c>
      <c r="Z189" s="36">
        <v>6612721109</v>
      </c>
    </row>
    <row r="190" spans="1:26" ht="18" customHeight="1">
      <c r="A190" s="3">
        <v>188</v>
      </c>
      <c r="B190" s="3">
        <v>6310633120</v>
      </c>
      <c r="C190" s="4" t="s">
        <v>29</v>
      </c>
      <c r="D190" s="4" t="s">
        <v>555</v>
      </c>
      <c r="E190" s="4" t="s">
        <v>85</v>
      </c>
      <c r="F190" s="4" t="s">
        <v>556</v>
      </c>
      <c r="G190" s="4" t="s">
        <v>287</v>
      </c>
      <c r="H190" s="4" t="s">
        <v>384</v>
      </c>
      <c r="I190" s="3">
        <v>4</v>
      </c>
      <c r="J190" s="44" t="str">
        <f t="shared" si="18"/>
        <v>0</v>
      </c>
      <c r="K190" s="54" t="str">
        <f t="shared" si="19"/>
        <v>0</v>
      </c>
      <c r="L190" s="69" t="str">
        <f t="shared" si="20"/>
        <v>0</v>
      </c>
      <c r="M190" s="74" t="str">
        <f t="shared" si="21"/>
        <v>0</v>
      </c>
      <c r="N190" s="29" t="str">
        <f t="shared" si="22"/>
        <v>0</v>
      </c>
      <c r="O190" s="61">
        <v>1</v>
      </c>
      <c r="P190" s="65">
        <v>1</v>
      </c>
      <c r="Q190" s="46">
        <f t="shared" si="26"/>
        <v>2</v>
      </c>
      <c r="R190" s="3" t="str">
        <f t="shared" si="25"/>
        <v>ไม่ผ่าน</v>
      </c>
      <c r="S190" s="3" t="s">
        <v>28</v>
      </c>
      <c r="T190" s="32">
        <v>6610403121</v>
      </c>
      <c r="V190" s="36">
        <v>6312743207</v>
      </c>
      <c r="W190" s="36">
        <v>6610073104</v>
      </c>
      <c r="Y190" s="41">
        <f ca="1">IFERROR(__xludf.DUMMYFUNCTION("""COMPUTED_VALUE"""),6410083105)</f>
        <v>6410083105</v>
      </c>
      <c r="Z190" s="36">
        <v>6610414115</v>
      </c>
    </row>
    <row r="191" spans="1:26" ht="18" customHeight="1">
      <c r="A191" s="3">
        <v>189</v>
      </c>
      <c r="B191" s="3">
        <v>6310633122</v>
      </c>
      <c r="C191" s="4" t="s">
        <v>29</v>
      </c>
      <c r="D191" s="4" t="s">
        <v>557</v>
      </c>
      <c r="E191" s="4" t="s">
        <v>558</v>
      </c>
      <c r="F191" s="4" t="s">
        <v>559</v>
      </c>
      <c r="G191" s="4" t="s">
        <v>287</v>
      </c>
      <c r="H191" s="4" t="s">
        <v>384</v>
      </c>
      <c r="I191" s="3">
        <v>4</v>
      </c>
      <c r="J191" s="44">
        <v>1</v>
      </c>
      <c r="K191" s="54" t="str">
        <f t="shared" si="19"/>
        <v>0</v>
      </c>
      <c r="L191" s="69" t="str">
        <f t="shared" si="20"/>
        <v>1</v>
      </c>
      <c r="M191" s="74" t="str">
        <f t="shared" si="21"/>
        <v>0</v>
      </c>
      <c r="N191" s="29">
        <v>1</v>
      </c>
      <c r="O191" s="61">
        <v>1</v>
      </c>
      <c r="P191" s="65">
        <v>1</v>
      </c>
      <c r="Q191" s="46">
        <f t="shared" si="26"/>
        <v>5</v>
      </c>
      <c r="R191" s="83" t="str">
        <f t="shared" si="25"/>
        <v>ผ่าน</v>
      </c>
      <c r="S191" s="3" t="s">
        <v>28</v>
      </c>
      <c r="T191" s="32">
        <v>6412798131</v>
      </c>
      <c r="V191" s="36">
        <v>6312743232</v>
      </c>
      <c r="W191" s="36">
        <v>631488215</v>
      </c>
      <c r="Y191" s="40">
        <f ca="1">IFERROR(__xludf.DUMMYFUNCTION("""COMPUTED_VALUE"""),6410083108)</f>
        <v>6410083108</v>
      </c>
      <c r="Z191" s="36">
        <v>6610068127</v>
      </c>
    </row>
    <row r="192" spans="1:26" ht="18" customHeight="1">
      <c r="A192" s="3">
        <v>190</v>
      </c>
      <c r="B192" s="3">
        <v>6310633123</v>
      </c>
      <c r="C192" s="4" t="s">
        <v>29</v>
      </c>
      <c r="D192" s="4" t="s">
        <v>560</v>
      </c>
      <c r="E192" s="4" t="s">
        <v>561</v>
      </c>
      <c r="F192" s="4" t="s">
        <v>562</v>
      </c>
      <c r="G192" s="4" t="s">
        <v>287</v>
      </c>
      <c r="H192" s="4" t="s">
        <v>384</v>
      </c>
      <c r="I192" s="3">
        <v>4</v>
      </c>
      <c r="J192" s="45" t="str">
        <f t="shared" si="18"/>
        <v>1</v>
      </c>
      <c r="K192" s="54" t="str">
        <f t="shared" si="19"/>
        <v>1</v>
      </c>
      <c r="L192" s="69" t="str">
        <f t="shared" si="20"/>
        <v>0</v>
      </c>
      <c r="M192" s="74" t="str">
        <f t="shared" si="21"/>
        <v>1</v>
      </c>
      <c r="N192" s="29" t="str">
        <f t="shared" si="22"/>
        <v>0</v>
      </c>
      <c r="O192" s="61">
        <v>1</v>
      </c>
      <c r="P192" s="65">
        <v>1</v>
      </c>
      <c r="Q192" s="46">
        <f t="shared" si="26"/>
        <v>5</v>
      </c>
      <c r="R192" s="83" t="str">
        <f t="shared" si="25"/>
        <v>ผ่าน</v>
      </c>
      <c r="S192" s="3" t="s">
        <v>28</v>
      </c>
      <c r="T192" s="32">
        <v>6512798132</v>
      </c>
      <c r="V192" s="36">
        <v>6312743214</v>
      </c>
      <c r="W192" s="36">
        <v>6410073119</v>
      </c>
      <c r="Y192" s="41">
        <f ca="1">IFERROR(__xludf.DUMMYFUNCTION("""COMPUTED_VALUE"""),6410083110)</f>
        <v>6410083110</v>
      </c>
      <c r="Z192" s="36">
        <v>6410073119</v>
      </c>
    </row>
    <row r="193" spans="1:26" ht="18" customHeight="1">
      <c r="A193" s="3">
        <v>191</v>
      </c>
      <c r="B193" s="3">
        <v>6310633124</v>
      </c>
      <c r="C193" s="4" t="s">
        <v>29</v>
      </c>
      <c r="D193" s="4" t="s">
        <v>563</v>
      </c>
      <c r="E193" s="4" t="s">
        <v>564</v>
      </c>
      <c r="F193" s="4" t="s">
        <v>565</v>
      </c>
      <c r="G193" s="4" t="s">
        <v>287</v>
      </c>
      <c r="H193" s="4" t="s">
        <v>384</v>
      </c>
      <c r="I193" s="3">
        <v>4</v>
      </c>
      <c r="J193" s="45" t="str">
        <f t="shared" si="18"/>
        <v>1</v>
      </c>
      <c r="K193" s="54">
        <v>1</v>
      </c>
      <c r="L193" s="69" t="str">
        <f t="shared" si="20"/>
        <v>0</v>
      </c>
      <c r="M193" s="74" t="str">
        <f t="shared" si="21"/>
        <v>1</v>
      </c>
      <c r="N193" s="29" t="str">
        <f t="shared" si="22"/>
        <v>0</v>
      </c>
      <c r="O193" s="61">
        <v>1</v>
      </c>
      <c r="P193" s="65">
        <v>1</v>
      </c>
      <c r="Q193" s="46">
        <f t="shared" si="26"/>
        <v>5</v>
      </c>
      <c r="R193" s="83" t="str">
        <f t="shared" si="25"/>
        <v>ผ่าน</v>
      </c>
      <c r="S193" s="3" t="s">
        <v>28</v>
      </c>
      <c r="T193" s="32">
        <v>6410403225</v>
      </c>
      <c r="V193" s="36">
        <v>6310048131</v>
      </c>
      <c r="W193" s="36">
        <v>6612732108</v>
      </c>
      <c r="Y193" s="40">
        <f ca="1">IFERROR(__xludf.DUMMYFUNCTION("""COMPUTED_VALUE"""),6412866115)</f>
        <v>6412866115</v>
      </c>
      <c r="Z193" s="36">
        <v>6510403221</v>
      </c>
    </row>
    <row r="194" spans="1:26" ht="18" customHeight="1">
      <c r="A194" s="3">
        <v>192</v>
      </c>
      <c r="B194" s="3">
        <v>6310633126</v>
      </c>
      <c r="C194" s="4" t="s">
        <v>29</v>
      </c>
      <c r="D194" s="4" t="s">
        <v>566</v>
      </c>
      <c r="E194" s="4" t="s">
        <v>567</v>
      </c>
      <c r="F194" s="4" t="s">
        <v>568</v>
      </c>
      <c r="G194" s="4" t="s">
        <v>287</v>
      </c>
      <c r="H194" s="4" t="s">
        <v>384</v>
      </c>
      <c r="I194" s="3">
        <v>4</v>
      </c>
      <c r="J194" s="45" t="str">
        <f t="shared" si="18"/>
        <v>1</v>
      </c>
      <c r="K194" s="54">
        <v>1</v>
      </c>
      <c r="L194" s="69" t="str">
        <f t="shared" si="20"/>
        <v>0</v>
      </c>
      <c r="M194" s="74" t="str">
        <f t="shared" si="21"/>
        <v>1</v>
      </c>
      <c r="N194" s="29" t="str">
        <f t="shared" si="22"/>
        <v>0</v>
      </c>
      <c r="O194" s="61">
        <v>1</v>
      </c>
      <c r="P194" s="65">
        <v>1</v>
      </c>
      <c r="Q194" s="46">
        <f t="shared" si="26"/>
        <v>5</v>
      </c>
      <c r="R194" s="83" t="str">
        <f t="shared" si="25"/>
        <v>ผ่าน</v>
      </c>
      <c r="S194" s="3" t="s">
        <v>28</v>
      </c>
      <c r="T194" s="32">
        <v>6412866216</v>
      </c>
      <c r="V194" s="36">
        <v>6310414120</v>
      </c>
      <c r="W194" s="36">
        <v>6612732121</v>
      </c>
      <c r="Y194" s="41">
        <f ca="1">IFERROR(__xludf.DUMMYFUNCTION("""COMPUTED_VALUE"""),6412866119)</f>
        <v>6412866119</v>
      </c>
      <c r="Z194" s="36">
        <v>6412743207</v>
      </c>
    </row>
    <row r="195" spans="1:26" ht="18" customHeight="1">
      <c r="A195" s="3">
        <v>193</v>
      </c>
      <c r="B195" s="3">
        <v>6310633128</v>
      </c>
      <c r="C195" s="4" t="s">
        <v>29</v>
      </c>
      <c r="D195" s="4" t="s">
        <v>569</v>
      </c>
      <c r="E195" s="4" t="s">
        <v>472</v>
      </c>
      <c r="F195" s="4" t="s">
        <v>570</v>
      </c>
      <c r="G195" s="4" t="s">
        <v>287</v>
      </c>
      <c r="H195" s="4" t="s">
        <v>384</v>
      </c>
      <c r="I195" s="3">
        <v>4</v>
      </c>
      <c r="J195" s="45" t="str">
        <f t="shared" ref="J195:J258" si="27">IF(IFERROR(VLOOKUP(B195,DATA,1,FALSE),),"1","0")</f>
        <v>1</v>
      </c>
      <c r="K195" s="54">
        <v>1</v>
      </c>
      <c r="L195" s="69" t="str">
        <f t="shared" ref="L195:L258" si="28">IF(IFERROR(VLOOKUP(B195,DATA7,1,FALSE),),"1","0")</f>
        <v>0</v>
      </c>
      <c r="M195" s="74" t="str">
        <f t="shared" ref="M195:M258" si="29">IF(IFERROR(VLOOKUP(B195,DATA9,1,FALSE),),"1","0")</f>
        <v>0</v>
      </c>
      <c r="N195" s="29" t="str">
        <f t="shared" ref="N195:N258" si="30">IF(IFERROR(VLOOKUP(B195,DATA10,1,FALSE),),"1","0")</f>
        <v>1</v>
      </c>
      <c r="O195" s="61">
        <v>1</v>
      </c>
      <c r="P195" s="65">
        <v>1</v>
      </c>
      <c r="Q195" s="46">
        <f t="shared" si="26"/>
        <v>5</v>
      </c>
      <c r="R195" s="83" t="str">
        <f t="shared" ref="R195:R258" si="31">IF(Q195&gt;=3,"ผ่าน",IF(Q195&lt;3,"ไม่ผ่าน"))</f>
        <v>ผ่าน</v>
      </c>
      <c r="S195" s="3" t="s">
        <v>28</v>
      </c>
      <c r="T195" s="32">
        <v>6412798123</v>
      </c>
      <c r="V195" s="36">
        <v>6310414212</v>
      </c>
      <c r="W195" s="36">
        <v>6510403121</v>
      </c>
      <c r="Y195" s="40">
        <f ca="1">IFERROR(__xludf.DUMMYFUNCTION("""COMPUTED_VALUE"""),6412866216)</f>
        <v>6412866216</v>
      </c>
      <c r="Z195" s="36">
        <v>6510403126</v>
      </c>
    </row>
    <row r="196" spans="1:26" ht="18" customHeight="1">
      <c r="A196" s="3">
        <v>194</v>
      </c>
      <c r="B196" s="3">
        <v>6310633129</v>
      </c>
      <c r="C196" s="4" t="s">
        <v>29</v>
      </c>
      <c r="D196" s="4" t="s">
        <v>205</v>
      </c>
      <c r="E196" s="4" t="s">
        <v>571</v>
      </c>
      <c r="F196" s="4" t="s">
        <v>572</v>
      </c>
      <c r="G196" s="4" t="s">
        <v>287</v>
      </c>
      <c r="H196" s="4" t="s">
        <v>384</v>
      </c>
      <c r="I196" s="3">
        <v>4</v>
      </c>
      <c r="J196" s="45" t="str">
        <f t="shared" si="27"/>
        <v>1</v>
      </c>
      <c r="K196" s="54" t="str">
        <f t="shared" ref="K195:K258" si="32">IF(IFERROR(VLOOKUP(B196,DATA8,1,FALSE),),"1","0")</f>
        <v>0</v>
      </c>
      <c r="L196" s="69" t="str">
        <f t="shared" si="28"/>
        <v>1</v>
      </c>
      <c r="M196" s="74" t="str">
        <f t="shared" si="29"/>
        <v>0</v>
      </c>
      <c r="N196" s="29" t="str">
        <f t="shared" si="30"/>
        <v>1</v>
      </c>
      <c r="O196" s="61">
        <v>1</v>
      </c>
      <c r="P196" s="65">
        <v>1</v>
      </c>
      <c r="Q196" s="46">
        <f t="shared" ref="Q196:Q259" si="33">J196+K196+L196+M196+N196+O196+P196</f>
        <v>5</v>
      </c>
      <c r="R196" s="83" t="str">
        <f t="shared" si="31"/>
        <v>ผ่าน</v>
      </c>
      <c r="S196" s="3" t="s">
        <v>28</v>
      </c>
      <c r="T196" s="32">
        <v>6510633213</v>
      </c>
      <c r="V196" s="36">
        <v>6310414119</v>
      </c>
      <c r="W196" s="36">
        <v>6610488127</v>
      </c>
      <c r="Y196" s="41">
        <f ca="1">IFERROR(__xludf.DUMMYFUNCTION("""COMPUTED_VALUE"""),6412866221)</f>
        <v>6412866221</v>
      </c>
      <c r="Z196" s="36">
        <v>6412798131</v>
      </c>
    </row>
    <row r="197" spans="1:26" ht="18" customHeight="1">
      <c r="A197" s="3">
        <v>195</v>
      </c>
      <c r="B197" s="3">
        <v>6310633131</v>
      </c>
      <c r="C197" s="4" t="s">
        <v>29</v>
      </c>
      <c r="D197" s="4" t="s">
        <v>573</v>
      </c>
      <c r="E197" s="4" t="s">
        <v>574</v>
      </c>
      <c r="F197" s="4" t="s">
        <v>575</v>
      </c>
      <c r="G197" s="4" t="s">
        <v>287</v>
      </c>
      <c r="H197" s="4" t="s">
        <v>384</v>
      </c>
      <c r="I197" s="3">
        <v>4</v>
      </c>
      <c r="J197" s="45" t="str">
        <f t="shared" si="27"/>
        <v>1</v>
      </c>
      <c r="K197" s="54" t="str">
        <f t="shared" si="32"/>
        <v>0</v>
      </c>
      <c r="L197" s="69" t="str">
        <f t="shared" si="28"/>
        <v>1</v>
      </c>
      <c r="M197" s="74" t="str">
        <f t="shared" si="29"/>
        <v>0</v>
      </c>
      <c r="N197" s="29" t="str">
        <f t="shared" si="30"/>
        <v>1</v>
      </c>
      <c r="O197" s="61">
        <v>1</v>
      </c>
      <c r="P197" s="65">
        <v>1</v>
      </c>
      <c r="Q197" s="46">
        <f t="shared" si="33"/>
        <v>5</v>
      </c>
      <c r="R197" s="83" t="str">
        <f t="shared" si="31"/>
        <v>ผ่าน</v>
      </c>
      <c r="S197" s="3" t="s">
        <v>28</v>
      </c>
      <c r="T197" s="32">
        <v>6412798107</v>
      </c>
      <c r="V197" s="36">
        <v>6310414113</v>
      </c>
      <c r="W197" s="36">
        <v>6610488126</v>
      </c>
      <c r="Y197" s="40">
        <f ca="1">IFERROR(__xludf.DUMMYFUNCTION("""COMPUTED_VALUE"""),6412866222)</f>
        <v>6412866222</v>
      </c>
      <c r="Z197" s="36">
        <v>6510633120</v>
      </c>
    </row>
    <row r="198" spans="1:26" ht="18" customHeight="1">
      <c r="A198" s="3">
        <v>196</v>
      </c>
      <c r="B198" s="3">
        <v>6310633132</v>
      </c>
      <c r="C198" s="4" t="s">
        <v>29</v>
      </c>
      <c r="D198" s="4" t="s">
        <v>576</v>
      </c>
      <c r="E198" s="4" t="s">
        <v>577</v>
      </c>
      <c r="F198" s="4" t="s">
        <v>65</v>
      </c>
      <c r="G198" s="4" t="s">
        <v>287</v>
      </c>
      <c r="H198" s="4" t="s">
        <v>384</v>
      </c>
      <c r="I198" s="3">
        <v>4</v>
      </c>
      <c r="J198" s="44" t="str">
        <f t="shared" si="27"/>
        <v>0</v>
      </c>
      <c r="K198" s="54" t="str">
        <f t="shared" si="32"/>
        <v>1</v>
      </c>
      <c r="L198" s="69" t="str">
        <f t="shared" si="28"/>
        <v>0</v>
      </c>
      <c r="M198" s="74" t="str">
        <f t="shared" si="29"/>
        <v>1</v>
      </c>
      <c r="N198" s="29" t="str">
        <f t="shared" si="30"/>
        <v>0</v>
      </c>
      <c r="O198" s="61">
        <v>1</v>
      </c>
      <c r="P198" s="65">
        <v>1</v>
      </c>
      <c r="Q198" s="46">
        <f t="shared" si="33"/>
        <v>4</v>
      </c>
      <c r="R198" s="83" t="str">
        <f t="shared" si="31"/>
        <v>ผ่าน</v>
      </c>
      <c r="S198" s="3" t="s">
        <v>28</v>
      </c>
      <c r="T198" s="32">
        <v>6610068102</v>
      </c>
      <c r="V198" s="36">
        <v>6310414116</v>
      </c>
      <c r="W198" s="36">
        <v>6310633230</v>
      </c>
      <c r="Y198" s="41">
        <f ca="1">IFERROR(__xludf.DUMMYFUNCTION("""COMPUTED_VALUE"""),6412866227)</f>
        <v>6412866227</v>
      </c>
      <c r="Z198" s="36">
        <v>6610633214</v>
      </c>
    </row>
    <row r="199" spans="1:26" ht="18" customHeight="1">
      <c r="A199" s="3">
        <v>197</v>
      </c>
      <c r="B199" s="3">
        <v>6310633133</v>
      </c>
      <c r="C199" s="4" t="s">
        <v>29</v>
      </c>
      <c r="D199" s="4" t="s">
        <v>578</v>
      </c>
      <c r="E199" s="4" t="s">
        <v>579</v>
      </c>
      <c r="F199" s="4" t="s">
        <v>164</v>
      </c>
      <c r="G199" s="4" t="s">
        <v>287</v>
      </c>
      <c r="H199" s="4" t="s">
        <v>384</v>
      </c>
      <c r="I199" s="3">
        <v>4</v>
      </c>
      <c r="J199" s="45" t="str">
        <f t="shared" si="27"/>
        <v>1</v>
      </c>
      <c r="K199" s="54" t="str">
        <f t="shared" si="32"/>
        <v>0</v>
      </c>
      <c r="L199" s="69" t="str">
        <f t="shared" si="28"/>
        <v>0</v>
      </c>
      <c r="M199" s="74" t="str">
        <f t="shared" si="29"/>
        <v>0</v>
      </c>
      <c r="N199" s="29" t="str">
        <f t="shared" si="30"/>
        <v>1</v>
      </c>
      <c r="O199" s="61">
        <v>1</v>
      </c>
      <c r="P199" s="65">
        <v>1</v>
      </c>
      <c r="Q199" s="46">
        <f t="shared" si="33"/>
        <v>4</v>
      </c>
      <c r="R199" s="83" t="str">
        <f t="shared" si="31"/>
        <v>ผ่าน</v>
      </c>
      <c r="S199" s="3" t="s">
        <v>28</v>
      </c>
      <c r="T199" s="32">
        <v>6612721207</v>
      </c>
      <c r="V199" s="36">
        <v>6311506202</v>
      </c>
      <c r="W199" s="36">
        <v>6510403207</v>
      </c>
      <c r="Y199" s="40">
        <f ca="1">IFERROR(__xludf.DUMMYFUNCTION("""COMPUTED_VALUE"""),6410073101)</f>
        <v>6410073101</v>
      </c>
      <c r="Z199" s="36">
        <v>6610633223</v>
      </c>
    </row>
    <row r="200" spans="1:26" ht="18" customHeight="1">
      <c r="A200" s="3">
        <v>198</v>
      </c>
      <c r="B200" s="3">
        <v>6310633134</v>
      </c>
      <c r="C200" s="4" t="s">
        <v>29</v>
      </c>
      <c r="D200" s="4" t="s">
        <v>580</v>
      </c>
      <c r="E200" s="4" t="s">
        <v>581</v>
      </c>
      <c r="F200" s="4" t="s">
        <v>473</v>
      </c>
      <c r="G200" s="4" t="s">
        <v>287</v>
      </c>
      <c r="H200" s="4" t="s">
        <v>384</v>
      </c>
      <c r="I200" s="3">
        <v>4</v>
      </c>
      <c r="J200" s="45" t="str">
        <f t="shared" si="27"/>
        <v>1</v>
      </c>
      <c r="K200" s="54">
        <v>1</v>
      </c>
      <c r="L200" s="69">
        <v>0</v>
      </c>
      <c r="M200" s="74" t="str">
        <f t="shared" si="29"/>
        <v>0</v>
      </c>
      <c r="N200" s="29" t="str">
        <f t="shared" si="30"/>
        <v>1</v>
      </c>
      <c r="O200" s="61">
        <v>1</v>
      </c>
      <c r="P200" s="65">
        <v>1</v>
      </c>
      <c r="Q200" s="46">
        <f t="shared" si="33"/>
        <v>5</v>
      </c>
      <c r="R200" s="83" t="str">
        <f t="shared" si="31"/>
        <v>ผ่าน</v>
      </c>
      <c r="S200" s="3" t="s">
        <v>28</v>
      </c>
      <c r="T200" s="32">
        <v>6312269125</v>
      </c>
      <c r="V200" s="36">
        <v>6311506106</v>
      </c>
      <c r="W200" s="36">
        <v>6610633219</v>
      </c>
      <c r="Y200" s="41">
        <f ca="1">IFERROR(__xludf.DUMMYFUNCTION("""COMPUTED_VALUE"""),6410073104)</f>
        <v>6410073104</v>
      </c>
      <c r="Z200" s="36">
        <v>6412743220</v>
      </c>
    </row>
    <row r="201" spans="1:26" ht="18" customHeight="1">
      <c r="A201" s="3">
        <v>199</v>
      </c>
      <c r="B201" s="3">
        <v>6310633201</v>
      </c>
      <c r="C201" s="4" t="s">
        <v>22</v>
      </c>
      <c r="D201" s="4" t="s">
        <v>582</v>
      </c>
      <c r="E201" s="4" t="s">
        <v>583</v>
      </c>
      <c r="F201" s="4" t="s">
        <v>584</v>
      </c>
      <c r="G201" s="4" t="s">
        <v>287</v>
      </c>
      <c r="H201" s="4" t="s">
        <v>384</v>
      </c>
      <c r="I201" s="3">
        <v>4</v>
      </c>
      <c r="J201" s="45" t="str">
        <f t="shared" si="27"/>
        <v>1</v>
      </c>
      <c r="K201" s="54" t="str">
        <f t="shared" si="32"/>
        <v>0</v>
      </c>
      <c r="L201" s="69" t="str">
        <f t="shared" si="28"/>
        <v>0</v>
      </c>
      <c r="M201" s="74" t="str">
        <f t="shared" si="29"/>
        <v>0</v>
      </c>
      <c r="N201" s="29" t="str">
        <f t="shared" si="30"/>
        <v>1</v>
      </c>
      <c r="O201" s="61">
        <v>1</v>
      </c>
      <c r="P201" s="65">
        <v>1</v>
      </c>
      <c r="Q201" s="46">
        <f t="shared" si="33"/>
        <v>4</v>
      </c>
      <c r="R201" s="83" t="str">
        <f t="shared" si="31"/>
        <v>ผ่าน</v>
      </c>
      <c r="S201" s="3" t="s">
        <v>28</v>
      </c>
      <c r="T201" s="32">
        <v>6310403311</v>
      </c>
      <c r="V201" s="36">
        <v>6311506109</v>
      </c>
      <c r="W201" s="36">
        <v>6510403126</v>
      </c>
      <c r="Y201" s="40">
        <f ca="1">IFERROR(__xludf.DUMMYFUNCTION("""COMPUTED_VALUE"""),6410073107)</f>
        <v>6410073107</v>
      </c>
      <c r="Z201" s="36">
        <v>6510392124</v>
      </c>
    </row>
    <row r="202" spans="1:26" ht="18" customHeight="1">
      <c r="A202" s="3">
        <v>200</v>
      </c>
      <c r="B202" s="3">
        <v>6310633205</v>
      </c>
      <c r="C202" s="4" t="s">
        <v>22</v>
      </c>
      <c r="D202" s="4" t="s">
        <v>585</v>
      </c>
      <c r="E202" s="4" t="s">
        <v>586</v>
      </c>
      <c r="F202" s="4" t="s">
        <v>546</v>
      </c>
      <c r="G202" s="4" t="s">
        <v>287</v>
      </c>
      <c r="H202" s="4" t="s">
        <v>384</v>
      </c>
      <c r="I202" s="3">
        <v>4</v>
      </c>
      <c r="J202" s="44" t="str">
        <f t="shared" si="27"/>
        <v>0</v>
      </c>
      <c r="K202" s="54" t="str">
        <f t="shared" si="32"/>
        <v>0</v>
      </c>
      <c r="L202" s="69" t="str">
        <f t="shared" si="28"/>
        <v>0</v>
      </c>
      <c r="M202" s="74" t="str">
        <f t="shared" si="29"/>
        <v>0</v>
      </c>
      <c r="N202" s="29" t="str">
        <f t="shared" si="30"/>
        <v>1</v>
      </c>
      <c r="O202" s="61">
        <v>1</v>
      </c>
      <c r="P202" s="65">
        <v>1</v>
      </c>
      <c r="Q202" s="46">
        <f t="shared" si="33"/>
        <v>3</v>
      </c>
      <c r="R202" s="83" t="str">
        <f t="shared" si="31"/>
        <v>ผ่าน</v>
      </c>
      <c r="S202" s="3" t="s">
        <v>28</v>
      </c>
      <c r="T202" s="32">
        <v>6610488125</v>
      </c>
      <c r="V202" s="36">
        <v>6311506208</v>
      </c>
      <c r="W202" s="36">
        <v>6310488122</v>
      </c>
      <c r="Y202" s="41">
        <f ca="1">IFERROR(__xludf.DUMMYFUNCTION("""COMPUTED_VALUE"""),6410073108)</f>
        <v>6410073108</v>
      </c>
      <c r="Z202" s="36">
        <v>6410488107</v>
      </c>
    </row>
    <row r="203" spans="1:26" ht="18" customHeight="1">
      <c r="A203" s="3">
        <v>201</v>
      </c>
      <c r="B203" s="3">
        <v>6310633206</v>
      </c>
      <c r="C203" s="4" t="s">
        <v>22</v>
      </c>
      <c r="D203" s="4" t="s">
        <v>432</v>
      </c>
      <c r="E203" s="4" t="s">
        <v>587</v>
      </c>
      <c r="F203" s="4" t="s">
        <v>588</v>
      </c>
      <c r="G203" s="4" t="s">
        <v>287</v>
      </c>
      <c r="H203" s="4" t="s">
        <v>384</v>
      </c>
      <c r="I203" s="3">
        <v>4</v>
      </c>
      <c r="J203" s="44" t="str">
        <f t="shared" si="27"/>
        <v>0</v>
      </c>
      <c r="K203" s="54" t="str">
        <f t="shared" si="32"/>
        <v>0</v>
      </c>
      <c r="L203" s="69" t="str">
        <f t="shared" si="28"/>
        <v>0</v>
      </c>
      <c r="M203" s="74" t="str">
        <f t="shared" si="29"/>
        <v>0</v>
      </c>
      <c r="N203" s="29" t="str">
        <f t="shared" si="30"/>
        <v>0</v>
      </c>
      <c r="O203" s="61">
        <v>1</v>
      </c>
      <c r="P203" s="65">
        <v>1</v>
      </c>
      <c r="Q203" s="46">
        <f t="shared" si="33"/>
        <v>2</v>
      </c>
      <c r="R203" s="3" t="str">
        <f t="shared" si="31"/>
        <v>ไม่ผ่าน</v>
      </c>
      <c r="S203" s="3" t="s">
        <v>28</v>
      </c>
      <c r="T203" s="32">
        <v>6410488219</v>
      </c>
      <c r="V203" s="36">
        <v>6311506220</v>
      </c>
      <c r="W203" s="36">
        <v>6410414107</v>
      </c>
      <c r="Y203" s="40">
        <f ca="1">IFERROR(__xludf.DUMMYFUNCTION("""COMPUTED_VALUE"""),6410073109)</f>
        <v>6410073109</v>
      </c>
      <c r="Z203" s="36">
        <v>6612721127</v>
      </c>
    </row>
    <row r="204" spans="1:26" ht="18" customHeight="1">
      <c r="A204" s="3">
        <v>202</v>
      </c>
      <c r="B204" s="3">
        <v>6310633210</v>
      </c>
      <c r="C204" s="4" t="s">
        <v>22</v>
      </c>
      <c r="D204" s="4" t="s">
        <v>589</v>
      </c>
      <c r="E204" s="4" t="s">
        <v>590</v>
      </c>
      <c r="F204" s="4" t="s">
        <v>591</v>
      </c>
      <c r="G204" s="4" t="s">
        <v>287</v>
      </c>
      <c r="H204" s="4" t="s">
        <v>384</v>
      </c>
      <c r="I204" s="3">
        <v>4</v>
      </c>
      <c r="J204" s="45" t="str">
        <f t="shared" si="27"/>
        <v>1</v>
      </c>
      <c r="K204" s="54" t="str">
        <f t="shared" si="32"/>
        <v>0</v>
      </c>
      <c r="L204" s="69" t="str">
        <f t="shared" si="28"/>
        <v>1</v>
      </c>
      <c r="M204" s="74" t="str">
        <f t="shared" si="29"/>
        <v>0</v>
      </c>
      <c r="N204" s="29" t="str">
        <f t="shared" si="30"/>
        <v>0</v>
      </c>
      <c r="O204" s="61">
        <v>1</v>
      </c>
      <c r="P204" s="65">
        <v>1</v>
      </c>
      <c r="Q204" s="46">
        <f t="shared" si="33"/>
        <v>4</v>
      </c>
      <c r="R204" s="83" t="str">
        <f t="shared" si="31"/>
        <v>ผ่าน</v>
      </c>
      <c r="S204" s="3" t="s">
        <v>28</v>
      </c>
      <c r="T204" s="32">
        <v>6410048162</v>
      </c>
      <c r="V204" s="36">
        <v>6311506218</v>
      </c>
      <c r="W204" s="36">
        <v>6310488220</v>
      </c>
      <c r="Y204" s="41">
        <f ca="1">IFERROR(__xludf.DUMMYFUNCTION("""COMPUTED_VALUE"""),6410073113)</f>
        <v>6410073113</v>
      </c>
      <c r="Z204" s="36">
        <v>6410106225</v>
      </c>
    </row>
    <row r="205" spans="1:26" ht="18" customHeight="1">
      <c r="A205" s="3">
        <v>203</v>
      </c>
      <c r="B205" s="3">
        <v>6310633215</v>
      </c>
      <c r="C205" s="4" t="s">
        <v>29</v>
      </c>
      <c r="D205" s="4" t="s">
        <v>592</v>
      </c>
      <c r="E205" s="4" t="s">
        <v>593</v>
      </c>
      <c r="F205" s="4" t="s">
        <v>594</v>
      </c>
      <c r="G205" s="4" t="s">
        <v>287</v>
      </c>
      <c r="H205" s="4" t="s">
        <v>384</v>
      </c>
      <c r="I205" s="3">
        <v>4</v>
      </c>
      <c r="J205" s="45" t="str">
        <f t="shared" si="27"/>
        <v>1</v>
      </c>
      <c r="K205" s="54" t="str">
        <f t="shared" si="32"/>
        <v>1</v>
      </c>
      <c r="L205" s="69" t="str">
        <f t="shared" si="28"/>
        <v>0</v>
      </c>
      <c r="M205" s="74" t="str">
        <f t="shared" si="29"/>
        <v>1</v>
      </c>
      <c r="N205" s="29" t="str">
        <f t="shared" si="30"/>
        <v>0</v>
      </c>
      <c r="O205" s="61">
        <v>1</v>
      </c>
      <c r="P205" s="65">
        <v>1</v>
      </c>
      <c r="Q205" s="46">
        <f t="shared" si="33"/>
        <v>5</v>
      </c>
      <c r="R205" s="83" t="str">
        <f t="shared" si="31"/>
        <v>ผ่าน</v>
      </c>
      <c r="S205" s="3" t="s">
        <v>28</v>
      </c>
      <c r="T205" s="32">
        <v>6410073112</v>
      </c>
      <c r="V205" s="36">
        <v>6311506131</v>
      </c>
      <c r="W205" s="36">
        <v>6412743206</v>
      </c>
      <c r="Y205" s="40">
        <f ca="1">IFERROR(__xludf.DUMMYFUNCTION("""COMPUTED_VALUE"""),6410073114)</f>
        <v>6410073114</v>
      </c>
      <c r="Z205" s="36">
        <v>6610403309</v>
      </c>
    </row>
    <row r="206" spans="1:26" ht="18" customHeight="1">
      <c r="A206" s="3">
        <v>204</v>
      </c>
      <c r="B206" s="3">
        <v>6310633217</v>
      </c>
      <c r="C206" s="4" t="s">
        <v>29</v>
      </c>
      <c r="D206" s="4" t="s">
        <v>177</v>
      </c>
      <c r="E206" s="4" t="s">
        <v>595</v>
      </c>
      <c r="F206" s="4" t="s">
        <v>596</v>
      </c>
      <c r="G206" s="4" t="s">
        <v>287</v>
      </c>
      <c r="H206" s="4" t="s">
        <v>384</v>
      </c>
      <c r="I206" s="3">
        <v>4</v>
      </c>
      <c r="J206" s="44" t="str">
        <f t="shared" si="27"/>
        <v>0</v>
      </c>
      <c r="K206" s="54" t="str">
        <f t="shared" si="32"/>
        <v>1</v>
      </c>
      <c r="L206" s="69" t="str">
        <f t="shared" si="28"/>
        <v>0</v>
      </c>
      <c r="M206" s="74" t="str">
        <f t="shared" si="29"/>
        <v>1</v>
      </c>
      <c r="N206" s="29" t="str">
        <f t="shared" si="30"/>
        <v>0</v>
      </c>
      <c r="O206" s="61">
        <v>1</v>
      </c>
      <c r="P206" s="65">
        <v>1</v>
      </c>
      <c r="Q206" s="46">
        <f t="shared" si="33"/>
        <v>4</v>
      </c>
      <c r="R206" s="83" t="str">
        <f t="shared" si="31"/>
        <v>ผ่าน</v>
      </c>
      <c r="S206" s="3" t="s">
        <v>28</v>
      </c>
      <c r="T206" s="32">
        <v>6410048161</v>
      </c>
      <c r="V206" s="36">
        <v>6311506120</v>
      </c>
      <c r="W206" s="36">
        <v>6412743246</v>
      </c>
      <c r="Y206" s="41">
        <f ca="1">IFERROR(__xludf.DUMMYFUNCTION("""COMPUTED_VALUE"""),6410073115)</f>
        <v>6410073115</v>
      </c>
      <c r="Z206" s="36">
        <v>6410073124</v>
      </c>
    </row>
    <row r="207" spans="1:26" ht="18" customHeight="1">
      <c r="A207" s="3">
        <v>205</v>
      </c>
      <c r="B207" s="3">
        <v>6310633223</v>
      </c>
      <c r="C207" s="4" t="s">
        <v>29</v>
      </c>
      <c r="D207" s="4" t="s">
        <v>597</v>
      </c>
      <c r="E207" s="4" t="s">
        <v>598</v>
      </c>
      <c r="F207" s="4" t="s">
        <v>599</v>
      </c>
      <c r="G207" s="4" t="s">
        <v>287</v>
      </c>
      <c r="H207" s="4" t="s">
        <v>384</v>
      </c>
      <c r="I207" s="3">
        <v>4</v>
      </c>
      <c r="J207" s="45" t="str">
        <f t="shared" si="27"/>
        <v>1</v>
      </c>
      <c r="K207" s="54">
        <v>1</v>
      </c>
      <c r="L207" s="69" t="str">
        <f t="shared" si="28"/>
        <v>0</v>
      </c>
      <c r="M207" s="74" t="str">
        <f t="shared" si="29"/>
        <v>0</v>
      </c>
      <c r="N207" s="29" t="str">
        <f t="shared" si="30"/>
        <v>1</v>
      </c>
      <c r="O207" s="61">
        <v>1</v>
      </c>
      <c r="P207" s="65">
        <v>1</v>
      </c>
      <c r="Q207" s="46">
        <f t="shared" si="33"/>
        <v>5</v>
      </c>
      <c r="R207" s="83" t="str">
        <f t="shared" si="31"/>
        <v>ผ่าน</v>
      </c>
      <c r="S207" s="3" t="s">
        <v>28</v>
      </c>
      <c r="T207" s="32">
        <v>6610488116</v>
      </c>
      <c r="V207" s="36">
        <v>6311506115</v>
      </c>
      <c r="W207" s="36">
        <v>6412743142</v>
      </c>
      <c r="Y207" s="40">
        <f ca="1">IFERROR(__xludf.DUMMYFUNCTION("""COMPUTED_VALUE"""),6410073116)</f>
        <v>6410073116</v>
      </c>
      <c r="Z207" s="36">
        <v>6410073116</v>
      </c>
    </row>
    <row r="208" spans="1:26" ht="18" customHeight="1">
      <c r="A208" s="3">
        <v>206</v>
      </c>
      <c r="B208" s="3">
        <v>6310633229</v>
      </c>
      <c r="C208" s="4" t="s">
        <v>29</v>
      </c>
      <c r="D208" s="4" t="s">
        <v>600</v>
      </c>
      <c r="E208" s="4" t="s">
        <v>601</v>
      </c>
      <c r="F208" s="4" t="s">
        <v>602</v>
      </c>
      <c r="G208" s="4" t="s">
        <v>287</v>
      </c>
      <c r="H208" s="4" t="s">
        <v>384</v>
      </c>
      <c r="I208" s="3">
        <v>4</v>
      </c>
      <c r="J208" s="45" t="str">
        <f t="shared" si="27"/>
        <v>1</v>
      </c>
      <c r="K208" s="54">
        <v>1</v>
      </c>
      <c r="L208" s="69" t="str">
        <f t="shared" si="28"/>
        <v>0</v>
      </c>
      <c r="M208" s="74" t="str">
        <f t="shared" si="29"/>
        <v>0</v>
      </c>
      <c r="N208" s="29" t="str">
        <f t="shared" si="30"/>
        <v>1</v>
      </c>
      <c r="O208" s="61">
        <v>1</v>
      </c>
      <c r="P208" s="65">
        <v>1</v>
      </c>
      <c r="Q208" s="46">
        <f t="shared" si="33"/>
        <v>5</v>
      </c>
      <c r="R208" s="83" t="str">
        <f t="shared" si="31"/>
        <v>ผ่าน</v>
      </c>
      <c r="S208" s="3" t="s">
        <v>28</v>
      </c>
      <c r="T208" s="32">
        <v>6312798213</v>
      </c>
      <c r="V208" s="36">
        <v>6311506210</v>
      </c>
      <c r="W208" s="36">
        <v>6610392224</v>
      </c>
      <c r="Y208" s="41">
        <f ca="1">IFERROR(__xludf.DUMMYFUNCTION("""COMPUTED_VALUE"""),6410073117)</f>
        <v>6410073117</v>
      </c>
      <c r="Z208" s="36">
        <v>6610392126</v>
      </c>
    </row>
    <row r="209" spans="1:26" ht="18" customHeight="1">
      <c r="A209" s="3">
        <v>207</v>
      </c>
      <c r="B209" s="3">
        <v>6310633230</v>
      </c>
      <c r="C209" s="4" t="s">
        <v>29</v>
      </c>
      <c r="D209" s="4" t="s">
        <v>603</v>
      </c>
      <c r="E209" s="4" t="s">
        <v>604</v>
      </c>
      <c r="F209" s="4" t="s">
        <v>605</v>
      </c>
      <c r="G209" s="4" t="s">
        <v>287</v>
      </c>
      <c r="H209" s="4" t="s">
        <v>384</v>
      </c>
      <c r="I209" s="3">
        <v>4</v>
      </c>
      <c r="J209" s="44" t="str">
        <f t="shared" si="27"/>
        <v>0</v>
      </c>
      <c r="K209" s="54">
        <v>1</v>
      </c>
      <c r="L209" s="69" t="str">
        <f t="shared" si="28"/>
        <v>0</v>
      </c>
      <c r="M209" s="74" t="str">
        <f t="shared" si="29"/>
        <v>1</v>
      </c>
      <c r="N209" s="29" t="str">
        <f t="shared" si="30"/>
        <v>0</v>
      </c>
      <c r="O209" s="61">
        <v>1</v>
      </c>
      <c r="P209" s="65">
        <v>1</v>
      </c>
      <c r="Q209" s="46">
        <f t="shared" si="33"/>
        <v>4</v>
      </c>
      <c r="R209" s="83" t="str">
        <f t="shared" si="31"/>
        <v>ผ่าน</v>
      </c>
      <c r="S209" s="3" t="s">
        <v>28</v>
      </c>
      <c r="T209" s="32">
        <v>6410048116</v>
      </c>
      <c r="V209" s="36">
        <v>6311506205</v>
      </c>
      <c r="W209" s="36">
        <v>6610392226</v>
      </c>
      <c r="Y209" s="40">
        <f ca="1">IFERROR(__xludf.DUMMYFUNCTION("""COMPUTED_VALUE"""),6410073119)</f>
        <v>6410073119</v>
      </c>
      <c r="Z209" s="36">
        <v>6410083104</v>
      </c>
    </row>
    <row r="210" spans="1:26" ht="18" customHeight="1">
      <c r="A210" s="3">
        <v>208</v>
      </c>
      <c r="B210" s="3">
        <v>6310633232</v>
      </c>
      <c r="C210" s="4" t="s">
        <v>29</v>
      </c>
      <c r="D210" s="4" t="s">
        <v>606</v>
      </c>
      <c r="E210" s="4" t="s">
        <v>607</v>
      </c>
      <c r="F210" s="4" t="s">
        <v>608</v>
      </c>
      <c r="G210" s="4" t="s">
        <v>287</v>
      </c>
      <c r="H210" s="4" t="s">
        <v>384</v>
      </c>
      <c r="I210" s="3">
        <v>4</v>
      </c>
      <c r="J210" s="44" t="str">
        <f t="shared" si="27"/>
        <v>0</v>
      </c>
      <c r="K210" s="54" t="str">
        <f t="shared" si="32"/>
        <v>1</v>
      </c>
      <c r="L210" s="69" t="str">
        <f t="shared" si="28"/>
        <v>0</v>
      </c>
      <c r="M210" s="74" t="str">
        <f t="shared" si="29"/>
        <v>0</v>
      </c>
      <c r="N210" s="29" t="str">
        <f t="shared" si="30"/>
        <v>0</v>
      </c>
      <c r="O210" s="61">
        <v>1</v>
      </c>
      <c r="P210" s="65">
        <v>1</v>
      </c>
      <c r="Q210" s="46">
        <f t="shared" si="33"/>
        <v>3</v>
      </c>
      <c r="R210" s="83" t="str">
        <f t="shared" si="31"/>
        <v>ผ่าน</v>
      </c>
      <c r="S210" s="3" t="s">
        <v>28</v>
      </c>
      <c r="T210" s="32">
        <v>6512798112</v>
      </c>
      <c r="V210" s="36">
        <v>6311506117</v>
      </c>
      <c r="W210" s="36">
        <v>6412743226</v>
      </c>
      <c r="Y210" s="41">
        <f ca="1">IFERROR(__xludf.DUMMYFUNCTION("""COMPUTED_VALUE"""),6410073124)</f>
        <v>6410073124</v>
      </c>
      <c r="Z210" s="36">
        <v>6412743113</v>
      </c>
    </row>
    <row r="211" spans="1:26" ht="18" customHeight="1">
      <c r="A211" s="3">
        <v>209</v>
      </c>
      <c r="B211" s="3">
        <v>6610392101</v>
      </c>
      <c r="C211" s="4" t="s">
        <v>22</v>
      </c>
      <c r="D211" s="4" t="s">
        <v>481</v>
      </c>
      <c r="E211" s="4" t="s">
        <v>192</v>
      </c>
      <c r="F211" s="4" t="s">
        <v>609</v>
      </c>
      <c r="G211" s="4" t="s">
        <v>287</v>
      </c>
      <c r="H211" s="4" t="s">
        <v>610</v>
      </c>
      <c r="I211" s="3">
        <v>1</v>
      </c>
      <c r="J211" s="45" t="str">
        <f t="shared" si="27"/>
        <v>1</v>
      </c>
      <c r="K211" s="54" t="str">
        <f t="shared" si="32"/>
        <v>1</v>
      </c>
      <c r="L211" s="69" t="str">
        <f t="shared" si="28"/>
        <v>0</v>
      </c>
      <c r="M211" s="74" t="str">
        <f t="shared" si="29"/>
        <v>1</v>
      </c>
      <c r="N211" s="29" t="str">
        <f t="shared" si="30"/>
        <v>0</v>
      </c>
      <c r="O211" s="61" t="str">
        <f t="shared" ref="O195:O258" ca="1" si="34">IF(IFERROR(VLOOKUP(B211,DATA11,1,FALSE),),"1","0")</f>
        <v>1</v>
      </c>
      <c r="P211" s="65" t="str">
        <f t="shared" ref="P195:P258" si="35">IF(IFERROR(VLOOKUP(B211,DATA12,1,FALSE),),"1","0")</f>
        <v>1</v>
      </c>
      <c r="Q211" s="46">
        <f t="shared" ca="1" si="33"/>
        <v>5</v>
      </c>
      <c r="R211" s="83" t="str">
        <f t="shared" ca="1" si="31"/>
        <v>ผ่าน</v>
      </c>
      <c r="S211" s="3" t="s">
        <v>28</v>
      </c>
      <c r="T211" s="32">
        <v>6410403113</v>
      </c>
      <c r="V211" s="36">
        <v>6311506124</v>
      </c>
      <c r="W211" s="36">
        <v>6412743126</v>
      </c>
      <c r="Y211" s="40">
        <f ca="1">IFERROR(__xludf.DUMMYFUNCTION("""COMPUTED_VALUE"""),6412269106)</f>
        <v>6412269106</v>
      </c>
      <c r="Z211" s="36">
        <v>6310633223</v>
      </c>
    </row>
    <row r="212" spans="1:26" ht="18" customHeight="1">
      <c r="A212" s="3">
        <v>210</v>
      </c>
      <c r="B212" s="3">
        <v>6610392104</v>
      </c>
      <c r="C212" s="4" t="s">
        <v>22</v>
      </c>
      <c r="D212" s="4" t="s">
        <v>611</v>
      </c>
      <c r="E212" s="4" t="s">
        <v>612</v>
      </c>
      <c r="F212" s="4" t="s">
        <v>613</v>
      </c>
      <c r="G212" s="4" t="s">
        <v>287</v>
      </c>
      <c r="H212" s="4" t="s">
        <v>610</v>
      </c>
      <c r="I212" s="3">
        <v>1</v>
      </c>
      <c r="J212" s="45" t="str">
        <f t="shared" si="27"/>
        <v>1</v>
      </c>
      <c r="K212" s="54" t="str">
        <f t="shared" si="32"/>
        <v>1</v>
      </c>
      <c r="L212" s="69" t="str">
        <f t="shared" si="28"/>
        <v>0</v>
      </c>
      <c r="M212" s="74" t="str">
        <f t="shared" si="29"/>
        <v>1</v>
      </c>
      <c r="N212" s="29" t="str">
        <f t="shared" si="30"/>
        <v>0</v>
      </c>
      <c r="O212" s="61" t="str">
        <f t="shared" ca="1" si="34"/>
        <v>1</v>
      </c>
      <c r="P212" s="65" t="str">
        <f t="shared" si="35"/>
        <v>0</v>
      </c>
      <c r="Q212" s="46">
        <f t="shared" ca="1" si="33"/>
        <v>4</v>
      </c>
      <c r="R212" s="83" t="str">
        <f t="shared" ca="1" si="31"/>
        <v>ผ่าน</v>
      </c>
      <c r="S212" s="3" t="s">
        <v>28</v>
      </c>
      <c r="T212" s="32">
        <v>6510207206</v>
      </c>
      <c r="V212" s="36">
        <v>6511506115</v>
      </c>
      <c r="W212" s="36">
        <v>6612798107</v>
      </c>
      <c r="Y212" s="41">
        <f ca="1">IFERROR(__xludf.DUMMYFUNCTION("""COMPUTED_VALUE"""),6412269112)</f>
        <v>6412269112</v>
      </c>
      <c r="Z212" s="36">
        <v>6410488219</v>
      </c>
    </row>
    <row r="213" spans="1:26" ht="18" customHeight="1">
      <c r="A213" s="3">
        <v>211</v>
      </c>
      <c r="B213" s="3">
        <v>6610392109</v>
      </c>
      <c r="C213" s="4" t="s">
        <v>22</v>
      </c>
      <c r="D213" s="4" t="s">
        <v>614</v>
      </c>
      <c r="E213" s="4" t="s">
        <v>615</v>
      </c>
      <c r="F213" s="4" t="s">
        <v>616</v>
      </c>
      <c r="G213" s="4" t="s">
        <v>287</v>
      </c>
      <c r="H213" s="4" t="s">
        <v>610</v>
      </c>
      <c r="I213" s="3">
        <v>1</v>
      </c>
      <c r="J213" s="45" t="str">
        <f t="shared" si="27"/>
        <v>1</v>
      </c>
      <c r="K213" s="54" t="str">
        <f t="shared" si="32"/>
        <v>1</v>
      </c>
      <c r="L213" s="69" t="str">
        <f t="shared" si="28"/>
        <v>0</v>
      </c>
      <c r="M213" s="74" t="str">
        <f t="shared" si="29"/>
        <v>1</v>
      </c>
      <c r="N213" s="29" t="str">
        <f t="shared" si="30"/>
        <v>0</v>
      </c>
      <c r="O213" s="61" t="str">
        <f t="shared" ca="1" si="34"/>
        <v>0</v>
      </c>
      <c r="P213" s="65" t="str">
        <f t="shared" si="35"/>
        <v>0</v>
      </c>
      <c r="Q213" s="46">
        <f t="shared" ca="1" si="33"/>
        <v>3</v>
      </c>
      <c r="R213" s="83" t="str">
        <f t="shared" ca="1" si="31"/>
        <v>ผ่าน</v>
      </c>
      <c r="S213" s="3" t="s">
        <v>28</v>
      </c>
      <c r="T213" s="32">
        <v>6410048111</v>
      </c>
      <c r="V213" s="36">
        <v>6310094136</v>
      </c>
      <c r="W213" s="36">
        <v>6612798114</v>
      </c>
      <c r="Y213" s="40">
        <f ca="1">IFERROR(__xludf.DUMMYFUNCTION("""COMPUTED_VALUE"""),6412269121)</f>
        <v>6412269121</v>
      </c>
      <c r="Z213" s="36">
        <v>6610633118</v>
      </c>
    </row>
    <row r="214" spans="1:26" ht="18" customHeight="1">
      <c r="A214" s="3">
        <v>212</v>
      </c>
      <c r="B214" s="3">
        <v>6610392110</v>
      </c>
      <c r="C214" s="4" t="s">
        <v>22</v>
      </c>
      <c r="D214" s="4" t="s">
        <v>432</v>
      </c>
      <c r="E214" s="4" t="s">
        <v>617</v>
      </c>
      <c r="F214" s="4" t="s">
        <v>618</v>
      </c>
      <c r="G214" s="4" t="s">
        <v>287</v>
      </c>
      <c r="H214" s="4" t="s">
        <v>610</v>
      </c>
      <c r="I214" s="3">
        <v>1</v>
      </c>
      <c r="J214" s="45" t="str">
        <f t="shared" si="27"/>
        <v>1</v>
      </c>
      <c r="K214" s="54" t="str">
        <f t="shared" si="32"/>
        <v>1</v>
      </c>
      <c r="L214" s="69" t="str">
        <f t="shared" si="28"/>
        <v>0</v>
      </c>
      <c r="M214" s="74" t="str">
        <f t="shared" si="29"/>
        <v>1</v>
      </c>
      <c r="N214" s="29" t="str">
        <f t="shared" si="30"/>
        <v>0</v>
      </c>
      <c r="O214" s="61" t="str">
        <f t="shared" ca="1" si="34"/>
        <v>0</v>
      </c>
      <c r="P214" s="65" t="str">
        <f t="shared" si="35"/>
        <v>0</v>
      </c>
      <c r="Q214" s="46">
        <f t="shared" ca="1" si="33"/>
        <v>3</v>
      </c>
      <c r="R214" s="83" t="str">
        <f t="shared" ca="1" si="31"/>
        <v>ผ่าน</v>
      </c>
      <c r="S214" s="3" t="s">
        <v>28</v>
      </c>
      <c r="T214" s="32">
        <v>6412866115</v>
      </c>
      <c r="V214" s="36">
        <v>6312798207</v>
      </c>
      <c r="W214" s="36">
        <v>6510403222</v>
      </c>
      <c r="Y214" s="41">
        <f ca="1">IFERROR(__xludf.DUMMYFUNCTION("""COMPUTED_VALUE"""),6412269124)</f>
        <v>6412269124</v>
      </c>
      <c r="Z214" s="36">
        <v>6512743124</v>
      </c>
    </row>
    <row r="215" spans="1:26" ht="18" customHeight="1">
      <c r="A215" s="3">
        <v>213</v>
      </c>
      <c r="B215" s="3">
        <v>6610392115</v>
      </c>
      <c r="C215" s="4" t="s">
        <v>29</v>
      </c>
      <c r="D215" s="4" t="s">
        <v>619</v>
      </c>
      <c r="E215" s="4" t="s">
        <v>620</v>
      </c>
      <c r="F215" s="4" t="s">
        <v>621</v>
      </c>
      <c r="G215" s="4" t="s">
        <v>287</v>
      </c>
      <c r="H215" s="4" t="s">
        <v>610</v>
      </c>
      <c r="I215" s="3">
        <v>1</v>
      </c>
      <c r="J215" s="45" t="str">
        <f t="shared" si="27"/>
        <v>1</v>
      </c>
      <c r="K215" s="54" t="str">
        <f t="shared" si="32"/>
        <v>1</v>
      </c>
      <c r="L215" s="69" t="str">
        <f t="shared" si="28"/>
        <v>0</v>
      </c>
      <c r="M215" s="74" t="str">
        <f t="shared" si="29"/>
        <v>1</v>
      </c>
      <c r="N215" s="29" t="str">
        <f t="shared" si="30"/>
        <v>0</v>
      </c>
      <c r="O215" s="61" t="str">
        <f t="shared" ca="1" si="34"/>
        <v>1</v>
      </c>
      <c r="P215" s="65" t="str">
        <f t="shared" si="35"/>
        <v>0</v>
      </c>
      <c r="Q215" s="46">
        <f t="shared" ca="1" si="33"/>
        <v>4</v>
      </c>
      <c r="R215" s="83" t="str">
        <f t="shared" ca="1" si="31"/>
        <v>ผ่าน</v>
      </c>
      <c r="S215" s="3" t="s">
        <v>28</v>
      </c>
      <c r="T215" s="32">
        <v>6412743112</v>
      </c>
      <c r="V215" s="36">
        <v>6610403326</v>
      </c>
      <c r="W215" s="36">
        <v>6415964123</v>
      </c>
      <c r="Y215" s="40">
        <f ca="1">IFERROR(__xludf.DUMMYFUNCTION("""COMPUTED_VALUE"""),6412269125)</f>
        <v>6412269125</v>
      </c>
      <c r="Z215" s="36">
        <v>6310633110</v>
      </c>
    </row>
    <row r="216" spans="1:26" ht="18" customHeight="1">
      <c r="A216" s="3">
        <v>214</v>
      </c>
      <c r="B216" s="3">
        <v>6610392121</v>
      </c>
      <c r="C216" s="4" t="s">
        <v>29</v>
      </c>
      <c r="D216" s="4" t="s">
        <v>622</v>
      </c>
      <c r="E216" s="4" t="s">
        <v>393</v>
      </c>
      <c r="F216" s="4" t="s">
        <v>623</v>
      </c>
      <c r="G216" s="4" t="s">
        <v>287</v>
      </c>
      <c r="H216" s="4" t="s">
        <v>610</v>
      </c>
      <c r="I216" s="3">
        <v>1</v>
      </c>
      <c r="J216" s="44" t="str">
        <f t="shared" si="27"/>
        <v>0</v>
      </c>
      <c r="K216" s="54" t="str">
        <f t="shared" si="32"/>
        <v>1</v>
      </c>
      <c r="L216" s="69" t="str">
        <f t="shared" si="28"/>
        <v>0</v>
      </c>
      <c r="M216" s="74" t="str">
        <f t="shared" si="29"/>
        <v>1</v>
      </c>
      <c r="N216" s="29" t="str">
        <f t="shared" si="30"/>
        <v>0</v>
      </c>
      <c r="O216" s="61" t="str">
        <f t="shared" ca="1" si="34"/>
        <v>0</v>
      </c>
      <c r="P216" s="65" t="str">
        <f t="shared" si="35"/>
        <v>1</v>
      </c>
      <c r="Q216" s="46">
        <f t="shared" ca="1" si="33"/>
        <v>3</v>
      </c>
      <c r="R216" s="83" t="str">
        <f t="shared" ca="1" si="31"/>
        <v>ผ่าน</v>
      </c>
      <c r="S216" s="3" t="s">
        <v>28</v>
      </c>
      <c r="T216" s="32">
        <v>6315964102</v>
      </c>
      <c r="V216" s="36">
        <v>6510059103</v>
      </c>
      <c r="W216" s="36">
        <v>6510403210</v>
      </c>
      <c r="Y216" s="41">
        <f ca="1">IFERROR(__xludf.DUMMYFUNCTION("""COMPUTED_VALUE"""),6412269126)</f>
        <v>6412269126</v>
      </c>
      <c r="Z216" s="36">
        <v>6410083103</v>
      </c>
    </row>
    <row r="217" spans="1:26" ht="18" customHeight="1">
      <c r="A217" s="3">
        <v>215</v>
      </c>
      <c r="B217" s="3">
        <v>6610392126</v>
      </c>
      <c r="C217" s="4" t="s">
        <v>29</v>
      </c>
      <c r="D217" s="4" t="s">
        <v>624</v>
      </c>
      <c r="E217" s="4" t="s">
        <v>625</v>
      </c>
      <c r="F217" s="4" t="s">
        <v>626</v>
      </c>
      <c r="G217" s="4" t="s">
        <v>287</v>
      </c>
      <c r="H217" s="4" t="s">
        <v>610</v>
      </c>
      <c r="I217" s="3">
        <v>1</v>
      </c>
      <c r="J217" s="44" t="str">
        <f t="shared" si="27"/>
        <v>0</v>
      </c>
      <c r="K217" s="54" t="str">
        <f t="shared" si="32"/>
        <v>1</v>
      </c>
      <c r="L217" s="69" t="str">
        <f t="shared" si="28"/>
        <v>0</v>
      </c>
      <c r="M217" s="74" t="str">
        <f t="shared" si="29"/>
        <v>1</v>
      </c>
      <c r="N217" s="29" t="str">
        <f t="shared" si="30"/>
        <v>0</v>
      </c>
      <c r="O217" s="61" t="str">
        <f t="shared" ca="1" si="34"/>
        <v>0</v>
      </c>
      <c r="P217" s="65" t="str">
        <f t="shared" si="35"/>
        <v>1</v>
      </c>
      <c r="Q217" s="46">
        <f t="shared" ca="1" si="33"/>
        <v>3</v>
      </c>
      <c r="R217" s="83" t="str">
        <f t="shared" ca="1" si="31"/>
        <v>ผ่าน</v>
      </c>
      <c r="S217" s="3" t="s">
        <v>28</v>
      </c>
      <c r="T217" s="32">
        <v>6510633115</v>
      </c>
      <c r="V217" s="36">
        <v>6512247211</v>
      </c>
      <c r="W217" s="36">
        <v>6512798107</v>
      </c>
      <c r="Y217" s="40">
        <f ca="1">IFERROR(__xludf.DUMMYFUNCTION("""COMPUTED_VALUE"""),6415964119)</f>
        <v>6415964119</v>
      </c>
      <c r="Z217" s="36">
        <v>6610633111</v>
      </c>
    </row>
    <row r="218" spans="1:26" ht="18" customHeight="1">
      <c r="A218" s="3">
        <v>216</v>
      </c>
      <c r="B218" s="3">
        <v>6610392203</v>
      </c>
      <c r="C218" s="4" t="s">
        <v>22</v>
      </c>
      <c r="D218" s="4" t="s">
        <v>627</v>
      </c>
      <c r="E218" s="4" t="s">
        <v>628</v>
      </c>
      <c r="F218" s="4" t="s">
        <v>629</v>
      </c>
      <c r="G218" s="4" t="s">
        <v>287</v>
      </c>
      <c r="H218" s="4" t="s">
        <v>610</v>
      </c>
      <c r="I218" s="3">
        <v>1</v>
      </c>
      <c r="J218" s="45" t="str">
        <f t="shared" si="27"/>
        <v>1</v>
      </c>
      <c r="K218" s="54" t="str">
        <f t="shared" si="32"/>
        <v>0</v>
      </c>
      <c r="L218" s="69" t="str">
        <f t="shared" si="28"/>
        <v>1</v>
      </c>
      <c r="M218" s="74" t="str">
        <f t="shared" si="29"/>
        <v>0</v>
      </c>
      <c r="N218" s="29" t="str">
        <f t="shared" si="30"/>
        <v>0</v>
      </c>
      <c r="O218" s="61" t="str">
        <f t="shared" ca="1" si="34"/>
        <v>1</v>
      </c>
      <c r="P218" s="65" t="str">
        <f t="shared" si="35"/>
        <v>1</v>
      </c>
      <c r="Q218" s="46">
        <f t="shared" ca="1" si="33"/>
        <v>4</v>
      </c>
      <c r="R218" s="83" t="str">
        <f t="shared" ca="1" si="31"/>
        <v>ผ่าน</v>
      </c>
      <c r="S218" s="3" t="s">
        <v>28</v>
      </c>
      <c r="T218" s="32">
        <v>6410414203</v>
      </c>
      <c r="V218" s="36">
        <v>6410106121</v>
      </c>
      <c r="W218" s="36">
        <v>6415964119</v>
      </c>
      <c r="Y218" s="41">
        <f ca="1">IFERROR(__xludf.DUMMYFUNCTION("""COMPUTED_VALUE"""),6415964122)</f>
        <v>6415964122</v>
      </c>
      <c r="Z218" s="36">
        <v>6610488210</v>
      </c>
    </row>
    <row r="219" spans="1:26" ht="18" customHeight="1">
      <c r="A219" s="3">
        <v>217</v>
      </c>
      <c r="B219" s="3">
        <v>6610392212</v>
      </c>
      <c r="C219" s="4" t="s">
        <v>22</v>
      </c>
      <c r="D219" s="4" t="s">
        <v>630</v>
      </c>
      <c r="E219" s="4" t="s">
        <v>631</v>
      </c>
      <c r="F219" s="4" t="s">
        <v>486</v>
      </c>
      <c r="G219" s="4" t="s">
        <v>287</v>
      </c>
      <c r="H219" s="4" t="s">
        <v>610</v>
      </c>
      <c r="I219" s="3">
        <v>1</v>
      </c>
      <c r="J219" s="45" t="str">
        <f t="shared" si="27"/>
        <v>1</v>
      </c>
      <c r="K219" s="54" t="str">
        <f t="shared" si="32"/>
        <v>1</v>
      </c>
      <c r="L219" s="69" t="str">
        <f t="shared" si="28"/>
        <v>0</v>
      </c>
      <c r="M219" s="74" t="str">
        <f t="shared" si="29"/>
        <v>0</v>
      </c>
      <c r="N219" s="29" t="str">
        <f t="shared" si="30"/>
        <v>0</v>
      </c>
      <c r="O219" s="61" t="str">
        <f t="shared" ca="1" si="34"/>
        <v>0</v>
      </c>
      <c r="P219" s="65" t="str">
        <f t="shared" si="35"/>
        <v>0</v>
      </c>
      <c r="Q219" s="46">
        <f t="shared" ca="1" si="33"/>
        <v>2</v>
      </c>
      <c r="R219" s="3" t="str">
        <f t="shared" ca="1" si="31"/>
        <v>ไม่ผ่าน</v>
      </c>
      <c r="S219" s="3" t="s">
        <v>28</v>
      </c>
      <c r="T219" s="32">
        <v>6410073124</v>
      </c>
      <c r="V219" s="36">
        <v>6610488225</v>
      </c>
      <c r="W219" s="36">
        <v>6612314132</v>
      </c>
      <c r="Y219" s="40">
        <f ca="1">IFERROR(__xludf.DUMMYFUNCTION("""COMPUTED_VALUE"""),6415964123)</f>
        <v>6415964123</v>
      </c>
      <c r="Z219" s="36">
        <v>6510633108</v>
      </c>
    </row>
    <row r="220" spans="1:26" ht="18" customHeight="1">
      <c r="A220" s="3">
        <v>218</v>
      </c>
      <c r="B220" s="3">
        <v>6610392213</v>
      </c>
      <c r="C220" s="4" t="s">
        <v>22</v>
      </c>
      <c r="D220" s="4" t="s">
        <v>632</v>
      </c>
      <c r="E220" s="4" t="s">
        <v>633</v>
      </c>
      <c r="F220" s="4" t="s">
        <v>634</v>
      </c>
      <c r="G220" s="4" t="s">
        <v>287</v>
      </c>
      <c r="H220" s="4" t="s">
        <v>610</v>
      </c>
      <c r="I220" s="3">
        <v>1</v>
      </c>
      <c r="J220" s="44" t="str">
        <f t="shared" si="27"/>
        <v>0</v>
      </c>
      <c r="K220" s="54" t="str">
        <f t="shared" si="32"/>
        <v>0</v>
      </c>
      <c r="L220" s="69" t="str">
        <f t="shared" si="28"/>
        <v>0</v>
      </c>
      <c r="M220" s="74" t="str">
        <f t="shared" si="29"/>
        <v>1</v>
      </c>
      <c r="N220" s="29" t="str">
        <f t="shared" si="30"/>
        <v>0</v>
      </c>
      <c r="O220" s="61" t="str">
        <f t="shared" ca="1" si="34"/>
        <v>1</v>
      </c>
      <c r="P220" s="65" t="str">
        <f t="shared" si="35"/>
        <v>1</v>
      </c>
      <c r="Q220" s="46">
        <f t="shared" ca="1" si="33"/>
        <v>3</v>
      </c>
      <c r="R220" s="83" t="str">
        <f t="shared" ca="1" si="31"/>
        <v>ผ่าน</v>
      </c>
      <c r="S220" s="3" t="s">
        <v>28</v>
      </c>
      <c r="T220" s="32">
        <v>6310488205</v>
      </c>
      <c r="V220" s="36">
        <v>6610633219</v>
      </c>
      <c r="W220" s="36">
        <v>6510079211</v>
      </c>
      <c r="Y220" s="41">
        <f ca="1">IFERROR(__xludf.DUMMYFUNCTION("""COMPUTED_VALUE"""),6310488219)</f>
        <v>6310488219</v>
      </c>
      <c r="Z220" s="36">
        <v>6410403232</v>
      </c>
    </row>
    <row r="221" spans="1:26" ht="18" customHeight="1">
      <c r="A221" s="3">
        <v>219</v>
      </c>
      <c r="B221" s="3">
        <v>6610392224</v>
      </c>
      <c r="C221" s="4" t="s">
        <v>29</v>
      </c>
      <c r="D221" s="4" t="s">
        <v>635</v>
      </c>
      <c r="E221" s="4" t="s">
        <v>636</v>
      </c>
      <c r="F221" s="4" t="s">
        <v>409</v>
      </c>
      <c r="G221" s="4" t="s">
        <v>287</v>
      </c>
      <c r="H221" s="4" t="s">
        <v>610</v>
      </c>
      <c r="I221" s="3">
        <v>1</v>
      </c>
      <c r="J221" s="44" t="str">
        <f t="shared" si="27"/>
        <v>0</v>
      </c>
      <c r="K221" s="54" t="str">
        <f t="shared" si="32"/>
        <v>1</v>
      </c>
      <c r="L221" s="69" t="str">
        <f t="shared" si="28"/>
        <v>0</v>
      </c>
      <c r="M221" s="74" t="str">
        <f t="shared" si="29"/>
        <v>1</v>
      </c>
      <c r="N221" s="29" t="str">
        <f t="shared" si="30"/>
        <v>0</v>
      </c>
      <c r="O221" s="61" t="str">
        <f t="shared" ca="1" si="34"/>
        <v>1</v>
      </c>
      <c r="P221" s="65" t="str">
        <f t="shared" si="35"/>
        <v>0</v>
      </c>
      <c r="Q221" s="46">
        <f t="shared" ca="1" si="33"/>
        <v>3</v>
      </c>
      <c r="R221" s="83" t="str">
        <f t="shared" ca="1" si="31"/>
        <v>ผ่าน</v>
      </c>
      <c r="S221" s="3" t="s">
        <v>28</v>
      </c>
      <c r="T221" s="32">
        <v>6410073107</v>
      </c>
      <c r="V221" s="36">
        <v>6510392215</v>
      </c>
      <c r="W221" s="36">
        <v>6510403107</v>
      </c>
      <c r="Y221" s="40">
        <f ca="1">IFERROR(__xludf.DUMMYFUNCTION("""COMPUTED_VALUE"""),6612314113)</f>
        <v>6612314113</v>
      </c>
      <c r="Z221" s="36">
        <v>6610488114</v>
      </c>
    </row>
    <row r="222" spans="1:26" ht="18" customHeight="1">
      <c r="A222" s="3">
        <v>220</v>
      </c>
      <c r="B222" s="3">
        <v>6610392226</v>
      </c>
      <c r="C222" s="4" t="s">
        <v>29</v>
      </c>
      <c r="D222" s="4" t="s">
        <v>637</v>
      </c>
      <c r="E222" s="4" t="s">
        <v>638</v>
      </c>
      <c r="F222" s="4" t="s">
        <v>453</v>
      </c>
      <c r="G222" s="4" t="s">
        <v>287</v>
      </c>
      <c r="H222" s="4" t="s">
        <v>610</v>
      </c>
      <c r="I222" s="3">
        <v>1</v>
      </c>
      <c r="J222" s="45" t="str">
        <f t="shared" si="27"/>
        <v>1</v>
      </c>
      <c r="K222" s="54" t="str">
        <f t="shared" si="32"/>
        <v>1</v>
      </c>
      <c r="L222" s="69" t="str">
        <f t="shared" si="28"/>
        <v>0</v>
      </c>
      <c r="M222" s="74" t="str">
        <f t="shared" si="29"/>
        <v>1</v>
      </c>
      <c r="N222" s="29" t="str">
        <f t="shared" si="30"/>
        <v>0</v>
      </c>
      <c r="O222" s="61" t="str">
        <f t="shared" ca="1" si="34"/>
        <v>1</v>
      </c>
      <c r="P222" s="65" t="str">
        <f t="shared" si="35"/>
        <v>0</v>
      </c>
      <c r="Q222" s="46">
        <f t="shared" ca="1" si="33"/>
        <v>4</v>
      </c>
      <c r="R222" s="83" t="str">
        <f t="shared" ca="1" si="31"/>
        <v>ผ่าน</v>
      </c>
      <c r="S222" s="3" t="s">
        <v>28</v>
      </c>
      <c r="T222" s="32">
        <v>6510392124</v>
      </c>
      <c r="V222" s="36">
        <v>6610488109</v>
      </c>
      <c r="W222" s="36">
        <v>6410094115</v>
      </c>
      <c r="Y222" s="41">
        <f ca="1">IFERROR(__xludf.DUMMYFUNCTION("""COMPUTED_VALUE"""),6612314114)</f>
        <v>6612314114</v>
      </c>
      <c r="Z222" s="36">
        <v>6610633204</v>
      </c>
    </row>
    <row r="223" spans="1:26" ht="18" customHeight="1">
      <c r="A223" s="3">
        <v>221</v>
      </c>
      <c r="B223" s="3">
        <v>6510392111</v>
      </c>
      <c r="C223" s="4" t="s">
        <v>29</v>
      </c>
      <c r="D223" s="4" t="s">
        <v>639</v>
      </c>
      <c r="E223" s="4" t="s">
        <v>640</v>
      </c>
      <c r="F223" s="4" t="s">
        <v>641</v>
      </c>
      <c r="G223" s="4" t="s">
        <v>287</v>
      </c>
      <c r="H223" s="4" t="s">
        <v>610</v>
      </c>
      <c r="I223" s="3">
        <v>2</v>
      </c>
      <c r="J223" s="45" t="str">
        <f t="shared" si="27"/>
        <v>1</v>
      </c>
      <c r="K223" s="54" t="str">
        <f t="shared" si="32"/>
        <v>1</v>
      </c>
      <c r="L223" s="69" t="str">
        <f t="shared" si="28"/>
        <v>0</v>
      </c>
      <c r="M223" s="74" t="str">
        <f t="shared" si="29"/>
        <v>1</v>
      </c>
      <c r="N223" s="29" t="str">
        <f t="shared" si="30"/>
        <v>0</v>
      </c>
      <c r="O223" s="61" t="str">
        <f t="shared" ca="1" si="34"/>
        <v>0</v>
      </c>
      <c r="P223" s="65" t="str">
        <f t="shared" si="35"/>
        <v>1</v>
      </c>
      <c r="Q223" s="46">
        <f t="shared" ca="1" si="33"/>
        <v>4</v>
      </c>
      <c r="R223" s="83" t="str">
        <f t="shared" ca="1" si="31"/>
        <v>ผ่าน</v>
      </c>
      <c r="S223" s="3" t="s">
        <v>28</v>
      </c>
      <c r="T223" s="32">
        <v>6312325113</v>
      </c>
      <c r="V223" s="36">
        <v>6610392110</v>
      </c>
      <c r="W223" s="36">
        <v>6512798118</v>
      </c>
      <c r="Y223" s="40">
        <f ca="1">IFERROR(__xludf.DUMMYFUNCTION("""COMPUTED_VALUE"""),6612314133)</f>
        <v>6612314133</v>
      </c>
      <c r="Z223" s="36">
        <v>6612721207</v>
      </c>
    </row>
    <row r="224" spans="1:26" ht="18" customHeight="1">
      <c r="A224" s="3">
        <v>222</v>
      </c>
      <c r="B224" s="3">
        <v>6510392112</v>
      </c>
      <c r="C224" s="4" t="s">
        <v>29</v>
      </c>
      <c r="D224" s="4" t="s">
        <v>642</v>
      </c>
      <c r="E224" s="4" t="s">
        <v>643</v>
      </c>
      <c r="F224" s="4" t="s">
        <v>644</v>
      </c>
      <c r="G224" s="4" t="s">
        <v>287</v>
      </c>
      <c r="H224" s="4" t="s">
        <v>610</v>
      </c>
      <c r="I224" s="3">
        <v>2</v>
      </c>
      <c r="J224" s="44" t="str">
        <f t="shared" si="27"/>
        <v>0</v>
      </c>
      <c r="K224" s="54" t="str">
        <f t="shared" si="32"/>
        <v>0</v>
      </c>
      <c r="L224" s="69" t="str">
        <f t="shared" si="28"/>
        <v>0</v>
      </c>
      <c r="M224" s="74" t="str">
        <f t="shared" si="29"/>
        <v>0</v>
      </c>
      <c r="N224" s="29" t="str">
        <f t="shared" si="30"/>
        <v>0</v>
      </c>
      <c r="O224" s="61" t="str">
        <f t="shared" ca="1" si="34"/>
        <v>0</v>
      </c>
      <c r="P224" s="65" t="str">
        <f t="shared" si="35"/>
        <v>0</v>
      </c>
      <c r="Q224" s="46">
        <f t="shared" ca="1" si="33"/>
        <v>0</v>
      </c>
      <c r="R224" s="3" t="str">
        <f t="shared" ca="1" si="31"/>
        <v>ไม่ผ่าน</v>
      </c>
      <c r="S224" s="3" t="s">
        <v>28</v>
      </c>
      <c r="T224" s="32">
        <v>6512888223</v>
      </c>
      <c r="V224" s="36">
        <v>6412269121</v>
      </c>
      <c r="W224" s="36">
        <v>6612798117</v>
      </c>
      <c r="Y224" s="41">
        <f ca="1">IFERROR(__xludf.DUMMYFUNCTION("""COMPUTED_VALUE"""),6610403309)</f>
        <v>6610403309</v>
      </c>
      <c r="Z224" s="36">
        <v>6515964112</v>
      </c>
    </row>
    <row r="225" spans="1:26" ht="18" customHeight="1">
      <c r="A225" s="3">
        <v>223</v>
      </c>
      <c r="B225" s="3">
        <v>6510392117</v>
      </c>
      <c r="C225" s="4" t="s">
        <v>29</v>
      </c>
      <c r="D225" s="4" t="s">
        <v>645</v>
      </c>
      <c r="E225" s="4" t="s">
        <v>646</v>
      </c>
      <c r="F225" s="4" t="s">
        <v>647</v>
      </c>
      <c r="G225" s="4" t="s">
        <v>287</v>
      </c>
      <c r="H225" s="4" t="s">
        <v>610</v>
      </c>
      <c r="I225" s="3">
        <v>2</v>
      </c>
      <c r="J225" s="45" t="str">
        <f t="shared" si="27"/>
        <v>1</v>
      </c>
      <c r="K225" s="54" t="str">
        <f t="shared" si="32"/>
        <v>1</v>
      </c>
      <c r="L225" s="69" t="str">
        <f t="shared" si="28"/>
        <v>0</v>
      </c>
      <c r="M225" s="74" t="str">
        <f t="shared" si="29"/>
        <v>1</v>
      </c>
      <c r="N225" s="29" t="str">
        <f t="shared" si="30"/>
        <v>0</v>
      </c>
      <c r="O225" s="61" t="str">
        <f t="shared" ca="1" si="34"/>
        <v>0</v>
      </c>
      <c r="P225" s="65" t="str">
        <f t="shared" si="35"/>
        <v>1</v>
      </c>
      <c r="Q225" s="46">
        <f t="shared" ca="1" si="33"/>
        <v>4</v>
      </c>
      <c r="R225" s="83" t="str">
        <f t="shared" ca="1" si="31"/>
        <v>ผ่าน</v>
      </c>
      <c r="S225" s="3" t="s">
        <v>28</v>
      </c>
      <c r="T225" s="32">
        <v>6410414224</v>
      </c>
      <c r="V225" s="36">
        <v>6610392121</v>
      </c>
      <c r="W225" s="36">
        <v>6410083104</v>
      </c>
      <c r="Y225" s="40">
        <f ca="1">IFERROR(__xludf.DUMMYFUNCTION("""COMPUTED_VALUE"""),6612721127)</f>
        <v>6612721127</v>
      </c>
      <c r="Z225" s="36">
        <v>6612798118</v>
      </c>
    </row>
    <row r="226" spans="1:26" ht="18" customHeight="1">
      <c r="A226" s="3">
        <v>224</v>
      </c>
      <c r="B226" s="3">
        <v>6510392124</v>
      </c>
      <c r="C226" s="4" t="s">
        <v>29</v>
      </c>
      <c r="D226" s="4" t="s">
        <v>648</v>
      </c>
      <c r="E226" s="4" t="s">
        <v>649</v>
      </c>
      <c r="F226" s="4" t="s">
        <v>196</v>
      </c>
      <c r="G226" s="4" t="s">
        <v>287</v>
      </c>
      <c r="H226" s="4" t="s">
        <v>610</v>
      </c>
      <c r="I226" s="3">
        <v>2</v>
      </c>
      <c r="J226" s="45" t="str">
        <f t="shared" si="27"/>
        <v>1</v>
      </c>
      <c r="K226" s="54" t="str">
        <f t="shared" si="32"/>
        <v>1</v>
      </c>
      <c r="L226" s="69" t="str">
        <f t="shared" si="28"/>
        <v>0</v>
      </c>
      <c r="M226" s="74" t="str">
        <f t="shared" si="29"/>
        <v>0</v>
      </c>
      <c r="N226" s="29" t="str">
        <f t="shared" si="30"/>
        <v>1</v>
      </c>
      <c r="O226" s="61" t="str">
        <f t="shared" ca="1" si="34"/>
        <v>0</v>
      </c>
      <c r="P226" s="65" t="str">
        <f t="shared" si="35"/>
        <v>1</v>
      </c>
      <c r="Q226" s="46">
        <f t="shared" ca="1" si="33"/>
        <v>4</v>
      </c>
      <c r="R226" s="83" t="str">
        <f t="shared" ca="1" si="31"/>
        <v>ผ่าน</v>
      </c>
      <c r="S226" s="3" t="s">
        <v>28</v>
      </c>
      <c r="T226" s="32">
        <v>6510488106</v>
      </c>
      <c r="V226" s="36">
        <v>6510083108</v>
      </c>
      <c r="W226" s="36">
        <v>6510079209</v>
      </c>
      <c r="Y226" s="41">
        <f ca="1">IFERROR(__xludf.DUMMYFUNCTION("""COMPUTED_VALUE"""),6612721207)</f>
        <v>6612721207</v>
      </c>
      <c r="Z226" s="36">
        <v>6412236205</v>
      </c>
    </row>
    <row r="227" spans="1:26" ht="18" customHeight="1">
      <c r="A227" s="3">
        <v>225</v>
      </c>
      <c r="B227" s="3">
        <v>6510392128</v>
      </c>
      <c r="C227" s="4" t="s">
        <v>29</v>
      </c>
      <c r="D227" s="4" t="s">
        <v>650</v>
      </c>
      <c r="E227" s="4" t="s">
        <v>651</v>
      </c>
      <c r="F227" s="4" t="s">
        <v>652</v>
      </c>
      <c r="G227" s="4" t="s">
        <v>287</v>
      </c>
      <c r="H227" s="4" t="s">
        <v>610</v>
      </c>
      <c r="I227" s="3">
        <v>2</v>
      </c>
      <c r="J227" s="45" t="str">
        <f t="shared" si="27"/>
        <v>1</v>
      </c>
      <c r="K227" s="54" t="str">
        <f t="shared" si="32"/>
        <v>1</v>
      </c>
      <c r="L227" s="69" t="str">
        <f t="shared" si="28"/>
        <v>0</v>
      </c>
      <c r="M227" s="74" t="str">
        <f t="shared" si="29"/>
        <v>1</v>
      </c>
      <c r="N227" s="29" t="str">
        <f t="shared" si="30"/>
        <v>0</v>
      </c>
      <c r="O227" s="61" t="str">
        <f t="shared" ca="1" si="34"/>
        <v>0</v>
      </c>
      <c r="P227" s="65" t="str">
        <f t="shared" si="35"/>
        <v>1</v>
      </c>
      <c r="Q227" s="46">
        <f t="shared" ca="1" si="33"/>
        <v>4</v>
      </c>
      <c r="R227" s="83" t="str">
        <f t="shared" ca="1" si="31"/>
        <v>ผ่าน</v>
      </c>
      <c r="S227" s="3" t="s">
        <v>28</v>
      </c>
      <c r="T227" s="32">
        <v>6412743150</v>
      </c>
      <c r="V227" s="36">
        <v>6412888103</v>
      </c>
      <c r="W227" s="36">
        <v>6310488231</v>
      </c>
      <c r="Y227" s="40">
        <f ca="1">IFERROR(__xludf.DUMMYFUNCTION("""COMPUTED_VALUE"""),6610633112)</f>
        <v>6610633112</v>
      </c>
      <c r="Z227" s="36">
        <v>6510633115</v>
      </c>
    </row>
    <row r="228" spans="1:26" ht="18" customHeight="1">
      <c r="A228" s="3">
        <v>226</v>
      </c>
      <c r="B228" s="3">
        <v>6510392215</v>
      </c>
      <c r="C228" s="4" t="s">
        <v>29</v>
      </c>
      <c r="D228" s="4" t="s">
        <v>653</v>
      </c>
      <c r="E228" s="4" t="s">
        <v>654</v>
      </c>
      <c r="F228" s="4" t="s">
        <v>41</v>
      </c>
      <c r="G228" s="4" t="s">
        <v>287</v>
      </c>
      <c r="H228" s="4" t="s">
        <v>610</v>
      </c>
      <c r="I228" s="3">
        <v>2</v>
      </c>
      <c r="J228" s="45" t="str">
        <f t="shared" si="27"/>
        <v>1</v>
      </c>
      <c r="K228" s="54" t="str">
        <f t="shared" si="32"/>
        <v>1</v>
      </c>
      <c r="L228" s="69" t="str">
        <f t="shared" si="28"/>
        <v>0</v>
      </c>
      <c r="M228" s="74" t="str">
        <f t="shared" si="29"/>
        <v>0</v>
      </c>
      <c r="N228" s="29" t="str">
        <f t="shared" si="30"/>
        <v>1</v>
      </c>
      <c r="O228" s="61" t="str">
        <f t="shared" ca="1" si="34"/>
        <v>0</v>
      </c>
      <c r="P228" s="65" t="str">
        <f t="shared" si="35"/>
        <v>1</v>
      </c>
      <c r="Q228" s="46">
        <f t="shared" ca="1" si="33"/>
        <v>4</v>
      </c>
      <c r="R228" s="83" t="str">
        <f t="shared" ca="1" si="31"/>
        <v>ผ่าน</v>
      </c>
      <c r="S228" s="3" t="s">
        <v>28</v>
      </c>
      <c r="T228" s="32">
        <v>6310414116</v>
      </c>
      <c r="V228" s="36">
        <v>6510633216</v>
      </c>
      <c r="W228" s="36">
        <v>6412743112</v>
      </c>
      <c r="Y228" s="41">
        <f ca="1">IFERROR(__xludf.DUMMYFUNCTION("""COMPUTED_VALUE"""),6610633219)</f>
        <v>6610633219</v>
      </c>
      <c r="Z228" s="36">
        <v>6410106218</v>
      </c>
    </row>
    <row r="229" spans="1:26" ht="18" customHeight="1">
      <c r="A229" s="3">
        <v>227</v>
      </c>
      <c r="B229" s="3">
        <v>6410392105</v>
      </c>
      <c r="C229" s="4" t="s">
        <v>22</v>
      </c>
      <c r="D229" s="4" t="s">
        <v>655</v>
      </c>
      <c r="E229" s="4" t="s">
        <v>656</v>
      </c>
      <c r="F229" s="4" t="s">
        <v>657</v>
      </c>
      <c r="G229" s="4" t="s">
        <v>287</v>
      </c>
      <c r="H229" s="4" t="s">
        <v>610</v>
      </c>
      <c r="I229" s="3">
        <v>3</v>
      </c>
      <c r="J229" s="29" t="str">
        <f t="shared" si="27"/>
        <v>0</v>
      </c>
      <c r="K229" s="54" t="str">
        <f t="shared" si="32"/>
        <v>0</v>
      </c>
      <c r="L229" s="69" t="str">
        <f t="shared" si="28"/>
        <v>0</v>
      </c>
      <c r="M229" s="74" t="str">
        <f t="shared" si="29"/>
        <v>0</v>
      </c>
      <c r="N229" s="29" t="str">
        <f t="shared" si="30"/>
        <v>0</v>
      </c>
      <c r="O229" s="61" t="str">
        <f t="shared" ca="1" si="34"/>
        <v>0</v>
      </c>
      <c r="P229" s="65" t="str">
        <f t="shared" si="35"/>
        <v>1</v>
      </c>
      <c r="Q229" s="46">
        <f t="shared" ca="1" si="33"/>
        <v>1</v>
      </c>
      <c r="R229" s="3" t="str">
        <f t="shared" ca="1" si="31"/>
        <v>ไม่ผ่าน</v>
      </c>
      <c r="S229" s="3" t="s">
        <v>28</v>
      </c>
      <c r="T229" s="32">
        <v>6510392128</v>
      </c>
      <c r="V229" s="36">
        <v>6510633125</v>
      </c>
      <c r="W229" s="36">
        <v>6310488214</v>
      </c>
      <c r="Y229" s="40">
        <f ca="1">IFERROR(__xludf.DUMMYFUNCTION("""COMPUTED_VALUE"""),6610392115)</f>
        <v>6610392115</v>
      </c>
      <c r="Z229" s="36">
        <v>6510403131</v>
      </c>
    </row>
    <row r="230" spans="1:26" ht="18" customHeight="1">
      <c r="A230" s="3">
        <v>228</v>
      </c>
      <c r="B230" s="3">
        <v>6410392207</v>
      </c>
      <c r="C230" s="4" t="s">
        <v>22</v>
      </c>
      <c r="D230" s="4" t="s">
        <v>658</v>
      </c>
      <c r="E230" s="4" t="s">
        <v>659</v>
      </c>
      <c r="F230" s="4" t="s">
        <v>660</v>
      </c>
      <c r="G230" s="4" t="s">
        <v>287</v>
      </c>
      <c r="H230" s="4" t="s">
        <v>610</v>
      </c>
      <c r="I230" s="3">
        <v>3</v>
      </c>
      <c r="J230" s="29" t="str">
        <f t="shared" si="27"/>
        <v>0</v>
      </c>
      <c r="K230" s="54" t="str">
        <f t="shared" si="32"/>
        <v>0</v>
      </c>
      <c r="L230" s="69" t="str">
        <f t="shared" si="28"/>
        <v>0</v>
      </c>
      <c r="M230" s="74" t="str">
        <f t="shared" si="29"/>
        <v>0</v>
      </c>
      <c r="N230" s="29" t="str">
        <f t="shared" si="30"/>
        <v>0</v>
      </c>
      <c r="O230" s="61" t="str">
        <f t="shared" ca="1" si="34"/>
        <v>0</v>
      </c>
      <c r="P230" s="65" t="str">
        <f t="shared" si="35"/>
        <v>0</v>
      </c>
      <c r="Q230" s="46">
        <f t="shared" ca="1" si="33"/>
        <v>0</v>
      </c>
      <c r="R230" s="3" t="str">
        <f t="shared" ca="1" si="31"/>
        <v>ไม่ผ่าน</v>
      </c>
      <c r="S230" s="3" t="s">
        <v>28</v>
      </c>
      <c r="T230" s="32">
        <v>6310048131</v>
      </c>
      <c r="V230" s="36">
        <v>6610403116</v>
      </c>
      <c r="W230" s="36">
        <v>6311506210</v>
      </c>
      <c r="Y230" s="41">
        <f ca="1">IFERROR(__xludf.DUMMYFUNCTION("""COMPUTED_VALUE"""),6612236121)</f>
        <v>6612236121</v>
      </c>
      <c r="Z230" s="36">
        <v>6612314114</v>
      </c>
    </row>
    <row r="231" spans="1:26" ht="18" customHeight="1">
      <c r="A231" s="3">
        <v>229</v>
      </c>
      <c r="B231" s="3">
        <v>6310392102</v>
      </c>
      <c r="C231" s="4" t="s">
        <v>22</v>
      </c>
      <c r="D231" s="4" t="s">
        <v>661</v>
      </c>
      <c r="E231" s="4" t="s">
        <v>662</v>
      </c>
      <c r="F231" s="4" t="s">
        <v>663</v>
      </c>
      <c r="G231" s="4" t="s">
        <v>287</v>
      </c>
      <c r="H231" s="4" t="s">
        <v>610</v>
      </c>
      <c r="I231" s="3">
        <v>4</v>
      </c>
      <c r="J231" s="29" t="str">
        <f t="shared" si="27"/>
        <v>0</v>
      </c>
      <c r="K231" s="54" t="str">
        <f t="shared" si="32"/>
        <v>0</v>
      </c>
      <c r="L231" s="69" t="str">
        <f t="shared" si="28"/>
        <v>0</v>
      </c>
      <c r="M231" s="74" t="str">
        <f t="shared" si="29"/>
        <v>0</v>
      </c>
      <c r="N231" s="29" t="str">
        <f t="shared" si="30"/>
        <v>0</v>
      </c>
      <c r="O231" s="61">
        <v>1</v>
      </c>
      <c r="P231" s="65">
        <v>1</v>
      </c>
      <c r="Q231" s="46">
        <f t="shared" si="33"/>
        <v>2</v>
      </c>
      <c r="R231" s="3" t="str">
        <f t="shared" si="31"/>
        <v>ไม่ผ่าน</v>
      </c>
      <c r="S231" s="3" t="s">
        <v>28</v>
      </c>
      <c r="T231" s="32">
        <v>6610633202</v>
      </c>
      <c r="V231" s="36">
        <v>6310392217</v>
      </c>
      <c r="W231" s="36">
        <v>6311506117</v>
      </c>
      <c r="Y231" s="40">
        <f ca="1">IFERROR(__xludf.DUMMYFUNCTION("""COMPUTED_VALUE"""),6612236126)</f>
        <v>6612236126</v>
      </c>
      <c r="Z231" s="36">
        <v>6510392111</v>
      </c>
    </row>
    <row r="232" spans="1:26" ht="18" customHeight="1">
      <c r="A232" s="3">
        <v>230</v>
      </c>
      <c r="B232" s="3">
        <v>6310392103</v>
      </c>
      <c r="C232" s="4" t="s">
        <v>22</v>
      </c>
      <c r="D232" s="4" t="s">
        <v>664</v>
      </c>
      <c r="E232" s="4" t="s">
        <v>665</v>
      </c>
      <c r="F232" s="4" t="s">
        <v>666</v>
      </c>
      <c r="G232" s="4" t="s">
        <v>287</v>
      </c>
      <c r="H232" s="4" t="s">
        <v>610</v>
      </c>
      <c r="I232" s="3">
        <v>4</v>
      </c>
      <c r="J232" s="29" t="str">
        <f t="shared" si="27"/>
        <v>0</v>
      </c>
      <c r="K232" s="54" t="str">
        <f t="shared" si="32"/>
        <v>0</v>
      </c>
      <c r="L232" s="69" t="str">
        <f t="shared" si="28"/>
        <v>0</v>
      </c>
      <c r="M232" s="74" t="str">
        <f t="shared" si="29"/>
        <v>0</v>
      </c>
      <c r="N232" s="29" t="str">
        <f t="shared" si="30"/>
        <v>0</v>
      </c>
      <c r="O232" s="61">
        <v>1</v>
      </c>
      <c r="P232" s="65">
        <v>1</v>
      </c>
      <c r="Q232" s="46">
        <f t="shared" si="33"/>
        <v>2</v>
      </c>
      <c r="R232" s="3" t="str">
        <f t="shared" si="31"/>
        <v>ไม่ผ่าน</v>
      </c>
      <c r="S232" s="3" t="s">
        <v>28</v>
      </c>
      <c r="T232" s="32">
        <v>6310633123</v>
      </c>
      <c r="V232" s="36">
        <v>6415964122</v>
      </c>
      <c r="W232" s="36">
        <v>6610392121</v>
      </c>
      <c r="Y232" s="41">
        <f ca="1">IFERROR(__xludf.DUMMYFUNCTION("""COMPUTED_VALUE"""),6610068106)</f>
        <v>6610068106</v>
      </c>
      <c r="Z232" s="36">
        <v>6610633123</v>
      </c>
    </row>
    <row r="233" spans="1:26" ht="18" customHeight="1">
      <c r="A233" s="3">
        <v>231</v>
      </c>
      <c r="B233" s="3">
        <v>6310392104</v>
      </c>
      <c r="C233" s="4" t="s">
        <v>22</v>
      </c>
      <c r="D233" s="4" t="s">
        <v>667</v>
      </c>
      <c r="E233" s="4" t="s">
        <v>668</v>
      </c>
      <c r="F233" s="4" t="s">
        <v>669</v>
      </c>
      <c r="G233" s="4" t="s">
        <v>287</v>
      </c>
      <c r="H233" s="4" t="s">
        <v>610</v>
      </c>
      <c r="I233" s="3">
        <v>4</v>
      </c>
      <c r="J233" s="29" t="str">
        <f t="shared" si="27"/>
        <v>0</v>
      </c>
      <c r="K233" s="54" t="str">
        <f t="shared" si="32"/>
        <v>1</v>
      </c>
      <c r="L233" s="69" t="str">
        <f t="shared" si="28"/>
        <v>0</v>
      </c>
      <c r="M233" s="74" t="str">
        <f t="shared" si="29"/>
        <v>1</v>
      </c>
      <c r="N233" s="29" t="str">
        <f t="shared" si="30"/>
        <v>0</v>
      </c>
      <c r="O233" s="61">
        <v>1</v>
      </c>
      <c r="P233" s="65">
        <v>1</v>
      </c>
      <c r="Q233" s="46">
        <f t="shared" si="33"/>
        <v>4</v>
      </c>
      <c r="R233" s="83" t="str">
        <f t="shared" si="31"/>
        <v>ผ่าน</v>
      </c>
      <c r="S233" s="3" t="s">
        <v>28</v>
      </c>
      <c r="T233" s="32">
        <v>6310073102</v>
      </c>
      <c r="V233" s="36">
        <v>6415964119</v>
      </c>
      <c r="W233" s="36">
        <v>6610392126</v>
      </c>
      <c r="Y233" s="40">
        <f ca="1">IFERROR(__xludf.DUMMYFUNCTION("""COMPUTED_VALUE"""),6610068226)</f>
        <v>6610068226</v>
      </c>
      <c r="Z233" s="36">
        <v>6515964107</v>
      </c>
    </row>
    <row r="234" spans="1:26" ht="18" customHeight="1">
      <c r="A234" s="3">
        <v>232</v>
      </c>
      <c r="B234" s="3">
        <v>6310392203</v>
      </c>
      <c r="C234" s="4" t="s">
        <v>22</v>
      </c>
      <c r="D234" s="4" t="s">
        <v>670</v>
      </c>
      <c r="E234" s="4" t="s">
        <v>671</v>
      </c>
      <c r="F234" s="4" t="s">
        <v>672</v>
      </c>
      <c r="G234" s="4" t="s">
        <v>287</v>
      </c>
      <c r="H234" s="4" t="s">
        <v>610</v>
      </c>
      <c r="I234" s="3">
        <v>4</v>
      </c>
      <c r="J234" s="29" t="str">
        <f t="shared" si="27"/>
        <v>0</v>
      </c>
      <c r="K234" s="54" t="str">
        <f t="shared" si="32"/>
        <v>0</v>
      </c>
      <c r="L234" s="69" t="str">
        <f t="shared" si="28"/>
        <v>0</v>
      </c>
      <c r="M234" s="74" t="str">
        <f t="shared" si="29"/>
        <v>1</v>
      </c>
      <c r="N234" s="29" t="str">
        <f t="shared" si="30"/>
        <v>0</v>
      </c>
      <c r="O234" s="61">
        <v>1</v>
      </c>
      <c r="P234" s="65">
        <v>1</v>
      </c>
      <c r="Q234" s="46">
        <f t="shared" si="33"/>
        <v>3</v>
      </c>
      <c r="R234" s="83" t="str">
        <f t="shared" si="31"/>
        <v>ผ่าน</v>
      </c>
      <c r="S234" s="3" t="s">
        <v>28</v>
      </c>
      <c r="T234" s="32">
        <v>6410633203</v>
      </c>
      <c r="V234" s="36">
        <v>6410048242</v>
      </c>
      <c r="W234" s="36">
        <v>6412269118</v>
      </c>
      <c r="Y234" s="41">
        <f ca="1">IFERROR(__xludf.DUMMYFUNCTION("""COMPUTED_VALUE"""),6610488210)</f>
        <v>6610488210</v>
      </c>
      <c r="Z234" s="36">
        <v>6412743138</v>
      </c>
    </row>
    <row r="235" spans="1:26" ht="18" customHeight="1">
      <c r="A235" s="3">
        <v>233</v>
      </c>
      <c r="B235" s="3">
        <v>6310392217</v>
      </c>
      <c r="C235" s="4" t="s">
        <v>22</v>
      </c>
      <c r="D235" s="4" t="s">
        <v>673</v>
      </c>
      <c r="E235" s="4" t="s">
        <v>674</v>
      </c>
      <c r="F235" s="4" t="s">
        <v>675</v>
      </c>
      <c r="G235" s="4" t="s">
        <v>287</v>
      </c>
      <c r="H235" s="4" t="s">
        <v>610</v>
      </c>
      <c r="I235" s="3">
        <v>4</v>
      </c>
      <c r="J235" s="29" t="str">
        <f t="shared" si="27"/>
        <v>1</v>
      </c>
      <c r="K235" s="54" t="str">
        <f t="shared" si="32"/>
        <v>1</v>
      </c>
      <c r="L235" s="69" t="str">
        <f t="shared" si="28"/>
        <v>0</v>
      </c>
      <c r="M235" s="74" t="str">
        <f t="shared" si="29"/>
        <v>1</v>
      </c>
      <c r="N235" s="29" t="str">
        <f t="shared" si="30"/>
        <v>0</v>
      </c>
      <c r="O235" s="61">
        <v>1</v>
      </c>
      <c r="P235" s="65">
        <v>1</v>
      </c>
      <c r="Q235" s="46">
        <f t="shared" si="33"/>
        <v>5</v>
      </c>
      <c r="R235" s="83" t="str">
        <f t="shared" si="31"/>
        <v>ผ่าน</v>
      </c>
      <c r="S235" s="3" t="s">
        <v>28</v>
      </c>
      <c r="T235" s="32">
        <v>6515964105</v>
      </c>
      <c r="V235" s="36">
        <v>6410048108</v>
      </c>
      <c r="W235" s="36">
        <v>6612314114</v>
      </c>
      <c r="Y235" s="40">
        <f ca="1">IFERROR(__xludf.DUMMYFUNCTION("""COMPUTED_VALUE"""),6610488214)</f>
        <v>6610488214</v>
      </c>
      <c r="Z235" s="36">
        <v>6410073108</v>
      </c>
    </row>
    <row r="236" spans="1:26" ht="18" customHeight="1">
      <c r="A236" s="3">
        <v>234</v>
      </c>
      <c r="B236" s="3">
        <v>6310392108</v>
      </c>
      <c r="C236" s="4" t="s">
        <v>22</v>
      </c>
      <c r="D236" s="4" t="s">
        <v>676</v>
      </c>
      <c r="E236" s="4" t="s">
        <v>677</v>
      </c>
      <c r="F236" s="4" t="s">
        <v>588</v>
      </c>
      <c r="G236" s="4" t="s">
        <v>287</v>
      </c>
      <c r="H236" s="4" t="s">
        <v>610</v>
      </c>
      <c r="I236" s="3">
        <v>4</v>
      </c>
      <c r="J236" s="29" t="str">
        <f t="shared" si="27"/>
        <v>1</v>
      </c>
      <c r="K236" s="54" t="str">
        <f t="shared" si="32"/>
        <v>1</v>
      </c>
      <c r="L236" s="69" t="str">
        <f t="shared" si="28"/>
        <v>0</v>
      </c>
      <c r="M236" s="74" t="str">
        <f t="shared" si="29"/>
        <v>1</v>
      </c>
      <c r="N236" s="29" t="str">
        <f t="shared" si="30"/>
        <v>0</v>
      </c>
      <c r="O236" s="61">
        <v>1</v>
      </c>
      <c r="P236" s="65">
        <v>1</v>
      </c>
      <c r="Q236" s="46">
        <f t="shared" si="33"/>
        <v>5</v>
      </c>
      <c r="R236" s="83" t="str">
        <f t="shared" si="31"/>
        <v>ผ่าน</v>
      </c>
      <c r="S236" s="3" t="s">
        <v>28</v>
      </c>
      <c r="T236" s="32">
        <v>6411506220</v>
      </c>
      <c r="V236" s="36">
        <v>6310392108</v>
      </c>
      <c r="W236" s="36">
        <v>6310633126</v>
      </c>
      <c r="Y236" s="41">
        <f ca="1">IFERROR(__xludf.DUMMYFUNCTION("""COMPUTED_VALUE"""),6610488220)</f>
        <v>6610488220</v>
      </c>
      <c r="Z236" s="36">
        <v>6512247211</v>
      </c>
    </row>
    <row r="237" spans="1:26" ht="18" customHeight="1">
      <c r="A237" s="3">
        <v>235</v>
      </c>
      <c r="B237" s="3">
        <v>6610079102</v>
      </c>
      <c r="C237" s="4" t="s">
        <v>22</v>
      </c>
      <c r="D237" s="4" t="s">
        <v>678</v>
      </c>
      <c r="E237" s="4" t="s">
        <v>679</v>
      </c>
      <c r="F237" s="4" t="s">
        <v>680</v>
      </c>
      <c r="G237" s="4" t="s">
        <v>287</v>
      </c>
      <c r="H237" s="4" t="s">
        <v>681</v>
      </c>
      <c r="I237" s="3">
        <v>1</v>
      </c>
      <c r="J237" s="29" t="str">
        <f t="shared" si="27"/>
        <v>0</v>
      </c>
      <c r="K237" s="54">
        <v>1</v>
      </c>
      <c r="L237" s="69" t="str">
        <f t="shared" si="28"/>
        <v>0</v>
      </c>
      <c r="M237" s="74" t="str">
        <f t="shared" si="29"/>
        <v>1</v>
      </c>
      <c r="N237" s="29" t="str">
        <f t="shared" si="30"/>
        <v>0</v>
      </c>
      <c r="O237" s="61" t="str">
        <f t="shared" ca="1" si="34"/>
        <v>0</v>
      </c>
      <c r="P237" s="65" t="str">
        <f t="shared" si="35"/>
        <v>0</v>
      </c>
      <c r="Q237" s="46">
        <f t="shared" ca="1" si="33"/>
        <v>2</v>
      </c>
      <c r="R237" s="3" t="str">
        <f t="shared" ca="1" si="31"/>
        <v>ไม่ผ่าน</v>
      </c>
      <c r="S237" s="3" t="s">
        <v>28</v>
      </c>
      <c r="T237" s="32">
        <v>6312798208</v>
      </c>
      <c r="V237" s="36">
        <v>6412314107</v>
      </c>
      <c r="W237" s="36">
        <v>6515964112</v>
      </c>
      <c r="Y237" s="40">
        <f ca="1">IFERROR(__xludf.DUMMYFUNCTION("""COMPUTED_VALUE"""),6610414115)</f>
        <v>6610414115</v>
      </c>
      <c r="Z237" s="36">
        <v>6412743204</v>
      </c>
    </row>
    <row r="238" spans="1:26" ht="18" customHeight="1">
      <c r="A238" s="3">
        <v>236</v>
      </c>
      <c r="B238" s="3">
        <v>6610079113</v>
      </c>
      <c r="C238" s="4" t="s">
        <v>22</v>
      </c>
      <c r="D238" s="4" t="s">
        <v>682</v>
      </c>
      <c r="E238" s="4" t="s">
        <v>683</v>
      </c>
      <c r="F238" s="4" t="s">
        <v>684</v>
      </c>
      <c r="G238" s="4" t="s">
        <v>287</v>
      </c>
      <c r="H238" s="4" t="s">
        <v>681</v>
      </c>
      <c r="I238" s="3">
        <v>1</v>
      </c>
      <c r="J238" s="29" t="str">
        <f t="shared" si="27"/>
        <v>0</v>
      </c>
      <c r="K238" s="54">
        <v>1</v>
      </c>
      <c r="L238" s="69" t="str">
        <f t="shared" si="28"/>
        <v>0</v>
      </c>
      <c r="M238" s="74" t="str">
        <f t="shared" si="29"/>
        <v>1</v>
      </c>
      <c r="N238" s="29" t="str">
        <f t="shared" si="30"/>
        <v>0</v>
      </c>
      <c r="O238" s="61" t="str">
        <f t="shared" ca="1" si="34"/>
        <v>0</v>
      </c>
      <c r="P238" s="65" t="str">
        <f t="shared" si="35"/>
        <v>0</v>
      </c>
      <c r="Q238" s="46">
        <f t="shared" ca="1" si="33"/>
        <v>2</v>
      </c>
      <c r="R238" s="3" t="str">
        <f t="shared" ca="1" si="31"/>
        <v>ไม่ผ่าน</v>
      </c>
      <c r="S238" s="3" t="s">
        <v>28</v>
      </c>
      <c r="T238" s="32">
        <v>6610414128</v>
      </c>
      <c r="V238" s="36">
        <v>6412798116</v>
      </c>
      <c r="W238" s="36">
        <v>6310633124</v>
      </c>
      <c r="Y238" s="41">
        <f ca="1">IFERROR(__xludf.DUMMYFUNCTION("""COMPUTED_VALUE"""),6610414128)</f>
        <v>6610414128</v>
      </c>
      <c r="Z238" s="36">
        <v>6612798109</v>
      </c>
    </row>
    <row r="239" spans="1:26" ht="18" customHeight="1">
      <c r="A239" s="3">
        <v>237</v>
      </c>
      <c r="B239" s="3">
        <v>6510079209</v>
      </c>
      <c r="C239" s="4" t="s">
        <v>22</v>
      </c>
      <c r="D239" s="4" t="s">
        <v>685</v>
      </c>
      <c r="E239" s="4" t="s">
        <v>686</v>
      </c>
      <c r="F239" s="4" t="s">
        <v>687</v>
      </c>
      <c r="G239" s="4" t="s">
        <v>287</v>
      </c>
      <c r="H239" s="4" t="s">
        <v>681</v>
      </c>
      <c r="I239" s="3">
        <v>2</v>
      </c>
      <c r="J239" s="29" t="str">
        <f t="shared" si="27"/>
        <v>1</v>
      </c>
      <c r="K239" s="54" t="str">
        <f t="shared" si="32"/>
        <v>0</v>
      </c>
      <c r="L239" s="69" t="str">
        <f t="shared" si="28"/>
        <v>0</v>
      </c>
      <c r="M239" s="74" t="str">
        <f t="shared" si="29"/>
        <v>1</v>
      </c>
      <c r="N239" s="29" t="str">
        <f t="shared" si="30"/>
        <v>0</v>
      </c>
      <c r="O239" s="61" t="str">
        <f t="shared" ca="1" si="34"/>
        <v>0</v>
      </c>
      <c r="P239" s="65" t="str">
        <f t="shared" si="35"/>
        <v>1</v>
      </c>
      <c r="Q239" s="46">
        <f t="shared" ca="1" si="33"/>
        <v>3</v>
      </c>
      <c r="R239" s="83" t="str">
        <f t="shared" ca="1" si="31"/>
        <v>ผ่าน</v>
      </c>
      <c r="S239" s="3" t="s">
        <v>28</v>
      </c>
      <c r="T239" s="32">
        <v>6312213103</v>
      </c>
      <c r="V239" s="36">
        <v>6410083111</v>
      </c>
      <c r="W239" s="36">
        <v>6410488104</v>
      </c>
      <c r="Y239" s="40">
        <f ca="1">IFERROR(__xludf.DUMMYFUNCTION("""COMPUTED_VALUE"""),6610414201)</f>
        <v>6610414201</v>
      </c>
      <c r="Z239" s="36">
        <v>6410403230</v>
      </c>
    </row>
    <row r="240" spans="1:26" ht="18" customHeight="1">
      <c r="A240" s="3">
        <v>238</v>
      </c>
      <c r="B240" s="3">
        <v>6510079211</v>
      </c>
      <c r="C240" s="4" t="s">
        <v>22</v>
      </c>
      <c r="D240" s="4" t="s">
        <v>688</v>
      </c>
      <c r="E240" s="4" t="s">
        <v>689</v>
      </c>
      <c r="F240" s="4" t="s">
        <v>690</v>
      </c>
      <c r="G240" s="4" t="s">
        <v>287</v>
      </c>
      <c r="H240" s="4" t="s">
        <v>681</v>
      </c>
      <c r="I240" s="3">
        <v>2</v>
      </c>
      <c r="J240" s="29" t="str">
        <f t="shared" si="27"/>
        <v>1</v>
      </c>
      <c r="K240" s="54" t="str">
        <f t="shared" si="32"/>
        <v>1</v>
      </c>
      <c r="L240" s="69" t="str">
        <f t="shared" si="28"/>
        <v>0</v>
      </c>
      <c r="M240" s="74" t="str">
        <f t="shared" si="29"/>
        <v>1</v>
      </c>
      <c r="N240" s="29" t="str">
        <f t="shared" si="30"/>
        <v>0</v>
      </c>
      <c r="O240" s="61" t="str">
        <f t="shared" ca="1" si="34"/>
        <v>1</v>
      </c>
      <c r="P240" s="65" t="str">
        <f t="shared" si="35"/>
        <v>1</v>
      </c>
      <c r="Q240" s="46">
        <f t="shared" ca="1" si="33"/>
        <v>5</v>
      </c>
      <c r="R240" s="83" t="str">
        <f t="shared" ca="1" si="31"/>
        <v>ผ่าน</v>
      </c>
      <c r="S240" s="3" t="s">
        <v>28</v>
      </c>
      <c r="T240" s="32">
        <v>6310414120</v>
      </c>
      <c r="V240" s="36">
        <v>6610633107</v>
      </c>
      <c r="W240" s="36">
        <v>6512888117</v>
      </c>
      <c r="Y240" s="41">
        <f ca="1">IFERROR(__xludf.DUMMYFUNCTION("""COMPUTED_VALUE"""),6610414217)</f>
        <v>6610414217</v>
      </c>
      <c r="Z240" s="36">
        <v>6410403213</v>
      </c>
    </row>
    <row r="241" spans="1:26" ht="18" customHeight="1">
      <c r="A241" s="3">
        <v>239</v>
      </c>
      <c r="B241" s="3">
        <v>6410079101</v>
      </c>
      <c r="C241" s="4" t="s">
        <v>22</v>
      </c>
      <c r="D241" s="4" t="s">
        <v>691</v>
      </c>
      <c r="E241" s="4" t="s">
        <v>692</v>
      </c>
      <c r="F241" s="4" t="s">
        <v>693</v>
      </c>
      <c r="G241" s="4" t="s">
        <v>287</v>
      </c>
      <c r="H241" s="4" t="s">
        <v>681</v>
      </c>
      <c r="I241" s="3">
        <v>3</v>
      </c>
      <c r="J241" s="29" t="str">
        <f t="shared" si="27"/>
        <v>0</v>
      </c>
      <c r="K241" s="54" t="str">
        <f t="shared" si="32"/>
        <v>0</v>
      </c>
      <c r="L241" s="69" t="str">
        <f t="shared" si="28"/>
        <v>0</v>
      </c>
      <c r="M241" s="74" t="str">
        <f t="shared" si="29"/>
        <v>0</v>
      </c>
      <c r="N241" s="29" t="str">
        <f t="shared" si="30"/>
        <v>0</v>
      </c>
      <c r="O241" s="61" t="str">
        <f t="shared" ca="1" si="34"/>
        <v>0</v>
      </c>
      <c r="P241" s="65" t="str">
        <f t="shared" si="35"/>
        <v>0</v>
      </c>
      <c r="Q241" s="46">
        <f t="shared" ca="1" si="33"/>
        <v>0</v>
      </c>
      <c r="R241" s="3" t="str">
        <f t="shared" ca="1" si="31"/>
        <v>ไม่ผ่าน</v>
      </c>
      <c r="S241" s="3" t="s">
        <v>28</v>
      </c>
      <c r="T241" s="32">
        <v>6612721113</v>
      </c>
      <c r="V241" s="36">
        <v>6312743237</v>
      </c>
      <c r="W241" s="36">
        <v>6310488227</v>
      </c>
      <c r="Y241" s="40">
        <f ca="1">IFERROR(__xludf.DUMMYFUNCTION("""COMPUTED_VALUE"""),6610414229)</f>
        <v>6610414229</v>
      </c>
      <c r="Z241" s="36">
        <v>6510403209</v>
      </c>
    </row>
    <row r="242" spans="1:26" ht="18" customHeight="1">
      <c r="A242" s="3">
        <v>240</v>
      </c>
      <c r="B242" s="3">
        <v>6410079111</v>
      </c>
      <c r="C242" s="4" t="s">
        <v>22</v>
      </c>
      <c r="D242" s="4" t="s">
        <v>694</v>
      </c>
      <c r="E242" s="4" t="s">
        <v>695</v>
      </c>
      <c r="F242" s="4" t="s">
        <v>696</v>
      </c>
      <c r="G242" s="4" t="s">
        <v>287</v>
      </c>
      <c r="H242" s="4" t="s">
        <v>681</v>
      </c>
      <c r="I242" s="3">
        <v>3</v>
      </c>
      <c r="J242" s="29" t="str">
        <f t="shared" si="27"/>
        <v>0</v>
      </c>
      <c r="K242" s="54" t="str">
        <f t="shared" si="32"/>
        <v>0</v>
      </c>
      <c r="L242" s="69" t="str">
        <f t="shared" si="28"/>
        <v>0</v>
      </c>
      <c r="M242" s="74" t="str">
        <f t="shared" si="29"/>
        <v>0</v>
      </c>
      <c r="N242" s="29" t="str">
        <f t="shared" si="30"/>
        <v>0</v>
      </c>
      <c r="O242" s="61" t="str">
        <f t="shared" ca="1" si="34"/>
        <v>0</v>
      </c>
      <c r="P242" s="65" t="str">
        <f t="shared" si="35"/>
        <v>0</v>
      </c>
      <c r="Q242" s="46">
        <f t="shared" ca="1" si="33"/>
        <v>0</v>
      </c>
      <c r="R242" s="3" t="str">
        <f t="shared" ca="1" si="31"/>
        <v>ไม่ผ่าน</v>
      </c>
      <c r="S242" s="3" t="s">
        <v>28</v>
      </c>
      <c r="T242" s="32">
        <v>6612236212</v>
      </c>
      <c r="V242" s="36">
        <v>6310106203</v>
      </c>
      <c r="W242" s="36">
        <v>6410083111</v>
      </c>
      <c r="Y242" s="41">
        <f ca="1">IFERROR(__xludf.DUMMYFUNCTION("""COMPUTED_VALUE"""),6612798114)</f>
        <v>6612798114</v>
      </c>
      <c r="Z242" s="36">
        <v>6410059113</v>
      </c>
    </row>
    <row r="243" spans="1:26" ht="18" customHeight="1">
      <c r="A243" s="3">
        <v>241</v>
      </c>
      <c r="B243" s="3">
        <v>6410079122</v>
      </c>
      <c r="C243" s="4" t="s">
        <v>22</v>
      </c>
      <c r="D243" s="4" t="s">
        <v>547</v>
      </c>
      <c r="E243" s="4" t="s">
        <v>697</v>
      </c>
      <c r="F243" s="4" t="s">
        <v>698</v>
      </c>
      <c r="G243" s="4" t="s">
        <v>287</v>
      </c>
      <c r="H243" s="4" t="s">
        <v>681</v>
      </c>
      <c r="I243" s="3">
        <v>3</v>
      </c>
      <c r="J243" s="29" t="str">
        <f t="shared" si="27"/>
        <v>0</v>
      </c>
      <c r="K243" s="54">
        <v>1</v>
      </c>
      <c r="L243" s="69" t="str">
        <f t="shared" si="28"/>
        <v>0</v>
      </c>
      <c r="M243" s="74" t="str">
        <f t="shared" si="29"/>
        <v>1</v>
      </c>
      <c r="N243" s="29" t="str">
        <f t="shared" si="30"/>
        <v>0</v>
      </c>
      <c r="O243" s="61" t="str">
        <f t="shared" ca="1" si="34"/>
        <v>0</v>
      </c>
      <c r="P243" s="65" t="str">
        <f t="shared" si="35"/>
        <v>0</v>
      </c>
      <c r="Q243" s="46">
        <f t="shared" ca="1" si="33"/>
        <v>2</v>
      </c>
      <c r="R243" s="3" t="str">
        <f t="shared" ca="1" si="31"/>
        <v>ไม่ผ่าน</v>
      </c>
      <c r="S243" s="3" t="s">
        <v>28</v>
      </c>
      <c r="T243" s="32">
        <v>6315964127</v>
      </c>
      <c r="V243" s="36">
        <v>6310403317</v>
      </c>
      <c r="W243" s="36">
        <v>6412213103</v>
      </c>
      <c r="Y243" s="40">
        <f ca="1">IFERROR(__xludf.DUMMYFUNCTION("""COMPUTED_VALUE"""),6612798117)</f>
        <v>6612798117</v>
      </c>
      <c r="Z243" s="36">
        <v>6412798118</v>
      </c>
    </row>
    <row r="244" spans="1:26" ht="18" customHeight="1">
      <c r="A244" s="3">
        <v>242</v>
      </c>
      <c r="B244" s="3">
        <v>6410079210</v>
      </c>
      <c r="C244" s="4" t="s">
        <v>22</v>
      </c>
      <c r="D244" s="4" t="s">
        <v>699</v>
      </c>
      <c r="E244" s="4" t="s">
        <v>700</v>
      </c>
      <c r="F244" s="4" t="s">
        <v>701</v>
      </c>
      <c r="G244" s="4" t="s">
        <v>287</v>
      </c>
      <c r="H244" s="4" t="s">
        <v>681</v>
      </c>
      <c r="I244" s="3">
        <v>3</v>
      </c>
      <c r="J244" s="29" t="str">
        <f t="shared" si="27"/>
        <v>0</v>
      </c>
      <c r="K244" s="54" t="str">
        <f t="shared" si="32"/>
        <v>0</v>
      </c>
      <c r="L244" s="69" t="str">
        <f t="shared" si="28"/>
        <v>0</v>
      </c>
      <c r="M244" s="74" t="str">
        <f t="shared" si="29"/>
        <v>0</v>
      </c>
      <c r="N244" s="29" t="str">
        <f t="shared" si="30"/>
        <v>0</v>
      </c>
      <c r="O244" s="61" t="str">
        <f t="shared" ca="1" si="34"/>
        <v>0</v>
      </c>
      <c r="P244" s="65" t="str">
        <f t="shared" si="35"/>
        <v>0</v>
      </c>
      <c r="Q244" s="46">
        <f t="shared" ca="1" si="33"/>
        <v>0</v>
      </c>
      <c r="R244" s="3" t="str">
        <f t="shared" ca="1" si="31"/>
        <v>ไม่ผ่าน</v>
      </c>
      <c r="S244" s="3" t="s">
        <v>28</v>
      </c>
      <c r="T244" s="32">
        <v>6412743131</v>
      </c>
      <c r="V244" s="36">
        <v>6410488125</v>
      </c>
      <c r="W244" s="36">
        <v>6410403113</v>
      </c>
      <c r="Y244" s="41">
        <f ca="1">IFERROR(__xludf.DUMMYFUNCTION("""COMPUTED_VALUE"""),6612732121)</f>
        <v>6612732121</v>
      </c>
      <c r="Z244" s="36">
        <v>6412236113</v>
      </c>
    </row>
    <row r="245" spans="1:26" ht="18" customHeight="1">
      <c r="A245" s="3">
        <v>243</v>
      </c>
      <c r="B245" s="3">
        <v>6610068102</v>
      </c>
      <c r="C245" s="4" t="s">
        <v>22</v>
      </c>
      <c r="D245" s="4" t="s">
        <v>702</v>
      </c>
      <c r="E245" s="4" t="s">
        <v>703</v>
      </c>
      <c r="F245" s="4" t="s">
        <v>704</v>
      </c>
      <c r="G245" s="4" t="s">
        <v>287</v>
      </c>
      <c r="H245" s="4" t="s">
        <v>705</v>
      </c>
      <c r="I245" s="3">
        <v>1</v>
      </c>
      <c r="J245" s="29" t="str">
        <f t="shared" si="27"/>
        <v>1</v>
      </c>
      <c r="K245" s="54" t="str">
        <f t="shared" si="32"/>
        <v>0</v>
      </c>
      <c r="L245" s="69" t="str">
        <f t="shared" si="28"/>
        <v>1</v>
      </c>
      <c r="M245" s="74" t="str">
        <f t="shared" si="29"/>
        <v>0</v>
      </c>
      <c r="N245" s="29" t="str">
        <f t="shared" si="30"/>
        <v>1</v>
      </c>
      <c r="O245" s="61" t="str">
        <f t="shared" ca="1" si="34"/>
        <v>1</v>
      </c>
      <c r="P245" s="65" t="str">
        <f t="shared" si="35"/>
        <v>1</v>
      </c>
      <c r="Q245" s="46">
        <f t="shared" ca="1" si="33"/>
        <v>5</v>
      </c>
      <c r="R245" s="83" t="str">
        <f t="shared" ca="1" si="31"/>
        <v>ผ่าน</v>
      </c>
      <c r="S245" s="3" t="s">
        <v>28</v>
      </c>
      <c r="T245" s="32">
        <v>6510106101</v>
      </c>
      <c r="V245" s="36">
        <v>6512247108</v>
      </c>
      <c r="W245" s="36">
        <v>6410083110</v>
      </c>
      <c r="Y245" s="40">
        <f ca="1">IFERROR(__xludf.DUMMYFUNCTION("""COMPUTED_VALUE"""),6611506118)</f>
        <v>6611506118</v>
      </c>
      <c r="Z245" s="36">
        <v>6412798114</v>
      </c>
    </row>
    <row r="246" spans="1:26" ht="18" customHeight="1">
      <c r="A246" s="3">
        <v>244</v>
      </c>
      <c r="B246" s="3">
        <v>6610068106</v>
      </c>
      <c r="C246" s="4" t="s">
        <v>22</v>
      </c>
      <c r="D246" s="4" t="s">
        <v>706</v>
      </c>
      <c r="E246" s="4" t="s">
        <v>175</v>
      </c>
      <c r="F246" s="4" t="s">
        <v>707</v>
      </c>
      <c r="G246" s="4" t="s">
        <v>287</v>
      </c>
      <c r="H246" s="4" t="s">
        <v>705</v>
      </c>
      <c r="I246" s="3">
        <v>1</v>
      </c>
      <c r="J246" s="29" t="str">
        <f t="shared" si="27"/>
        <v>0</v>
      </c>
      <c r="K246" s="54" t="str">
        <f t="shared" si="32"/>
        <v>1</v>
      </c>
      <c r="L246" s="69" t="str">
        <f t="shared" si="28"/>
        <v>0</v>
      </c>
      <c r="M246" s="74" t="str">
        <f t="shared" si="29"/>
        <v>0</v>
      </c>
      <c r="N246" s="29" t="str">
        <f t="shared" si="30"/>
        <v>0</v>
      </c>
      <c r="O246" s="61" t="str">
        <f t="shared" ca="1" si="34"/>
        <v>1</v>
      </c>
      <c r="P246" s="65" t="str">
        <f t="shared" si="35"/>
        <v>0</v>
      </c>
      <c r="Q246" s="46">
        <f t="shared" ca="1" si="33"/>
        <v>2</v>
      </c>
      <c r="R246" s="3" t="str">
        <f t="shared" ca="1" si="31"/>
        <v>ไม่ผ่าน</v>
      </c>
      <c r="S246" s="3" t="s">
        <v>28</v>
      </c>
      <c r="T246" s="32">
        <v>6412798114</v>
      </c>
      <c r="V246" s="36">
        <v>6310403120</v>
      </c>
      <c r="W246" s="36">
        <v>6610083114</v>
      </c>
      <c r="Y246" s="41">
        <f ca="1">IFERROR(__xludf.DUMMYFUNCTION("""COMPUTED_VALUE"""),6610073118)</f>
        <v>6610073118</v>
      </c>
      <c r="Z246" s="36">
        <v>6412743149</v>
      </c>
    </row>
    <row r="247" spans="1:26" ht="18" customHeight="1">
      <c r="A247" s="3">
        <v>245</v>
      </c>
      <c r="B247" s="3">
        <v>6610068107</v>
      </c>
      <c r="C247" s="4" t="s">
        <v>22</v>
      </c>
      <c r="D247" s="4" t="s">
        <v>708</v>
      </c>
      <c r="E247" s="4" t="s">
        <v>709</v>
      </c>
      <c r="F247" s="4" t="s">
        <v>710</v>
      </c>
      <c r="G247" s="4" t="s">
        <v>287</v>
      </c>
      <c r="H247" s="4" t="s">
        <v>705</v>
      </c>
      <c r="I247" s="3">
        <v>1</v>
      </c>
      <c r="J247" s="29" t="str">
        <f t="shared" si="27"/>
        <v>0</v>
      </c>
      <c r="K247" s="54" t="str">
        <f t="shared" si="32"/>
        <v>0</v>
      </c>
      <c r="L247" s="69" t="str">
        <f t="shared" si="28"/>
        <v>0</v>
      </c>
      <c r="M247" s="74" t="str">
        <f t="shared" si="29"/>
        <v>1</v>
      </c>
      <c r="N247" s="29" t="str">
        <f t="shared" si="30"/>
        <v>0</v>
      </c>
      <c r="O247" s="61" t="str">
        <f t="shared" ca="1" si="34"/>
        <v>1</v>
      </c>
      <c r="P247" s="65" t="str">
        <f t="shared" si="35"/>
        <v>0</v>
      </c>
      <c r="Q247" s="46">
        <f t="shared" ca="1" si="33"/>
        <v>2</v>
      </c>
      <c r="R247" s="3" t="str">
        <f t="shared" ca="1" si="31"/>
        <v>ไม่ผ่าน</v>
      </c>
      <c r="S247" s="3" t="s">
        <v>28</v>
      </c>
      <c r="T247" s="32">
        <v>6410048144</v>
      </c>
      <c r="V247" s="36">
        <v>6412798104</v>
      </c>
      <c r="W247" s="36">
        <v>6515964125</v>
      </c>
      <c r="Y247" s="40">
        <f ca="1">IFERROR(__xludf.DUMMYFUNCTION("""COMPUTED_VALUE"""),6510403107)</f>
        <v>6510403107</v>
      </c>
      <c r="Z247" s="36">
        <v>6610488216</v>
      </c>
    </row>
    <row r="248" spans="1:26" ht="18" customHeight="1">
      <c r="A248" s="3">
        <v>246</v>
      </c>
      <c r="B248" s="3">
        <v>6610068113</v>
      </c>
      <c r="C248" s="4" t="s">
        <v>22</v>
      </c>
      <c r="D248" s="4" t="s">
        <v>711</v>
      </c>
      <c r="E248" s="4" t="s">
        <v>712</v>
      </c>
      <c r="F248" s="4" t="s">
        <v>270</v>
      </c>
      <c r="G248" s="4" t="s">
        <v>287</v>
      </c>
      <c r="H248" s="4" t="s">
        <v>705</v>
      </c>
      <c r="I248" s="3">
        <v>1</v>
      </c>
      <c r="J248" s="29" t="str">
        <f t="shared" si="27"/>
        <v>0</v>
      </c>
      <c r="K248" s="54" t="str">
        <f t="shared" si="32"/>
        <v>0</v>
      </c>
      <c r="L248" s="69" t="str">
        <f t="shared" si="28"/>
        <v>1</v>
      </c>
      <c r="M248" s="74" t="str">
        <f t="shared" si="29"/>
        <v>0</v>
      </c>
      <c r="N248" s="29" t="str">
        <f t="shared" si="30"/>
        <v>1</v>
      </c>
      <c r="O248" s="61" t="str">
        <f t="shared" ca="1" si="34"/>
        <v>1</v>
      </c>
      <c r="P248" s="65" t="str">
        <f t="shared" si="35"/>
        <v>1</v>
      </c>
      <c r="Q248" s="46">
        <f t="shared" ca="1" si="33"/>
        <v>4</v>
      </c>
      <c r="R248" s="83" t="str">
        <f t="shared" ca="1" si="31"/>
        <v>ผ่าน</v>
      </c>
      <c r="S248" s="3" t="s">
        <v>28</v>
      </c>
      <c r="T248" s="32">
        <v>6310414212</v>
      </c>
      <c r="V248" s="36">
        <v>6610068127</v>
      </c>
      <c r="W248" s="36">
        <v>6412213109</v>
      </c>
      <c r="Y248" s="41">
        <f ca="1">IFERROR(__xludf.DUMMYFUNCTION("""COMPUTED_VALUE"""),6510403126)</f>
        <v>6510403126</v>
      </c>
      <c r="Z248" s="36">
        <v>6515964109</v>
      </c>
    </row>
    <row r="249" spans="1:26" ht="18" customHeight="1">
      <c r="A249" s="3">
        <v>247</v>
      </c>
      <c r="B249" s="3">
        <v>6610068114</v>
      </c>
      <c r="C249" s="4" t="s">
        <v>22</v>
      </c>
      <c r="D249" s="4" t="s">
        <v>713</v>
      </c>
      <c r="E249" s="4" t="s">
        <v>714</v>
      </c>
      <c r="F249" s="4" t="s">
        <v>715</v>
      </c>
      <c r="G249" s="4" t="s">
        <v>287</v>
      </c>
      <c r="H249" s="4" t="s">
        <v>705</v>
      </c>
      <c r="I249" s="3">
        <v>1</v>
      </c>
      <c r="J249" s="29" t="str">
        <f t="shared" si="27"/>
        <v>0</v>
      </c>
      <c r="K249" s="54" t="str">
        <f t="shared" si="32"/>
        <v>1</v>
      </c>
      <c r="L249" s="69" t="str">
        <f t="shared" si="28"/>
        <v>0</v>
      </c>
      <c r="M249" s="74" t="str">
        <f t="shared" si="29"/>
        <v>0</v>
      </c>
      <c r="N249" s="29" t="str">
        <f t="shared" si="30"/>
        <v>0</v>
      </c>
      <c r="O249" s="61" t="str">
        <f t="shared" ca="1" si="34"/>
        <v>1</v>
      </c>
      <c r="P249" s="65" t="str">
        <f t="shared" si="35"/>
        <v>1</v>
      </c>
      <c r="Q249" s="46">
        <f t="shared" ca="1" si="33"/>
        <v>3</v>
      </c>
      <c r="R249" s="83" t="str">
        <f t="shared" ca="1" si="31"/>
        <v>ผ่าน</v>
      </c>
      <c r="S249" s="3" t="s">
        <v>28</v>
      </c>
      <c r="T249" s="32">
        <v>6612236126</v>
      </c>
      <c r="V249" s="36">
        <v>6510633120</v>
      </c>
      <c r="W249" s="36">
        <v>6412213115</v>
      </c>
      <c r="Y249" s="40">
        <f ca="1">IFERROR(__xludf.DUMMYFUNCTION("""COMPUTED_VALUE"""),6510403131)</f>
        <v>6510403131</v>
      </c>
      <c r="Z249" s="36">
        <v>6415964123</v>
      </c>
    </row>
    <row r="250" spans="1:26" ht="18" customHeight="1">
      <c r="A250" s="3">
        <v>248</v>
      </c>
      <c r="B250" s="3">
        <v>6610068127</v>
      </c>
      <c r="C250" s="4" t="s">
        <v>22</v>
      </c>
      <c r="D250" s="4" t="s">
        <v>716</v>
      </c>
      <c r="E250" s="4" t="s">
        <v>717</v>
      </c>
      <c r="F250" s="4" t="s">
        <v>718</v>
      </c>
      <c r="G250" s="4" t="s">
        <v>287</v>
      </c>
      <c r="H250" s="4" t="s">
        <v>705</v>
      </c>
      <c r="I250" s="3">
        <v>1</v>
      </c>
      <c r="J250" s="29" t="str">
        <f t="shared" si="27"/>
        <v>0</v>
      </c>
      <c r="K250" s="54" t="str">
        <f t="shared" si="32"/>
        <v>1</v>
      </c>
      <c r="L250" s="69" t="str">
        <f t="shared" si="28"/>
        <v>0</v>
      </c>
      <c r="M250" s="74" t="str">
        <f t="shared" si="29"/>
        <v>0</v>
      </c>
      <c r="N250" s="29" t="str">
        <f t="shared" si="30"/>
        <v>1</v>
      </c>
      <c r="O250" s="61" t="str">
        <f t="shared" ca="1" si="34"/>
        <v>0</v>
      </c>
      <c r="P250" s="65" t="str">
        <f t="shared" si="35"/>
        <v>1</v>
      </c>
      <c r="Q250" s="46">
        <f t="shared" ca="1" si="33"/>
        <v>3</v>
      </c>
      <c r="R250" s="83" t="str">
        <f t="shared" ca="1" si="31"/>
        <v>ผ่าน</v>
      </c>
      <c r="S250" s="3" t="s">
        <v>28</v>
      </c>
      <c r="T250" s="32">
        <v>6412798127</v>
      </c>
      <c r="V250" s="36">
        <v>6610488202</v>
      </c>
      <c r="W250" s="36">
        <v>6412213116</v>
      </c>
      <c r="Y250" s="41">
        <f ca="1">IFERROR(__xludf.DUMMYFUNCTION("""COMPUTED_VALUE"""),6510403207)</f>
        <v>6510403207</v>
      </c>
      <c r="Z250" s="36">
        <v>6510106120</v>
      </c>
    </row>
    <row r="251" spans="1:26" ht="18" customHeight="1">
      <c r="A251" s="3">
        <v>249</v>
      </c>
      <c r="B251" s="3">
        <v>6610068209</v>
      </c>
      <c r="C251" s="4" t="s">
        <v>22</v>
      </c>
      <c r="D251" s="4" t="s">
        <v>719</v>
      </c>
      <c r="E251" s="4" t="s">
        <v>720</v>
      </c>
      <c r="F251" s="4" t="s">
        <v>721</v>
      </c>
      <c r="G251" s="4" t="s">
        <v>287</v>
      </c>
      <c r="H251" s="4" t="s">
        <v>705</v>
      </c>
      <c r="I251" s="3">
        <v>1</v>
      </c>
      <c r="J251" s="29" t="str">
        <f t="shared" si="27"/>
        <v>0</v>
      </c>
      <c r="K251" s="54" t="str">
        <f t="shared" si="32"/>
        <v>0</v>
      </c>
      <c r="L251" s="69" t="str">
        <f t="shared" si="28"/>
        <v>0</v>
      </c>
      <c r="M251" s="74" t="str">
        <f t="shared" si="29"/>
        <v>0</v>
      </c>
      <c r="N251" s="29" t="str">
        <f t="shared" si="30"/>
        <v>0</v>
      </c>
      <c r="O251" s="61" t="str">
        <f t="shared" ca="1" si="34"/>
        <v>0</v>
      </c>
      <c r="P251" s="65" t="str">
        <f t="shared" si="35"/>
        <v>0</v>
      </c>
      <c r="Q251" s="46">
        <f t="shared" ca="1" si="33"/>
        <v>0</v>
      </c>
      <c r="R251" s="3" t="str">
        <f t="shared" ca="1" si="31"/>
        <v>ไม่ผ่าน</v>
      </c>
      <c r="S251" s="3" t="s">
        <v>28</v>
      </c>
      <c r="T251" s="32">
        <v>6312269112</v>
      </c>
      <c r="V251" s="36">
        <v>6511506128</v>
      </c>
      <c r="W251" s="36">
        <v>6412213114</v>
      </c>
      <c r="Y251" s="40">
        <f ca="1">IFERROR(__xludf.DUMMYFUNCTION("""COMPUTED_VALUE"""),6510403208)</f>
        <v>6510403208</v>
      </c>
      <c r="Z251" s="36">
        <v>6415964119</v>
      </c>
    </row>
    <row r="252" spans="1:26" ht="18" customHeight="1">
      <c r="A252" s="3">
        <v>250</v>
      </c>
      <c r="B252" s="3">
        <v>6610068224</v>
      </c>
      <c r="C252" s="4" t="s">
        <v>22</v>
      </c>
      <c r="D252" s="4" t="s">
        <v>385</v>
      </c>
      <c r="E252" s="4" t="s">
        <v>722</v>
      </c>
      <c r="F252" s="4" t="s">
        <v>383</v>
      </c>
      <c r="G252" s="4" t="s">
        <v>287</v>
      </c>
      <c r="H252" s="4" t="s">
        <v>705</v>
      </c>
      <c r="I252" s="3">
        <v>1</v>
      </c>
      <c r="J252" s="29" t="str">
        <f t="shared" si="27"/>
        <v>0</v>
      </c>
      <c r="K252" s="54" t="str">
        <f t="shared" si="32"/>
        <v>1</v>
      </c>
      <c r="L252" s="69" t="str">
        <f t="shared" si="28"/>
        <v>0</v>
      </c>
      <c r="M252" s="74" t="str">
        <f t="shared" si="29"/>
        <v>0</v>
      </c>
      <c r="N252" s="29" t="str">
        <f t="shared" si="30"/>
        <v>1</v>
      </c>
      <c r="O252" s="61" t="str">
        <f t="shared" ca="1" si="34"/>
        <v>1</v>
      </c>
      <c r="P252" s="65" t="str">
        <f t="shared" si="35"/>
        <v>1</v>
      </c>
      <c r="Q252" s="46">
        <f t="shared" ca="1" si="33"/>
        <v>4</v>
      </c>
      <c r="R252" s="83" t="str">
        <f t="shared" ca="1" si="31"/>
        <v>ผ่าน</v>
      </c>
      <c r="S252" s="3" t="s">
        <v>28</v>
      </c>
      <c r="T252" s="32">
        <v>6610392203</v>
      </c>
      <c r="V252" s="36">
        <v>6410083103</v>
      </c>
      <c r="W252" s="36">
        <v>6410073106</v>
      </c>
      <c r="Y252" s="41">
        <f ca="1">IFERROR(__xludf.DUMMYFUNCTION("""COMPUTED_VALUE"""),6510403209)</f>
        <v>6510403209</v>
      </c>
      <c r="Z252" s="36">
        <v>6510106114</v>
      </c>
    </row>
    <row r="253" spans="1:26" ht="18" customHeight="1">
      <c r="A253" s="3">
        <v>251</v>
      </c>
      <c r="B253" s="3">
        <v>6610068226</v>
      </c>
      <c r="C253" s="4" t="s">
        <v>22</v>
      </c>
      <c r="D253" s="4" t="s">
        <v>723</v>
      </c>
      <c r="E253" s="4" t="s">
        <v>724</v>
      </c>
      <c r="F253" s="4" t="s">
        <v>725</v>
      </c>
      <c r="G253" s="4" t="s">
        <v>287</v>
      </c>
      <c r="H253" s="4" t="s">
        <v>705</v>
      </c>
      <c r="I253" s="3">
        <v>1</v>
      </c>
      <c r="J253" s="29" t="str">
        <f t="shared" si="27"/>
        <v>0</v>
      </c>
      <c r="K253" s="54" t="str">
        <f t="shared" si="32"/>
        <v>1</v>
      </c>
      <c r="L253" s="69" t="str">
        <f t="shared" si="28"/>
        <v>0</v>
      </c>
      <c r="M253" s="74" t="str">
        <f t="shared" si="29"/>
        <v>1</v>
      </c>
      <c r="N253" s="29" t="str">
        <f t="shared" si="30"/>
        <v>0</v>
      </c>
      <c r="O253" s="61" t="str">
        <f t="shared" ca="1" si="34"/>
        <v>1</v>
      </c>
      <c r="P253" s="65" t="str">
        <f t="shared" si="35"/>
        <v>0</v>
      </c>
      <c r="Q253" s="46">
        <f t="shared" ca="1" si="33"/>
        <v>3</v>
      </c>
      <c r="R253" s="83" t="str">
        <f t="shared" ca="1" si="31"/>
        <v>ผ่าน</v>
      </c>
      <c r="S253" s="3" t="s">
        <v>28</v>
      </c>
      <c r="T253" s="32">
        <v>6412743142</v>
      </c>
      <c r="V253" s="36">
        <v>6511506128</v>
      </c>
      <c r="W253" s="36">
        <v>6410073126</v>
      </c>
      <c r="Y253" s="40">
        <f ca="1">IFERROR(__xludf.DUMMYFUNCTION("""COMPUTED_VALUE"""),6510403221)</f>
        <v>6510403221</v>
      </c>
      <c r="Z253" s="36">
        <v>6610414128</v>
      </c>
    </row>
    <row r="254" spans="1:26" ht="18" customHeight="1">
      <c r="A254" s="3">
        <v>252</v>
      </c>
      <c r="B254" s="3">
        <v>6410068203</v>
      </c>
      <c r="C254" s="4" t="s">
        <v>22</v>
      </c>
      <c r="D254" s="4" t="s">
        <v>726</v>
      </c>
      <c r="E254" s="4" t="s">
        <v>727</v>
      </c>
      <c r="F254" s="4" t="s">
        <v>728</v>
      </c>
      <c r="G254" s="4" t="s">
        <v>287</v>
      </c>
      <c r="H254" s="4" t="s">
        <v>705</v>
      </c>
      <c r="I254" s="3">
        <v>3</v>
      </c>
      <c r="J254" s="29" t="str">
        <f t="shared" si="27"/>
        <v>0</v>
      </c>
      <c r="K254" s="54">
        <v>1</v>
      </c>
      <c r="L254" s="69" t="str">
        <f t="shared" si="28"/>
        <v>0</v>
      </c>
      <c r="M254" s="74" t="str">
        <f t="shared" si="29"/>
        <v>0</v>
      </c>
      <c r="N254" s="29" t="str">
        <f t="shared" si="30"/>
        <v>0</v>
      </c>
      <c r="O254" s="61" t="str">
        <f t="shared" ca="1" si="34"/>
        <v>1</v>
      </c>
      <c r="P254" s="65" t="str">
        <f t="shared" si="35"/>
        <v>1</v>
      </c>
      <c r="Q254" s="46">
        <f t="shared" ca="1" si="33"/>
        <v>3</v>
      </c>
      <c r="R254" s="83" t="str">
        <f t="shared" ca="1" si="31"/>
        <v>ผ่าน</v>
      </c>
      <c r="S254" s="3" t="s">
        <v>28</v>
      </c>
      <c r="T254" s="32">
        <v>6310403303</v>
      </c>
      <c r="V254" s="36">
        <v>6310633132</v>
      </c>
      <c r="W254" s="36">
        <v>6510633120</v>
      </c>
      <c r="Y254" s="41">
        <f ca="1">IFERROR(__xludf.DUMMYFUNCTION("""COMPUTED_VALUE"""),6510207102)</f>
        <v>6510207102</v>
      </c>
      <c r="Z254" s="36">
        <v>6610068102</v>
      </c>
    </row>
    <row r="255" spans="1:26" ht="18" customHeight="1">
      <c r="A255" s="3">
        <v>253</v>
      </c>
      <c r="B255" s="3">
        <v>6410068205</v>
      </c>
      <c r="C255" s="4" t="s">
        <v>22</v>
      </c>
      <c r="D255" s="4" t="s">
        <v>729</v>
      </c>
      <c r="E255" s="4" t="s">
        <v>730</v>
      </c>
      <c r="F255" s="4" t="s">
        <v>731</v>
      </c>
      <c r="G255" s="4" t="s">
        <v>287</v>
      </c>
      <c r="H255" s="4" t="s">
        <v>705</v>
      </c>
      <c r="I255" s="3">
        <v>3</v>
      </c>
      <c r="J255" s="29" t="str">
        <f t="shared" si="27"/>
        <v>0</v>
      </c>
      <c r="K255" s="54">
        <v>1</v>
      </c>
      <c r="L255" s="69" t="str">
        <f t="shared" si="28"/>
        <v>0</v>
      </c>
      <c r="M255" s="74" t="str">
        <f t="shared" si="29"/>
        <v>0</v>
      </c>
      <c r="N255" s="29" t="str">
        <f t="shared" si="30"/>
        <v>0</v>
      </c>
      <c r="O255" s="61" t="str">
        <f t="shared" ca="1" si="34"/>
        <v>1</v>
      </c>
      <c r="P255" s="65" t="str">
        <f t="shared" si="35"/>
        <v>1</v>
      </c>
      <c r="Q255" s="46">
        <f t="shared" ca="1" si="33"/>
        <v>3</v>
      </c>
      <c r="R255" s="83" t="str">
        <f t="shared" ca="1" si="31"/>
        <v>ผ่าน</v>
      </c>
      <c r="S255" s="3" t="s">
        <v>28</v>
      </c>
      <c r="T255" s="32">
        <v>6510633108</v>
      </c>
      <c r="V255" s="36">
        <v>6511506221</v>
      </c>
      <c r="W255" s="36">
        <v>6412213110</v>
      </c>
      <c r="Y255" s="40">
        <f ca="1">IFERROR(__xludf.DUMMYFUNCTION("""COMPUTED_VALUE"""),6510207206)</f>
        <v>6510207206</v>
      </c>
      <c r="Z255" s="36">
        <v>6610392203</v>
      </c>
    </row>
    <row r="256" spans="1:26" ht="18" customHeight="1">
      <c r="A256" s="3">
        <v>254</v>
      </c>
      <c r="B256" s="3">
        <v>6410207103</v>
      </c>
      <c r="C256" s="4" t="s">
        <v>29</v>
      </c>
      <c r="D256" s="4" t="s">
        <v>732</v>
      </c>
      <c r="E256" s="4" t="s">
        <v>733</v>
      </c>
      <c r="F256" s="4" t="s">
        <v>734</v>
      </c>
      <c r="G256" s="4" t="s">
        <v>287</v>
      </c>
      <c r="H256" s="4" t="s">
        <v>735</v>
      </c>
      <c r="I256" s="3">
        <v>3</v>
      </c>
      <c r="J256" s="29" t="str">
        <f t="shared" si="27"/>
        <v>0</v>
      </c>
      <c r="K256" s="54">
        <v>1</v>
      </c>
      <c r="L256" s="69" t="str">
        <f t="shared" si="28"/>
        <v>0</v>
      </c>
      <c r="M256" s="74" t="str">
        <f t="shared" si="29"/>
        <v>0</v>
      </c>
      <c r="N256" s="29" t="str">
        <f t="shared" si="30"/>
        <v>0</v>
      </c>
      <c r="O256" s="61" t="str">
        <f t="shared" ca="1" si="34"/>
        <v>1</v>
      </c>
      <c r="P256" s="65" t="str">
        <f t="shared" si="35"/>
        <v>0</v>
      </c>
      <c r="Q256" s="46">
        <f t="shared" ca="1" si="33"/>
        <v>2</v>
      </c>
      <c r="R256" s="3" t="str">
        <f t="shared" ca="1" si="31"/>
        <v>ไม่ผ่าน</v>
      </c>
      <c r="S256" s="3" t="s">
        <v>28</v>
      </c>
      <c r="T256" s="32">
        <v>6612314114</v>
      </c>
      <c r="V256" s="36">
        <v>6311506121</v>
      </c>
      <c r="W256" s="36">
        <v>6412213113</v>
      </c>
      <c r="Y256" s="41">
        <f ca="1">IFERROR(__xludf.DUMMYFUNCTION("""COMPUTED_VALUE"""),6510633117)</f>
        <v>6510633117</v>
      </c>
      <c r="Z256" s="36">
        <v>6415964122</v>
      </c>
    </row>
    <row r="257" spans="1:26" ht="18" customHeight="1">
      <c r="A257" s="3">
        <v>255</v>
      </c>
      <c r="B257" s="3">
        <v>6512247108</v>
      </c>
      <c r="C257" s="4" t="s">
        <v>29</v>
      </c>
      <c r="D257" s="4" t="s">
        <v>736</v>
      </c>
      <c r="E257" s="4" t="s">
        <v>737</v>
      </c>
      <c r="F257" s="4" t="s">
        <v>738</v>
      </c>
      <c r="G257" s="4" t="s">
        <v>287</v>
      </c>
      <c r="H257" s="4" t="s">
        <v>739</v>
      </c>
      <c r="I257" s="3">
        <v>2</v>
      </c>
      <c r="J257" s="29" t="str">
        <f t="shared" si="27"/>
        <v>0</v>
      </c>
      <c r="K257" s="54" t="str">
        <f t="shared" si="32"/>
        <v>1</v>
      </c>
      <c r="L257" s="69" t="str">
        <f t="shared" si="28"/>
        <v>0</v>
      </c>
      <c r="M257" s="74" t="str">
        <f t="shared" si="29"/>
        <v>0</v>
      </c>
      <c r="N257" s="29" t="str">
        <f t="shared" si="30"/>
        <v>1</v>
      </c>
      <c r="O257" s="61" t="str">
        <f t="shared" ca="1" si="34"/>
        <v>1</v>
      </c>
      <c r="P257" s="65" t="str">
        <f t="shared" si="35"/>
        <v>1</v>
      </c>
      <c r="Q257" s="46">
        <f t="shared" ca="1" si="33"/>
        <v>4</v>
      </c>
      <c r="R257" s="83" t="str">
        <f t="shared" ca="1" si="31"/>
        <v>ผ่าน</v>
      </c>
      <c r="S257" s="3" t="s">
        <v>28</v>
      </c>
      <c r="T257" s="32">
        <v>6412269121</v>
      </c>
      <c r="V257" s="36">
        <v>6410488201</v>
      </c>
      <c r="W257" s="36">
        <v>6410414224</v>
      </c>
      <c r="Y257" s="40">
        <f ca="1">IFERROR(__xludf.DUMMYFUNCTION("""COMPUTED_VALUE"""),6510633118)</f>
        <v>6510633118</v>
      </c>
      <c r="Z257" s="36">
        <v>6610073113</v>
      </c>
    </row>
    <row r="258" spans="1:26" ht="18" customHeight="1">
      <c r="A258" s="3">
        <v>256</v>
      </c>
      <c r="B258" s="3">
        <v>6512247114</v>
      </c>
      <c r="C258" s="4" t="s">
        <v>29</v>
      </c>
      <c r="D258" s="4" t="s">
        <v>740</v>
      </c>
      <c r="E258" s="4" t="s">
        <v>741</v>
      </c>
      <c r="F258" s="4" t="s">
        <v>742</v>
      </c>
      <c r="G258" s="4" t="s">
        <v>287</v>
      </c>
      <c r="H258" s="4" t="s">
        <v>739</v>
      </c>
      <c r="I258" s="3">
        <v>2</v>
      </c>
      <c r="J258" s="29" t="str">
        <f t="shared" si="27"/>
        <v>1</v>
      </c>
      <c r="K258" s="54">
        <v>1</v>
      </c>
      <c r="L258" s="69" t="str">
        <f t="shared" si="28"/>
        <v>0</v>
      </c>
      <c r="M258" s="74" t="str">
        <f t="shared" si="29"/>
        <v>0</v>
      </c>
      <c r="N258" s="29" t="str">
        <f t="shared" si="30"/>
        <v>1</v>
      </c>
      <c r="O258" s="61" t="str">
        <f t="shared" ca="1" si="34"/>
        <v>1</v>
      </c>
      <c r="P258" s="65" t="str">
        <f t="shared" si="35"/>
        <v>1</v>
      </c>
      <c r="Q258" s="46">
        <f t="shared" ca="1" si="33"/>
        <v>5</v>
      </c>
      <c r="R258" s="83" t="str">
        <f t="shared" ca="1" si="31"/>
        <v>ผ่าน</v>
      </c>
      <c r="S258" s="3" t="s">
        <v>28</v>
      </c>
      <c r="T258" s="32">
        <v>6512798109</v>
      </c>
      <c r="V258" s="36">
        <v>6410048207</v>
      </c>
      <c r="W258" s="36">
        <v>6410414211</v>
      </c>
      <c r="Y258" s="41">
        <f ca="1">IFERROR(__xludf.DUMMYFUNCTION("""COMPUTED_VALUE"""),6510633130)</f>
        <v>6510633130</v>
      </c>
      <c r="Z258" s="36">
        <v>6510207102</v>
      </c>
    </row>
    <row r="259" spans="1:26" ht="18" customHeight="1">
      <c r="A259" s="3">
        <v>257</v>
      </c>
      <c r="B259" s="3">
        <v>6512247122</v>
      </c>
      <c r="C259" s="4" t="s">
        <v>29</v>
      </c>
      <c r="D259" s="4" t="s">
        <v>743</v>
      </c>
      <c r="E259" s="4" t="s">
        <v>744</v>
      </c>
      <c r="F259" s="4" t="s">
        <v>745</v>
      </c>
      <c r="G259" s="4" t="s">
        <v>287</v>
      </c>
      <c r="H259" s="4" t="s">
        <v>739</v>
      </c>
      <c r="I259" s="3">
        <v>2</v>
      </c>
      <c r="J259" s="29" t="str">
        <f t="shared" ref="J259:J322" si="36">IF(IFERROR(VLOOKUP(B259,DATA,1,FALSE),),"1","0")</f>
        <v>0</v>
      </c>
      <c r="K259" s="54" t="str">
        <f t="shared" ref="K259:K322" si="37">IF(IFERROR(VLOOKUP(B259,DATA8,1,FALSE),),"1","0")</f>
        <v>0</v>
      </c>
      <c r="L259" s="69" t="str">
        <f t="shared" ref="L259:L322" si="38">IF(IFERROR(VLOOKUP(B259,DATA7,1,FALSE),),"1","0")</f>
        <v>0</v>
      </c>
      <c r="M259" s="74" t="str">
        <f t="shared" ref="M259:M322" si="39">IF(IFERROR(VLOOKUP(B259,DATA9,1,FALSE),),"1","0")</f>
        <v>0</v>
      </c>
      <c r="N259" s="29" t="str">
        <f t="shared" ref="N259:N322" si="40">IF(IFERROR(VLOOKUP(B259,DATA10,1,FALSE),),"1","0")</f>
        <v>1</v>
      </c>
      <c r="O259" s="61" t="str">
        <f t="shared" ref="O259:O322" ca="1" si="41">IF(IFERROR(VLOOKUP(B259,DATA11,1,FALSE),),"1","0")</f>
        <v>0</v>
      </c>
      <c r="P259" s="65" t="str">
        <f t="shared" ref="P259:P322" si="42">IF(IFERROR(VLOOKUP(B259,DATA12,1,FALSE),),"1","0")</f>
        <v>1</v>
      </c>
      <c r="Q259" s="46">
        <f t="shared" ca="1" si="33"/>
        <v>2</v>
      </c>
      <c r="R259" s="84" t="s">
        <v>395</v>
      </c>
      <c r="S259" s="3" t="s">
        <v>28</v>
      </c>
      <c r="T259" s="32">
        <v>6410073119</v>
      </c>
      <c r="V259" s="36">
        <v>6511506224</v>
      </c>
      <c r="W259" s="36">
        <v>6510403130</v>
      </c>
      <c r="Y259" s="40">
        <f ca="1">IFERROR(__xludf.DUMMYFUNCTION("""COMPUTED_VALUE"""),6510633216)</f>
        <v>6510633216</v>
      </c>
      <c r="Z259" s="36">
        <v>6510106136</v>
      </c>
    </row>
    <row r="260" spans="1:26" ht="18" customHeight="1">
      <c r="A260" s="3">
        <v>258</v>
      </c>
      <c r="B260" s="3">
        <v>6512247127</v>
      </c>
      <c r="C260" s="4" t="s">
        <v>29</v>
      </c>
      <c r="D260" s="4" t="s">
        <v>746</v>
      </c>
      <c r="E260" s="4" t="s">
        <v>747</v>
      </c>
      <c r="F260" s="4" t="s">
        <v>242</v>
      </c>
      <c r="G260" s="4" t="s">
        <v>287</v>
      </c>
      <c r="H260" s="4" t="s">
        <v>739</v>
      </c>
      <c r="I260" s="3">
        <v>2</v>
      </c>
      <c r="J260" s="29" t="str">
        <f t="shared" si="36"/>
        <v>1</v>
      </c>
      <c r="K260" s="54">
        <v>1</v>
      </c>
      <c r="L260" s="69" t="str">
        <f t="shared" si="38"/>
        <v>0</v>
      </c>
      <c r="M260" s="74" t="str">
        <f t="shared" si="39"/>
        <v>0</v>
      </c>
      <c r="N260" s="29" t="str">
        <f t="shared" si="40"/>
        <v>1</v>
      </c>
      <c r="O260" s="61" t="str">
        <f t="shared" ca="1" si="41"/>
        <v>1</v>
      </c>
      <c r="P260" s="65" t="str">
        <f t="shared" si="42"/>
        <v>1</v>
      </c>
      <c r="Q260" s="46">
        <f t="shared" ref="Q260:Q323" ca="1" si="43">J260+K260+L260+M260+N260+O260+P260</f>
        <v>5</v>
      </c>
      <c r="R260" s="83" t="str">
        <f t="shared" ref="R259:R322" ca="1" si="44">IF(Q260&gt;=3,"ผ่าน",IF(Q260&lt;3,"ไม่ผ่าน"))</f>
        <v>ผ่าน</v>
      </c>
      <c r="S260" s="3" t="s">
        <v>28</v>
      </c>
      <c r="T260" s="32">
        <v>6515964112</v>
      </c>
      <c r="V260" s="36">
        <v>6310414122</v>
      </c>
      <c r="W260" s="36">
        <v>6510403221</v>
      </c>
      <c r="Y260" s="41">
        <f ca="1">IFERROR(__xludf.DUMMYFUNCTION("""COMPUTED_VALUE"""),6510079211)</f>
        <v>6510079211</v>
      </c>
      <c r="Z260" s="36">
        <v>6410048260</v>
      </c>
    </row>
    <row r="261" spans="1:26" ht="18" customHeight="1">
      <c r="A261" s="3">
        <v>259</v>
      </c>
      <c r="B261" s="3">
        <v>6512247130</v>
      </c>
      <c r="C261" s="4" t="s">
        <v>29</v>
      </c>
      <c r="D261" s="4" t="s">
        <v>748</v>
      </c>
      <c r="E261" s="4" t="s">
        <v>749</v>
      </c>
      <c r="F261" s="4" t="s">
        <v>750</v>
      </c>
      <c r="G261" s="4" t="s">
        <v>287</v>
      </c>
      <c r="H261" s="4" t="s">
        <v>739</v>
      </c>
      <c r="I261" s="3">
        <v>2</v>
      </c>
      <c r="J261" s="29" t="str">
        <f t="shared" si="36"/>
        <v>1</v>
      </c>
      <c r="K261" s="54">
        <v>1</v>
      </c>
      <c r="L261" s="69" t="str">
        <f t="shared" si="38"/>
        <v>0</v>
      </c>
      <c r="M261" s="74" t="str">
        <f t="shared" si="39"/>
        <v>0</v>
      </c>
      <c r="N261" s="29" t="str">
        <f t="shared" si="40"/>
        <v>1</v>
      </c>
      <c r="O261" s="61" t="str">
        <f t="shared" ca="1" si="41"/>
        <v>1</v>
      </c>
      <c r="P261" s="65" t="str">
        <f t="shared" si="42"/>
        <v>1</v>
      </c>
      <c r="Q261" s="46">
        <f t="shared" ca="1" si="43"/>
        <v>5</v>
      </c>
      <c r="R261" s="83" t="str">
        <f t="shared" ca="1" si="44"/>
        <v>ผ่าน</v>
      </c>
      <c r="S261" s="3" t="s">
        <v>28</v>
      </c>
      <c r="T261" s="32">
        <v>6510392215</v>
      </c>
      <c r="V261" s="36">
        <v>6511506217</v>
      </c>
      <c r="W261" s="36">
        <v>6410073109</v>
      </c>
      <c r="Y261" s="40">
        <f ca="1">IFERROR(__xludf.DUMMYFUNCTION("""COMPUTED_VALUE"""),6510488225)</f>
        <v>6510488225</v>
      </c>
      <c r="Z261" s="36">
        <v>6410048158</v>
      </c>
    </row>
    <row r="262" spans="1:26" ht="18" customHeight="1">
      <c r="A262" s="3">
        <v>260</v>
      </c>
      <c r="B262" s="3">
        <v>6512247211</v>
      </c>
      <c r="C262" s="4" t="s">
        <v>29</v>
      </c>
      <c r="D262" s="4" t="s">
        <v>751</v>
      </c>
      <c r="E262" s="4" t="s">
        <v>654</v>
      </c>
      <c r="F262" s="4" t="s">
        <v>752</v>
      </c>
      <c r="G262" s="4" t="s">
        <v>287</v>
      </c>
      <c r="H262" s="4" t="s">
        <v>739</v>
      </c>
      <c r="I262" s="3">
        <v>2</v>
      </c>
      <c r="J262" s="29" t="str">
        <f t="shared" si="36"/>
        <v>1</v>
      </c>
      <c r="K262" s="54" t="str">
        <f t="shared" si="37"/>
        <v>1</v>
      </c>
      <c r="L262" s="69" t="str">
        <f t="shared" si="38"/>
        <v>0</v>
      </c>
      <c r="M262" s="74" t="str">
        <f t="shared" si="39"/>
        <v>0</v>
      </c>
      <c r="N262" s="29" t="str">
        <f t="shared" si="40"/>
        <v>1</v>
      </c>
      <c r="O262" s="61" t="str">
        <f t="shared" ca="1" si="41"/>
        <v>0</v>
      </c>
      <c r="P262" s="65" t="str">
        <f t="shared" si="42"/>
        <v>1</v>
      </c>
      <c r="Q262" s="46">
        <f t="shared" ca="1" si="43"/>
        <v>4</v>
      </c>
      <c r="R262" s="83" t="str">
        <f t="shared" ca="1" si="44"/>
        <v>ผ่าน</v>
      </c>
      <c r="S262" s="3" t="s">
        <v>28</v>
      </c>
      <c r="T262" s="32">
        <v>6512743226</v>
      </c>
      <c r="V262" s="36">
        <v>6310414217</v>
      </c>
      <c r="W262" s="36">
        <v>6410488107</v>
      </c>
      <c r="Y262" s="41">
        <f ca="1">IFERROR(__xludf.DUMMYFUNCTION("""COMPUTED_VALUE"""),6512247108)</f>
        <v>6512247108</v>
      </c>
      <c r="Z262" s="36">
        <v>6410048162</v>
      </c>
    </row>
    <row r="263" spans="1:26" ht="18" customHeight="1">
      <c r="A263" s="3">
        <v>261</v>
      </c>
      <c r="B263" s="3">
        <v>6512247224</v>
      </c>
      <c r="C263" s="4" t="s">
        <v>29</v>
      </c>
      <c r="D263" s="4" t="s">
        <v>753</v>
      </c>
      <c r="E263" s="4" t="s">
        <v>754</v>
      </c>
      <c r="F263" s="4" t="s">
        <v>755</v>
      </c>
      <c r="G263" s="4" t="s">
        <v>287</v>
      </c>
      <c r="H263" s="4" t="s">
        <v>739</v>
      </c>
      <c r="I263" s="3">
        <v>2</v>
      </c>
      <c r="J263" s="29" t="str">
        <f t="shared" si="36"/>
        <v>1</v>
      </c>
      <c r="K263" s="54">
        <v>1</v>
      </c>
      <c r="L263" s="69" t="str">
        <f t="shared" si="38"/>
        <v>0</v>
      </c>
      <c r="M263" s="74" t="str">
        <f t="shared" si="39"/>
        <v>0</v>
      </c>
      <c r="N263" s="29" t="str">
        <f t="shared" si="40"/>
        <v>1</v>
      </c>
      <c r="O263" s="61" t="str">
        <f t="shared" ca="1" si="41"/>
        <v>1</v>
      </c>
      <c r="P263" s="65" t="str">
        <f t="shared" si="42"/>
        <v>1</v>
      </c>
      <c r="Q263" s="46">
        <f t="shared" ca="1" si="43"/>
        <v>5</v>
      </c>
      <c r="R263" s="83" t="str">
        <f t="shared" ca="1" si="44"/>
        <v>ผ่าน</v>
      </c>
      <c r="S263" s="3" t="s">
        <v>28</v>
      </c>
      <c r="T263" s="32">
        <v>6410083105</v>
      </c>
      <c r="V263" s="36">
        <v>6612314130</v>
      </c>
      <c r="W263" s="36">
        <v>6610633203</v>
      </c>
      <c r="Y263" s="40">
        <f ca="1">IFERROR(__xludf.DUMMYFUNCTION("""COMPUTED_VALUE"""),6512743224)</f>
        <v>6512743224</v>
      </c>
      <c r="Z263" s="36">
        <v>6612732121</v>
      </c>
    </row>
    <row r="264" spans="1:26" ht="18" customHeight="1">
      <c r="A264" s="3">
        <v>262</v>
      </c>
      <c r="B264" s="3">
        <v>6312247109</v>
      </c>
      <c r="C264" s="4" t="s">
        <v>29</v>
      </c>
      <c r="D264" s="4" t="s">
        <v>469</v>
      </c>
      <c r="E264" s="4" t="s">
        <v>321</v>
      </c>
      <c r="F264" s="4" t="s">
        <v>756</v>
      </c>
      <c r="G264" s="4" t="s">
        <v>287</v>
      </c>
      <c r="H264" s="4" t="s">
        <v>739</v>
      </c>
      <c r="I264" s="3">
        <v>4</v>
      </c>
      <c r="J264" s="29" t="str">
        <f t="shared" si="36"/>
        <v>1</v>
      </c>
      <c r="K264" s="54">
        <v>1</v>
      </c>
      <c r="L264" s="69" t="str">
        <f t="shared" si="38"/>
        <v>0</v>
      </c>
      <c r="M264" s="74" t="str">
        <f t="shared" si="39"/>
        <v>0</v>
      </c>
      <c r="N264" s="29" t="str">
        <f t="shared" si="40"/>
        <v>1</v>
      </c>
      <c r="O264" s="61">
        <v>1</v>
      </c>
      <c r="P264" s="65">
        <v>1</v>
      </c>
      <c r="Q264" s="46">
        <f t="shared" si="43"/>
        <v>5</v>
      </c>
      <c r="R264" s="83" t="str">
        <f t="shared" si="44"/>
        <v>ผ่าน</v>
      </c>
      <c r="S264" s="3" t="s">
        <v>28</v>
      </c>
      <c r="T264" s="32">
        <v>6410048156</v>
      </c>
      <c r="V264" s="36">
        <v>6510106114</v>
      </c>
      <c r="W264" s="36">
        <v>6610403121</v>
      </c>
      <c r="Y264" s="41">
        <f ca="1">IFERROR(__xludf.DUMMYFUNCTION("""COMPUTED_VALUE"""),6512743226)</f>
        <v>6512743226</v>
      </c>
      <c r="Z264" s="36">
        <v>6412269124</v>
      </c>
    </row>
    <row r="265" spans="1:26" ht="18" customHeight="1">
      <c r="A265" s="3">
        <v>263</v>
      </c>
      <c r="B265" s="3">
        <v>6312247122</v>
      </c>
      <c r="C265" s="4" t="s">
        <v>29</v>
      </c>
      <c r="D265" s="4" t="s">
        <v>246</v>
      </c>
      <c r="E265" s="4" t="s">
        <v>757</v>
      </c>
      <c r="F265" s="4" t="s">
        <v>104</v>
      </c>
      <c r="G265" s="4" t="s">
        <v>287</v>
      </c>
      <c r="H265" s="4" t="s">
        <v>739</v>
      </c>
      <c r="I265" s="3">
        <v>4</v>
      </c>
      <c r="J265" s="29" t="str">
        <f t="shared" si="36"/>
        <v>1</v>
      </c>
      <c r="K265" s="54">
        <v>1</v>
      </c>
      <c r="L265" s="69" t="str">
        <f t="shared" si="38"/>
        <v>0</v>
      </c>
      <c r="M265" s="74" t="str">
        <f t="shared" si="39"/>
        <v>0</v>
      </c>
      <c r="N265" s="29" t="str">
        <f t="shared" si="40"/>
        <v>1</v>
      </c>
      <c r="O265" s="61">
        <v>1</v>
      </c>
      <c r="P265" s="65">
        <v>1</v>
      </c>
      <c r="Q265" s="46">
        <f t="shared" si="43"/>
        <v>5</v>
      </c>
      <c r="R265" s="83" t="str">
        <f t="shared" si="44"/>
        <v>ผ่าน</v>
      </c>
      <c r="S265" s="3" t="s">
        <v>28</v>
      </c>
      <c r="T265" s="32">
        <v>6510633227</v>
      </c>
      <c r="V265" s="36">
        <v>6312236131</v>
      </c>
      <c r="W265" s="36">
        <v>6412743122</v>
      </c>
      <c r="Y265" s="40">
        <f ca="1">IFERROR(__xludf.DUMMYFUNCTION("""COMPUTED_VALUE"""),6510014102)</f>
        <v>6510014102</v>
      </c>
      <c r="Z265" s="36">
        <v>6410048262</v>
      </c>
    </row>
    <row r="266" spans="1:26" ht="18" customHeight="1">
      <c r="A266" s="3">
        <v>264</v>
      </c>
      <c r="B266" s="3">
        <v>6610488101</v>
      </c>
      <c r="C266" s="4" t="s">
        <v>22</v>
      </c>
      <c r="D266" s="4" t="s">
        <v>758</v>
      </c>
      <c r="E266" s="4" t="s">
        <v>759</v>
      </c>
      <c r="F266" s="4" t="s">
        <v>760</v>
      </c>
      <c r="G266" s="4" t="s">
        <v>287</v>
      </c>
      <c r="H266" s="4" t="s">
        <v>761</v>
      </c>
      <c r="I266" s="3">
        <v>1</v>
      </c>
      <c r="J266" s="29" t="str">
        <f t="shared" si="36"/>
        <v>1</v>
      </c>
      <c r="K266" s="54" t="str">
        <f t="shared" si="37"/>
        <v>0</v>
      </c>
      <c r="L266" s="69" t="str">
        <f t="shared" si="38"/>
        <v>0</v>
      </c>
      <c r="M266" s="74" t="str">
        <f t="shared" si="39"/>
        <v>0</v>
      </c>
      <c r="N266" s="29" t="str">
        <f t="shared" si="40"/>
        <v>0</v>
      </c>
      <c r="O266" s="61" t="str">
        <f t="shared" ca="1" si="41"/>
        <v>0</v>
      </c>
      <c r="P266" s="65" t="str">
        <f t="shared" si="42"/>
        <v>0</v>
      </c>
      <c r="Q266" s="46">
        <f t="shared" ca="1" si="43"/>
        <v>1</v>
      </c>
      <c r="R266" s="3" t="str">
        <f t="shared" ca="1" si="44"/>
        <v>ไม่ผ่าน</v>
      </c>
      <c r="S266" s="3" t="s">
        <v>28</v>
      </c>
      <c r="T266" s="32">
        <v>6610414115</v>
      </c>
      <c r="V266" s="36">
        <v>6312269134</v>
      </c>
      <c r="W266" s="36">
        <v>6412743131</v>
      </c>
      <c r="Y266" s="41">
        <f ca="1">IFERROR(__xludf.DUMMYFUNCTION("""COMPUTED_VALUE"""),6510014104)</f>
        <v>6510014104</v>
      </c>
      <c r="Z266" s="36">
        <v>6412269112</v>
      </c>
    </row>
    <row r="267" spans="1:26" ht="18" customHeight="1">
      <c r="A267" s="3">
        <v>265</v>
      </c>
      <c r="B267" s="3">
        <v>6610488109</v>
      </c>
      <c r="C267" s="4" t="s">
        <v>22</v>
      </c>
      <c r="D267" s="4" t="s">
        <v>762</v>
      </c>
      <c r="E267" s="4" t="s">
        <v>763</v>
      </c>
      <c r="F267" s="4" t="s">
        <v>764</v>
      </c>
      <c r="G267" s="4" t="s">
        <v>287</v>
      </c>
      <c r="H267" s="4" t="s">
        <v>761</v>
      </c>
      <c r="I267" s="3">
        <v>1</v>
      </c>
      <c r="J267" s="29" t="str">
        <f t="shared" si="36"/>
        <v>1</v>
      </c>
      <c r="K267" s="54" t="str">
        <f t="shared" si="37"/>
        <v>1</v>
      </c>
      <c r="L267" s="69" t="str">
        <f t="shared" si="38"/>
        <v>0</v>
      </c>
      <c r="M267" s="74" t="str">
        <f t="shared" si="39"/>
        <v>1</v>
      </c>
      <c r="N267" s="29" t="str">
        <f t="shared" si="40"/>
        <v>0</v>
      </c>
      <c r="O267" s="61" t="str">
        <f t="shared" ca="1" si="41"/>
        <v>0</v>
      </c>
      <c r="P267" s="65" t="str">
        <f t="shared" si="42"/>
        <v>1</v>
      </c>
      <c r="Q267" s="46">
        <f t="shared" ca="1" si="43"/>
        <v>4</v>
      </c>
      <c r="R267" s="83" t="str">
        <f t="shared" ca="1" si="44"/>
        <v>ผ่าน</v>
      </c>
      <c r="S267" s="3" t="s">
        <v>28</v>
      </c>
      <c r="T267" s="32">
        <v>6410095107</v>
      </c>
      <c r="V267" s="36">
        <v>6412798107</v>
      </c>
      <c r="W267" s="36">
        <v>6412743228</v>
      </c>
      <c r="Y267" s="40">
        <f ca="1">IFERROR(__xludf.DUMMYFUNCTION("""COMPUTED_VALUE"""),6510014106)</f>
        <v>6510014106</v>
      </c>
      <c r="Z267" s="36">
        <v>6310633114</v>
      </c>
    </row>
    <row r="268" spans="1:26" ht="18" customHeight="1">
      <c r="A268" s="3">
        <v>266</v>
      </c>
      <c r="B268" s="3">
        <v>6610488111</v>
      </c>
      <c r="C268" s="4" t="s">
        <v>22</v>
      </c>
      <c r="D268" s="4" t="s">
        <v>765</v>
      </c>
      <c r="E268" s="4" t="s">
        <v>766</v>
      </c>
      <c r="F268" s="4" t="s">
        <v>767</v>
      </c>
      <c r="G268" s="4" t="s">
        <v>287</v>
      </c>
      <c r="H268" s="4" t="s">
        <v>761</v>
      </c>
      <c r="I268" s="3">
        <v>1</v>
      </c>
      <c r="J268" s="29" t="str">
        <f t="shared" si="36"/>
        <v>0</v>
      </c>
      <c r="K268" s="54" t="str">
        <f t="shared" si="37"/>
        <v>0</v>
      </c>
      <c r="L268" s="69" t="str">
        <f t="shared" si="38"/>
        <v>0</v>
      </c>
      <c r="M268" s="74" t="str">
        <f t="shared" si="39"/>
        <v>1</v>
      </c>
      <c r="N268" s="29" t="str">
        <f t="shared" si="40"/>
        <v>0</v>
      </c>
      <c r="O268" s="61" t="str">
        <f t="shared" ca="1" si="41"/>
        <v>1</v>
      </c>
      <c r="P268" s="65" t="str">
        <f t="shared" si="42"/>
        <v>1</v>
      </c>
      <c r="Q268" s="46">
        <f t="shared" ca="1" si="43"/>
        <v>3</v>
      </c>
      <c r="R268" s="83" t="str">
        <f t="shared" ca="1" si="44"/>
        <v>ผ่าน</v>
      </c>
      <c r="S268" s="3" t="s">
        <v>28</v>
      </c>
      <c r="T268" s="32">
        <v>6310488122</v>
      </c>
      <c r="V268" s="36">
        <v>6410488106</v>
      </c>
      <c r="W268" s="36">
        <v>6410073112</v>
      </c>
      <c r="Y268" s="41">
        <f ca="1">IFERROR(__xludf.DUMMYFUNCTION("""COMPUTED_VALUE"""),6510014115)</f>
        <v>6510014115</v>
      </c>
      <c r="Z268" s="36">
        <v>6511506217</v>
      </c>
    </row>
    <row r="269" spans="1:26" ht="18" customHeight="1">
      <c r="A269" s="3">
        <v>267</v>
      </c>
      <c r="B269" s="3">
        <v>6610488114</v>
      </c>
      <c r="C269" s="4" t="s">
        <v>29</v>
      </c>
      <c r="D269" s="4" t="s">
        <v>768</v>
      </c>
      <c r="E269" s="4" t="s">
        <v>769</v>
      </c>
      <c r="F269" s="4" t="s">
        <v>770</v>
      </c>
      <c r="G269" s="4" t="s">
        <v>287</v>
      </c>
      <c r="H269" s="4" t="s">
        <v>761</v>
      </c>
      <c r="I269" s="3">
        <v>1</v>
      </c>
      <c r="J269" s="29" t="str">
        <f t="shared" si="36"/>
        <v>1</v>
      </c>
      <c r="K269" s="54" t="str">
        <f t="shared" si="37"/>
        <v>0</v>
      </c>
      <c r="L269" s="69" t="str">
        <f t="shared" si="38"/>
        <v>1</v>
      </c>
      <c r="M269" s="74" t="str">
        <f t="shared" si="39"/>
        <v>0</v>
      </c>
      <c r="N269" s="29" t="str">
        <f t="shared" si="40"/>
        <v>0</v>
      </c>
      <c r="O269" s="61" t="str">
        <f t="shared" ca="1" si="41"/>
        <v>0</v>
      </c>
      <c r="P269" s="65" t="str">
        <f t="shared" si="42"/>
        <v>1</v>
      </c>
      <c r="Q269" s="46">
        <f t="shared" ca="1" si="43"/>
        <v>3</v>
      </c>
      <c r="R269" s="83" t="str">
        <f t="shared" ca="1" si="44"/>
        <v>ผ่าน</v>
      </c>
      <c r="S269" s="3" t="s">
        <v>28</v>
      </c>
      <c r="T269" s="32">
        <v>6410073109</v>
      </c>
      <c r="V269" s="36">
        <v>6510106102</v>
      </c>
      <c r="W269" s="36">
        <v>6610392213</v>
      </c>
      <c r="Y269" s="40">
        <f ca="1">IFERROR(__xludf.DUMMYFUNCTION("""COMPUTED_VALUE"""),6510014116)</f>
        <v>6510014116</v>
      </c>
      <c r="Z269" s="36">
        <v>6511506224</v>
      </c>
    </row>
    <row r="270" spans="1:26" ht="18" customHeight="1">
      <c r="A270" s="3">
        <v>268</v>
      </c>
      <c r="B270" s="3">
        <v>6610488116</v>
      </c>
      <c r="C270" s="4" t="s">
        <v>29</v>
      </c>
      <c r="D270" s="4" t="s">
        <v>771</v>
      </c>
      <c r="E270" s="4" t="s">
        <v>772</v>
      </c>
      <c r="F270" s="4" t="s">
        <v>773</v>
      </c>
      <c r="G270" s="4" t="s">
        <v>287</v>
      </c>
      <c r="H270" s="4" t="s">
        <v>761</v>
      </c>
      <c r="I270" s="3">
        <v>1</v>
      </c>
      <c r="J270" s="29" t="str">
        <f t="shared" si="36"/>
        <v>1</v>
      </c>
      <c r="K270" s="54" t="str">
        <f t="shared" si="37"/>
        <v>1</v>
      </c>
      <c r="L270" s="69" t="str">
        <f t="shared" si="38"/>
        <v>0</v>
      </c>
      <c r="M270" s="74" t="str">
        <f t="shared" si="39"/>
        <v>0</v>
      </c>
      <c r="N270" s="29" t="str">
        <f t="shared" si="40"/>
        <v>1</v>
      </c>
      <c r="O270" s="61" t="str">
        <f t="shared" ca="1" si="41"/>
        <v>1</v>
      </c>
      <c r="P270" s="65" t="str">
        <f t="shared" si="42"/>
        <v>1</v>
      </c>
      <c r="Q270" s="46">
        <f t="shared" ca="1" si="43"/>
        <v>5</v>
      </c>
      <c r="R270" s="83" t="str">
        <f t="shared" ca="1" si="44"/>
        <v>ผ่าน</v>
      </c>
      <c r="S270" s="3" t="s">
        <v>28</v>
      </c>
      <c r="T270" s="32">
        <v>6510207102</v>
      </c>
      <c r="V270" s="36">
        <v>6610068114</v>
      </c>
      <c r="W270" s="36">
        <v>6610488111</v>
      </c>
      <c r="Y270" s="41">
        <f ca="1">IFERROR(__xludf.DUMMYFUNCTION("""COMPUTED_VALUE"""),6511506128)</f>
        <v>6511506128</v>
      </c>
      <c r="Z270" s="36">
        <v>6511506128</v>
      </c>
    </row>
    <row r="271" spans="1:26" ht="18" customHeight="1">
      <c r="A271" s="3">
        <v>269</v>
      </c>
      <c r="B271" s="3">
        <v>6610488117</v>
      </c>
      <c r="C271" s="4" t="s">
        <v>29</v>
      </c>
      <c r="D271" s="4" t="s">
        <v>774</v>
      </c>
      <c r="E271" s="4" t="s">
        <v>775</v>
      </c>
      <c r="F271" s="4" t="s">
        <v>776</v>
      </c>
      <c r="G271" s="4" t="s">
        <v>287</v>
      </c>
      <c r="H271" s="4" t="s">
        <v>761</v>
      </c>
      <c r="I271" s="3">
        <v>1</v>
      </c>
      <c r="J271" s="29" t="str">
        <f t="shared" si="36"/>
        <v>0</v>
      </c>
      <c r="K271" s="54">
        <v>1</v>
      </c>
      <c r="L271" s="69" t="str">
        <f t="shared" si="38"/>
        <v>1</v>
      </c>
      <c r="M271" s="74" t="str">
        <f t="shared" si="39"/>
        <v>0</v>
      </c>
      <c r="N271" s="29" t="str">
        <f t="shared" si="40"/>
        <v>0</v>
      </c>
      <c r="O271" s="61" t="str">
        <f t="shared" ca="1" si="41"/>
        <v>0</v>
      </c>
      <c r="P271" s="65" t="str">
        <f t="shared" si="42"/>
        <v>0</v>
      </c>
      <c r="Q271" s="46">
        <f t="shared" ca="1" si="43"/>
        <v>2</v>
      </c>
      <c r="R271" s="84" t="s">
        <v>395</v>
      </c>
      <c r="S271" s="3" t="s">
        <v>28</v>
      </c>
      <c r="T271" s="32">
        <v>6410073114</v>
      </c>
      <c r="V271" s="36">
        <v>6310633123</v>
      </c>
      <c r="W271" s="36">
        <v>6410488205</v>
      </c>
      <c r="Y271" s="40">
        <f ca="1">IFERROR(__xludf.DUMMYFUNCTION("""COMPUTED_VALUE"""),6511506221)</f>
        <v>6511506221</v>
      </c>
      <c r="Z271" s="36">
        <v>6412213110</v>
      </c>
    </row>
    <row r="272" spans="1:26" ht="18" customHeight="1">
      <c r="A272" s="3">
        <v>270</v>
      </c>
      <c r="B272" s="3">
        <v>6610488118</v>
      </c>
      <c r="C272" s="4" t="s">
        <v>29</v>
      </c>
      <c r="D272" s="4" t="s">
        <v>777</v>
      </c>
      <c r="E272" s="4" t="s">
        <v>778</v>
      </c>
      <c r="F272" s="4" t="s">
        <v>779</v>
      </c>
      <c r="G272" s="4" t="s">
        <v>287</v>
      </c>
      <c r="H272" s="4" t="s">
        <v>761</v>
      </c>
      <c r="I272" s="3">
        <v>1</v>
      </c>
      <c r="J272" s="29" t="str">
        <f t="shared" si="36"/>
        <v>1</v>
      </c>
      <c r="K272" s="54" t="str">
        <f t="shared" si="37"/>
        <v>1</v>
      </c>
      <c r="L272" s="69" t="str">
        <f t="shared" si="38"/>
        <v>0</v>
      </c>
      <c r="M272" s="74" t="str">
        <f t="shared" si="39"/>
        <v>0</v>
      </c>
      <c r="N272" s="29" t="str">
        <f t="shared" si="40"/>
        <v>1</v>
      </c>
      <c r="O272" s="61" t="str">
        <f t="shared" ca="1" si="41"/>
        <v>1</v>
      </c>
      <c r="P272" s="65" t="str">
        <f t="shared" si="42"/>
        <v>1</v>
      </c>
      <c r="Q272" s="46">
        <f t="shared" ca="1" si="43"/>
        <v>5</v>
      </c>
      <c r="R272" s="83" t="str">
        <f t="shared" ca="1" si="44"/>
        <v>ผ่าน</v>
      </c>
      <c r="S272" s="3" t="s">
        <v>28</v>
      </c>
      <c r="T272" s="32">
        <v>6412866227</v>
      </c>
      <c r="V272" s="36">
        <v>6310392104</v>
      </c>
      <c r="W272" s="36">
        <v>6510207102</v>
      </c>
      <c r="Y272" s="41">
        <f ca="1">IFERROR(__xludf.DUMMYFUNCTION("""COMPUTED_VALUE"""),6511506226)</f>
        <v>6511506226</v>
      </c>
      <c r="Z272" s="36">
        <v>6511506221</v>
      </c>
    </row>
    <row r="273" spans="1:26" ht="18" customHeight="1">
      <c r="A273" s="3">
        <v>271</v>
      </c>
      <c r="B273" s="3">
        <v>6610488125</v>
      </c>
      <c r="C273" s="4" t="s">
        <v>29</v>
      </c>
      <c r="D273" s="4" t="s">
        <v>780</v>
      </c>
      <c r="E273" s="4" t="s">
        <v>593</v>
      </c>
      <c r="F273" s="4" t="s">
        <v>781</v>
      </c>
      <c r="G273" s="4" t="s">
        <v>287</v>
      </c>
      <c r="H273" s="4" t="s">
        <v>761</v>
      </c>
      <c r="I273" s="3">
        <v>1</v>
      </c>
      <c r="J273" s="29" t="str">
        <f t="shared" si="36"/>
        <v>1</v>
      </c>
      <c r="K273" s="54" t="str">
        <f t="shared" si="37"/>
        <v>0</v>
      </c>
      <c r="L273" s="69" t="str">
        <f t="shared" si="38"/>
        <v>1</v>
      </c>
      <c r="M273" s="74" t="str">
        <f t="shared" si="39"/>
        <v>0</v>
      </c>
      <c r="N273" s="29" t="str">
        <f t="shared" si="40"/>
        <v>0</v>
      </c>
      <c r="O273" s="61" t="str">
        <f t="shared" ca="1" si="41"/>
        <v>1</v>
      </c>
      <c r="P273" s="65" t="str">
        <f t="shared" si="42"/>
        <v>0</v>
      </c>
      <c r="Q273" s="46">
        <f t="shared" ca="1" si="43"/>
        <v>3</v>
      </c>
      <c r="R273" s="83" t="str">
        <f t="shared" ca="1" si="44"/>
        <v>ผ่าน</v>
      </c>
      <c r="S273" s="3" t="s">
        <v>28</v>
      </c>
      <c r="T273" s="32">
        <v>6510633116</v>
      </c>
      <c r="V273" s="36">
        <v>6510633115</v>
      </c>
      <c r="W273" s="36">
        <v>6610392115</v>
      </c>
      <c r="Y273" s="40">
        <f ca="1">IFERROR(__xludf.DUMMYFUNCTION("""COMPUTED_VALUE"""),6412213103)</f>
        <v>6412213103</v>
      </c>
      <c r="Z273" s="36">
        <v>6410048242</v>
      </c>
    </row>
    <row r="274" spans="1:26" ht="18" customHeight="1">
      <c r="A274" s="3">
        <v>272</v>
      </c>
      <c r="B274" s="3">
        <v>6610488126</v>
      </c>
      <c r="C274" s="4" t="s">
        <v>29</v>
      </c>
      <c r="D274" s="4" t="s">
        <v>782</v>
      </c>
      <c r="E274" s="4" t="s">
        <v>783</v>
      </c>
      <c r="F274" s="4" t="s">
        <v>784</v>
      </c>
      <c r="G274" s="4" t="s">
        <v>287</v>
      </c>
      <c r="H274" s="4" t="s">
        <v>761</v>
      </c>
      <c r="I274" s="3">
        <v>1</v>
      </c>
      <c r="J274" s="29" t="str">
        <f t="shared" si="36"/>
        <v>1</v>
      </c>
      <c r="K274" s="54">
        <v>1</v>
      </c>
      <c r="L274" s="69" t="str">
        <f t="shared" si="38"/>
        <v>0</v>
      </c>
      <c r="M274" s="74" t="str">
        <f t="shared" si="39"/>
        <v>1</v>
      </c>
      <c r="N274" s="29" t="str">
        <f t="shared" si="40"/>
        <v>0</v>
      </c>
      <c r="O274" s="61" t="str">
        <f t="shared" ca="1" si="41"/>
        <v>1</v>
      </c>
      <c r="P274" s="65" t="str">
        <f t="shared" si="42"/>
        <v>1</v>
      </c>
      <c r="Q274" s="46">
        <f t="shared" ca="1" si="43"/>
        <v>5</v>
      </c>
      <c r="R274" s="83" t="str">
        <f t="shared" ca="1" si="44"/>
        <v>ผ่าน</v>
      </c>
      <c r="S274" s="3" t="s">
        <v>28</v>
      </c>
      <c r="T274" s="32">
        <v>6510633211</v>
      </c>
      <c r="V274" s="36">
        <v>6612258212</v>
      </c>
      <c r="W274" s="36">
        <v>6512798112</v>
      </c>
      <c r="Y274" s="41">
        <f ca="1">IFERROR(__xludf.DUMMYFUNCTION("""COMPUTED_VALUE"""),6412213109)</f>
        <v>6412213109</v>
      </c>
      <c r="Z274" s="36">
        <v>6610403124</v>
      </c>
    </row>
    <row r="275" spans="1:26" ht="18" customHeight="1">
      <c r="A275" s="3">
        <v>273</v>
      </c>
      <c r="B275" s="3">
        <v>6610488127</v>
      </c>
      <c r="C275" s="4" t="s">
        <v>29</v>
      </c>
      <c r="D275" s="4" t="s">
        <v>785</v>
      </c>
      <c r="E275" s="4" t="s">
        <v>786</v>
      </c>
      <c r="F275" s="4" t="s">
        <v>787</v>
      </c>
      <c r="G275" s="4" t="s">
        <v>287</v>
      </c>
      <c r="H275" s="4" t="s">
        <v>761</v>
      </c>
      <c r="I275" s="3">
        <v>1</v>
      </c>
      <c r="J275" s="29" t="str">
        <f t="shared" si="36"/>
        <v>1</v>
      </c>
      <c r="K275" s="54">
        <v>1</v>
      </c>
      <c r="L275" s="69" t="str">
        <f t="shared" si="38"/>
        <v>0</v>
      </c>
      <c r="M275" s="74" t="str">
        <f t="shared" si="39"/>
        <v>1</v>
      </c>
      <c r="N275" s="29" t="str">
        <f t="shared" si="40"/>
        <v>0</v>
      </c>
      <c r="O275" s="61" t="str">
        <f t="shared" ca="1" si="41"/>
        <v>1</v>
      </c>
      <c r="P275" s="65" t="str">
        <f t="shared" si="42"/>
        <v>0</v>
      </c>
      <c r="Q275" s="46">
        <f t="shared" ca="1" si="43"/>
        <v>4</v>
      </c>
      <c r="R275" s="83" t="str">
        <f t="shared" ca="1" si="44"/>
        <v>ผ่าน</v>
      </c>
      <c r="S275" s="3" t="s">
        <v>28</v>
      </c>
      <c r="T275" s="32">
        <v>6310106114</v>
      </c>
      <c r="V275" s="36">
        <v>6510106101</v>
      </c>
      <c r="W275" s="36">
        <v>6510106101</v>
      </c>
      <c r="Y275" s="40">
        <f ca="1">IFERROR(__xludf.DUMMYFUNCTION("""COMPUTED_VALUE"""),6412213110)</f>
        <v>6412213110</v>
      </c>
      <c r="Z275" s="36">
        <v>6410048161</v>
      </c>
    </row>
    <row r="276" spans="1:26" ht="18" customHeight="1">
      <c r="A276" s="3">
        <v>274</v>
      </c>
      <c r="B276" s="3">
        <v>6610488129</v>
      </c>
      <c r="C276" s="4" t="s">
        <v>29</v>
      </c>
      <c r="D276" s="4" t="s">
        <v>788</v>
      </c>
      <c r="E276" s="4" t="s">
        <v>789</v>
      </c>
      <c r="F276" s="4" t="s">
        <v>216</v>
      </c>
      <c r="G276" s="4" t="s">
        <v>287</v>
      </c>
      <c r="H276" s="4" t="s">
        <v>761</v>
      </c>
      <c r="I276" s="3">
        <v>1</v>
      </c>
      <c r="J276" s="29" t="str">
        <f t="shared" si="36"/>
        <v>1</v>
      </c>
      <c r="K276" s="54" t="str">
        <f t="shared" si="37"/>
        <v>1</v>
      </c>
      <c r="L276" s="69" t="str">
        <f t="shared" si="38"/>
        <v>0</v>
      </c>
      <c r="M276" s="74" t="str">
        <f t="shared" si="39"/>
        <v>1</v>
      </c>
      <c r="N276" s="29" t="str">
        <f t="shared" si="40"/>
        <v>0</v>
      </c>
      <c r="O276" s="61" t="str">
        <f t="shared" ca="1" si="41"/>
        <v>1</v>
      </c>
      <c r="P276" s="65" t="str">
        <f t="shared" si="42"/>
        <v>0</v>
      </c>
      <c r="Q276" s="46">
        <f t="shared" ca="1" si="43"/>
        <v>4</v>
      </c>
      <c r="R276" s="83" t="str">
        <f t="shared" ca="1" si="44"/>
        <v>ผ่าน</v>
      </c>
      <c r="S276" s="3" t="s">
        <v>28</v>
      </c>
      <c r="T276" s="32">
        <v>6610414221</v>
      </c>
      <c r="V276" s="36">
        <v>6410083110</v>
      </c>
      <c r="W276" s="36">
        <v>6412269106</v>
      </c>
      <c r="Y276" s="41">
        <f ca="1">IFERROR(__xludf.DUMMYFUNCTION("""COMPUTED_VALUE"""),6412213113)</f>
        <v>6412213113</v>
      </c>
      <c r="Z276" s="36">
        <v>6412213109</v>
      </c>
    </row>
    <row r="277" spans="1:26" ht="18" customHeight="1">
      <c r="A277" s="3">
        <v>275</v>
      </c>
      <c r="B277" s="3">
        <v>6610488202</v>
      </c>
      <c r="C277" s="4" t="s">
        <v>22</v>
      </c>
      <c r="D277" s="4" t="s">
        <v>790</v>
      </c>
      <c r="E277" s="4" t="s">
        <v>791</v>
      </c>
      <c r="F277" s="4" t="s">
        <v>792</v>
      </c>
      <c r="G277" s="4" t="s">
        <v>287</v>
      </c>
      <c r="H277" s="4" t="s">
        <v>761</v>
      </c>
      <c r="I277" s="3">
        <v>1</v>
      </c>
      <c r="J277" s="29" t="str">
        <f t="shared" si="36"/>
        <v>1</v>
      </c>
      <c r="K277" s="54" t="str">
        <f t="shared" si="37"/>
        <v>1</v>
      </c>
      <c r="L277" s="69" t="str">
        <f t="shared" si="38"/>
        <v>0</v>
      </c>
      <c r="M277" s="74" t="str">
        <f t="shared" si="39"/>
        <v>0</v>
      </c>
      <c r="N277" s="29" t="str">
        <f t="shared" si="40"/>
        <v>0</v>
      </c>
      <c r="O277" s="61" t="str">
        <f t="shared" ca="1" si="41"/>
        <v>0</v>
      </c>
      <c r="P277" s="65" t="str">
        <f t="shared" si="42"/>
        <v>0</v>
      </c>
      <c r="Q277" s="46">
        <f t="shared" ca="1" si="43"/>
        <v>2</v>
      </c>
      <c r="R277" s="3" t="str">
        <f t="shared" ca="1" si="44"/>
        <v>ไม่ผ่าน</v>
      </c>
      <c r="S277" s="3" t="s">
        <v>28</v>
      </c>
      <c r="T277" s="32">
        <v>6411506219</v>
      </c>
      <c r="V277" s="36">
        <v>6410048160</v>
      </c>
      <c r="W277" s="36">
        <v>6612314130</v>
      </c>
      <c r="Y277" s="40">
        <f ca="1">IFERROR(__xludf.DUMMYFUNCTION("""COMPUTED_VALUE"""),6412213114)</f>
        <v>6412213114</v>
      </c>
      <c r="Z277" s="36">
        <v>6412743133</v>
      </c>
    </row>
    <row r="278" spans="1:26" ht="18" customHeight="1">
      <c r="A278" s="3">
        <v>276</v>
      </c>
      <c r="B278" s="3">
        <v>6610488210</v>
      </c>
      <c r="C278" s="4" t="s">
        <v>22</v>
      </c>
      <c r="D278" s="4" t="s">
        <v>793</v>
      </c>
      <c r="E278" s="4" t="s">
        <v>794</v>
      </c>
      <c r="F278" s="4" t="s">
        <v>795</v>
      </c>
      <c r="G278" s="4" t="s">
        <v>287</v>
      </c>
      <c r="H278" s="4" t="s">
        <v>761</v>
      </c>
      <c r="I278" s="3">
        <v>1</v>
      </c>
      <c r="J278" s="29" t="str">
        <f t="shared" si="36"/>
        <v>1</v>
      </c>
      <c r="K278" s="54" t="str">
        <f t="shared" si="37"/>
        <v>1</v>
      </c>
      <c r="L278" s="69" t="str">
        <f t="shared" si="38"/>
        <v>0</v>
      </c>
      <c r="M278" s="74" t="str">
        <f t="shared" si="39"/>
        <v>0</v>
      </c>
      <c r="N278" s="29" t="str">
        <f t="shared" si="40"/>
        <v>1</v>
      </c>
      <c r="O278" s="61" t="str">
        <f t="shared" ca="1" si="41"/>
        <v>1</v>
      </c>
      <c r="P278" s="65" t="str">
        <f t="shared" si="42"/>
        <v>1</v>
      </c>
      <c r="Q278" s="46">
        <f t="shared" ca="1" si="43"/>
        <v>5</v>
      </c>
      <c r="R278" s="83" t="str">
        <f t="shared" ca="1" si="44"/>
        <v>ผ่าน</v>
      </c>
      <c r="S278" s="3" t="s">
        <v>28</v>
      </c>
      <c r="T278" s="32">
        <v>6610633123</v>
      </c>
      <c r="V278" s="36">
        <v>6610073113</v>
      </c>
      <c r="W278" s="36">
        <v>6510106102</v>
      </c>
      <c r="Y278" s="41">
        <f ca="1">IFERROR(__xludf.DUMMYFUNCTION("""COMPUTED_VALUE"""),6412213115)</f>
        <v>6412213115</v>
      </c>
      <c r="Z278" s="36">
        <v>6412314107</v>
      </c>
    </row>
    <row r="279" spans="1:26" ht="18" customHeight="1">
      <c r="A279" s="3">
        <v>277</v>
      </c>
      <c r="B279" s="3">
        <v>6610488214</v>
      </c>
      <c r="C279" s="4" t="s">
        <v>29</v>
      </c>
      <c r="D279" s="4" t="s">
        <v>165</v>
      </c>
      <c r="E279" s="4" t="s">
        <v>796</v>
      </c>
      <c r="F279" s="4" t="s">
        <v>797</v>
      </c>
      <c r="G279" s="4" t="s">
        <v>287</v>
      </c>
      <c r="H279" s="4" t="s">
        <v>761</v>
      </c>
      <c r="I279" s="3">
        <v>1</v>
      </c>
      <c r="J279" s="29" t="str">
        <f t="shared" si="36"/>
        <v>1</v>
      </c>
      <c r="K279" s="54" t="str">
        <f t="shared" si="37"/>
        <v>0</v>
      </c>
      <c r="L279" s="69" t="str">
        <f t="shared" si="38"/>
        <v>1</v>
      </c>
      <c r="M279" s="74" t="str">
        <f t="shared" si="39"/>
        <v>0</v>
      </c>
      <c r="N279" s="29" t="str">
        <f t="shared" si="40"/>
        <v>0</v>
      </c>
      <c r="O279" s="61" t="str">
        <f t="shared" ca="1" si="41"/>
        <v>1</v>
      </c>
      <c r="P279" s="65" t="str">
        <f t="shared" si="42"/>
        <v>1</v>
      </c>
      <c r="Q279" s="46">
        <f t="shared" ca="1" si="43"/>
        <v>4</v>
      </c>
      <c r="R279" s="83" t="str">
        <f t="shared" ca="1" si="44"/>
        <v>ผ่าน</v>
      </c>
      <c r="S279" s="3" t="s">
        <v>28</v>
      </c>
      <c r="T279" s="32">
        <v>6412866222</v>
      </c>
      <c r="V279" s="36">
        <v>6512888223</v>
      </c>
      <c r="W279" s="36">
        <v>6412798123</v>
      </c>
      <c r="Y279" s="40">
        <f ca="1">IFERROR(__xludf.DUMMYFUNCTION("""COMPUTED_VALUE"""),6412213116)</f>
        <v>6412213116</v>
      </c>
      <c r="Z279" s="36">
        <v>6412743229</v>
      </c>
    </row>
    <row r="280" spans="1:26" ht="18" customHeight="1">
      <c r="A280" s="3">
        <v>278</v>
      </c>
      <c r="B280" s="3">
        <v>6610488216</v>
      </c>
      <c r="C280" s="4" t="s">
        <v>29</v>
      </c>
      <c r="D280" s="4" t="s">
        <v>798</v>
      </c>
      <c r="E280" s="4" t="s">
        <v>799</v>
      </c>
      <c r="F280" s="4" t="s">
        <v>124</v>
      </c>
      <c r="G280" s="4" t="s">
        <v>287</v>
      </c>
      <c r="H280" s="4" t="s">
        <v>761</v>
      </c>
      <c r="I280" s="3">
        <v>1</v>
      </c>
      <c r="J280" s="29" t="str">
        <f t="shared" si="36"/>
        <v>1</v>
      </c>
      <c r="K280" s="54" t="str">
        <f t="shared" si="37"/>
        <v>0</v>
      </c>
      <c r="L280" s="69" t="str">
        <f t="shared" si="38"/>
        <v>1</v>
      </c>
      <c r="M280" s="74" t="str">
        <f t="shared" si="39"/>
        <v>0</v>
      </c>
      <c r="N280" s="29" t="str">
        <f t="shared" si="40"/>
        <v>0</v>
      </c>
      <c r="O280" s="61" t="str">
        <f t="shared" ca="1" si="41"/>
        <v>0</v>
      </c>
      <c r="P280" s="65" t="str">
        <f t="shared" si="42"/>
        <v>1</v>
      </c>
      <c r="Q280" s="46">
        <f t="shared" ca="1" si="43"/>
        <v>3</v>
      </c>
      <c r="R280" s="83" t="str">
        <f t="shared" ca="1" si="44"/>
        <v>ผ่าน</v>
      </c>
      <c r="S280" s="3" t="s">
        <v>28</v>
      </c>
      <c r="T280" s="32">
        <v>6412269118</v>
      </c>
      <c r="V280" s="36">
        <v>6510633130</v>
      </c>
      <c r="W280" s="36">
        <v>6612258203</v>
      </c>
      <c r="Y280" s="41">
        <f ca="1">IFERROR(__xludf.DUMMYFUNCTION("""COMPUTED_VALUE"""),6412314102)</f>
        <v>6412314102</v>
      </c>
      <c r="Z280" s="36">
        <v>6412269125</v>
      </c>
    </row>
    <row r="281" spans="1:26" ht="18" customHeight="1">
      <c r="A281" s="3">
        <v>279</v>
      </c>
      <c r="B281" s="3">
        <v>6610488220</v>
      </c>
      <c r="C281" s="4" t="s">
        <v>29</v>
      </c>
      <c r="D281" s="4" t="s">
        <v>800</v>
      </c>
      <c r="E281" s="4" t="s">
        <v>801</v>
      </c>
      <c r="F281" s="4" t="s">
        <v>170</v>
      </c>
      <c r="G281" s="4" t="s">
        <v>287</v>
      </c>
      <c r="H281" s="4" t="s">
        <v>761</v>
      </c>
      <c r="I281" s="3">
        <v>1</v>
      </c>
      <c r="J281" s="29" t="str">
        <f t="shared" si="36"/>
        <v>1</v>
      </c>
      <c r="K281" s="54" t="str">
        <f t="shared" si="37"/>
        <v>0</v>
      </c>
      <c r="L281" s="69" t="str">
        <f t="shared" si="38"/>
        <v>0</v>
      </c>
      <c r="M281" s="74" t="str">
        <f t="shared" si="39"/>
        <v>0</v>
      </c>
      <c r="N281" s="29" t="str">
        <f t="shared" si="40"/>
        <v>1</v>
      </c>
      <c r="O281" s="61" t="str">
        <f t="shared" ca="1" si="41"/>
        <v>1</v>
      </c>
      <c r="P281" s="65" t="str">
        <f t="shared" si="42"/>
        <v>0</v>
      </c>
      <c r="Q281" s="46">
        <f t="shared" ca="1" si="43"/>
        <v>3</v>
      </c>
      <c r="R281" s="83" t="str">
        <f t="shared" ca="1" si="44"/>
        <v>ผ่าน</v>
      </c>
      <c r="S281" s="3" t="s">
        <v>28</v>
      </c>
      <c r="T281" s="32">
        <v>6312269134</v>
      </c>
      <c r="V281" s="36">
        <v>6310633232</v>
      </c>
      <c r="W281" s="36">
        <v>6610073115</v>
      </c>
      <c r="Y281" s="40">
        <f ca="1">IFERROR(__xludf.DUMMYFUNCTION("""COMPUTED_VALUE"""),6412314105)</f>
        <v>6412314105</v>
      </c>
      <c r="Z281" s="36">
        <v>6511506115</v>
      </c>
    </row>
    <row r="282" spans="1:26" ht="18" customHeight="1">
      <c r="A282" s="3">
        <v>280</v>
      </c>
      <c r="B282" s="3">
        <v>6610488221</v>
      </c>
      <c r="C282" s="4" t="s">
        <v>29</v>
      </c>
      <c r="D282" s="4" t="s">
        <v>802</v>
      </c>
      <c r="E282" s="4" t="s">
        <v>803</v>
      </c>
      <c r="F282" s="4" t="s">
        <v>804</v>
      </c>
      <c r="G282" s="4" t="s">
        <v>287</v>
      </c>
      <c r="H282" s="4" t="s">
        <v>761</v>
      </c>
      <c r="I282" s="3">
        <v>1</v>
      </c>
      <c r="J282" s="29" t="str">
        <f t="shared" si="36"/>
        <v>0</v>
      </c>
      <c r="K282" s="54" t="str">
        <f t="shared" si="37"/>
        <v>0</v>
      </c>
      <c r="L282" s="69" t="str">
        <f t="shared" si="38"/>
        <v>0</v>
      </c>
      <c r="M282" s="74" t="str">
        <f t="shared" si="39"/>
        <v>0</v>
      </c>
      <c r="N282" s="29" t="str">
        <f t="shared" si="40"/>
        <v>0</v>
      </c>
      <c r="O282" s="61" t="str">
        <f t="shared" ca="1" si="41"/>
        <v>0</v>
      </c>
      <c r="P282" s="65" t="str">
        <f t="shared" si="42"/>
        <v>0</v>
      </c>
      <c r="Q282" s="46">
        <f t="shared" ca="1" si="43"/>
        <v>0</v>
      </c>
      <c r="R282" s="3" t="str">
        <f t="shared" ca="1" si="44"/>
        <v>ไม่ผ่าน</v>
      </c>
      <c r="S282" s="3" t="s">
        <v>28</v>
      </c>
      <c r="T282" s="32">
        <v>6310414217</v>
      </c>
      <c r="V282" s="36">
        <v>6510014106</v>
      </c>
      <c r="W282" s="36">
        <v>6410414122</v>
      </c>
      <c r="Y282" s="41">
        <f ca="1">IFERROR(__xludf.DUMMYFUNCTION("""COMPUTED_VALUE"""),6410094115)</f>
        <v>6410094115</v>
      </c>
      <c r="Z282" s="36">
        <v>6412213103</v>
      </c>
    </row>
    <row r="283" spans="1:26" ht="18" customHeight="1">
      <c r="A283" s="3">
        <v>281</v>
      </c>
      <c r="B283" s="3">
        <v>6610488225</v>
      </c>
      <c r="C283" s="4" t="s">
        <v>29</v>
      </c>
      <c r="D283" s="4" t="s">
        <v>805</v>
      </c>
      <c r="E283" s="4" t="s">
        <v>806</v>
      </c>
      <c r="F283" s="4" t="s">
        <v>807</v>
      </c>
      <c r="G283" s="4" t="s">
        <v>287</v>
      </c>
      <c r="H283" s="4" t="s">
        <v>761</v>
      </c>
      <c r="I283" s="3">
        <v>1</v>
      </c>
      <c r="J283" s="29" t="str">
        <f t="shared" si="36"/>
        <v>1</v>
      </c>
      <c r="K283" s="54" t="str">
        <f t="shared" si="37"/>
        <v>1</v>
      </c>
      <c r="L283" s="69" t="str">
        <f t="shared" si="38"/>
        <v>0</v>
      </c>
      <c r="M283" s="74" t="str">
        <f t="shared" si="39"/>
        <v>0</v>
      </c>
      <c r="N283" s="29" t="str">
        <f t="shared" si="40"/>
        <v>1</v>
      </c>
      <c r="O283" s="61" t="str">
        <f t="shared" ca="1" si="41"/>
        <v>0</v>
      </c>
      <c r="P283" s="65" t="str">
        <f t="shared" si="42"/>
        <v>1</v>
      </c>
      <c r="Q283" s="46">
        <f t="shared" ca="1" si="43"/>
        <v>4</v>
      </c>
      <c r="R283" s="83" t="str">
        <f t="shared" ca="1" si="44"/>
        <v>ผ่าน</v>
      </c>
      <c r="S283" s="3" t="s">
        <v>28</v>
      </c>
      <c r="T283" s="32">
        <v>6410488107</v>
      </c>
      <c r="V283" s="36">
        <v>6612798102</v>
      </c>
      <c r="W283" s="36">
        <v>6412743202</v>
      </c>
      <c r="Y283" s="40">
        <f ca="1">IFERROR(__xludf.DUMMYFUNCTION("""COMPUTED_VALUE"""),6410403204)</f>
        <v>6410403204</v>
      </c>
      <c r="Z283" s="36">
        <v>6410392105</v>
      </c>
    </row>
    <row r="284" spans="1:26" ht="18" customHeight="1">
      <c r="A284" s="3">
        <v>282</v>
      </c>
      <c r="B284" s="3">
        <v>6510488103</v>
      </c>
      <c r="C284" s="4" t="s">
        <v>22</v>
      </c>
      <c r="D284" s="4" t="s">
        <v>808</v>
      </c>
      <c r="E284" s="4" t="s">
        <v>809</v>
      </c>
      <c r="F284" s="4" t="s">
        <v>810</v>
      </c>
      <c r="G284" s="4" t="s">
        <v>287</v>
      </c>
      <c r="H284" s="4" t="s">
        <v>761</v>
      </c>
      <c r="I284" s="3">
        <v>2</v>
      </c>
      <c r="J284" s="29" t="str">
        <f t="shared" si="36"/>
        <v>0</v>
      </c>
      <c r="K284" s="54" t="str">
        <f t="shared" si="37"/>
        <v>0</v>
      </c>
      <c r="L284" s="69" t="str">
        <f t="shared" si="38"/>
        <v>0</v>
      </c>
      <c r="M284" s="74" t="str">
        <f t="shared" si="39"/>
        <v>0</v>
      </c>
      <c r="N284" s="29" t="str">
        <f t="shared" si="40"/>
        <v>0</v>
      </c>
      <c r="O284" s="61" t="str">
        <f t="shared" ca="1" si="41"/>
        <v>0</v>
      </c>
      <c r="P284" s="65" t="str">
        <f t="shared" si="42"/>
        <v>1</v>
      </c>
      <c r="Q284" s="46">
        <f t="shared" ca="1" si="43"/>
        <v>1</v>
      </c>
      <c r="R284" s="3" t="str">
        <f t="shared" ca="1" si="44"/>
        <v>ไม่ผ่าน</v>
      </c>
      <c r="S284" s="3" t="s">
        <v>28</v>
      </c>
      <c r="T284" s="32">
        <v>6410048160</v>
      </c>
      <c r="V284" s="36">
        <v>6612798118</v>
      </c>
      <c r="W284" s="36">
        <v>6412743239</v>
      </c>
      <c r="Y284" s="41">
        <f ca="1">IFERROR(__xludf.DUMMYFUNCTION("""COMPUTED_VALUE"""),6410403228)</f>
        <v>6410403228</v>
      </c>
      <c r="Z284" s="36">
        <v>6612236224</v>
      </c>
    </row>
    <row r="285" spans="1:26" ht="18" customHeight="1">
      <c r="A285" s="3">
        <v>283</v>
      </c>
      <c r="B285" s="3">
        <v>6510488106</v>
      </c>
      <c r="C285" s="4" t="s">
        <v>22</v>
      </c>
      <c r="D285" s="4" t="s">
        <v>811</v>
      </c>
      <c r="E285" s="4" t="s">
        <v>209</v>
      </c>
      <c r="F285" s="4" t="s">
        <v>812</v>
      </c>
      <c r="G285" s="4" t="s">
        <v>287</v>
      </c>
      <c r="H285" s="4" t="s">
        <v>761</v>
      </c>
      <c r="I285" s="3">
        <v>2</v>
      </c>
      <c r="J285" s="29" t="str">
        <f t="shared" si="36"/>
        <v>1</v>
      </c>
      <c r="K285" s="54">
        <v>1</v>
      </c>
      <c r="L285" s="69" t="str">
        <f t="shared" si="38"/>
        <v>0</v>
      </c>
      <c r="M285" s="74" t="str">
        <f t="shared" si="39"/>
        <v>0</v>
      </c>
      <c r="N285" s="29" t="str">
        <f t="shared" si="40"/>
        <v>1</v>
      </c>
      <c r="O285" s="61" t="str">
        <f t="shared" ca="1" si="41"/>
        <v>0</v>
      </c>
      <c r="P285" s="65" t="str">
        <f t="shared" si="42"/>
        <v>1</v>
      </c>
      <c r="Q285" s="46">
        <f t="shared" ca="1" si="43"/>
        <v>4</v>
      </c>
      <c r="R285" s="83" t="str">
        <f t="shared" ca="1" si="44"/>
        <v>ผ่าน</v>
      </c>
      <c r="S285" s="3" t="s">
        <v>28</v>
      </c>
      <c r="T285" s="32">
        <v>6612258212</v>
      </c>
      <c r="V285" s="36">
        <v>6412236223</v>
      </c>
      <c r="W285" s="36">
        <v>6510014116</v>
      </c>
      <c r="Y285" s="40">
        <f ca="1">IFERROR(__xludf.DUMMYFUNCTION("""COMPUTED_VALUE"""),6410207103)</f>
        <v>6410207103</v>
      </c>
      <c r="Z285" s="36">
        <v>6410048157</v>
      </c>
    </row>
    <row r="286" spans="1:26" ht="18" customHeight="1">
      <c r="A286" s="3">
        <v>284</v>
      </c>
      <c r="B286" s="3">
        <v>6510488204</v>
      </c>
      <c r="C286" s="4" t="s">
        <v>22</v>
      </c>
      <c r="D286" s="4" t="s">
        <v>813</v>
      </c>
      <c r="E286" s="4" t="s">
        <v>814</v>
      </c>
      <c r="F286" s="4" t="s">
        <v>609</v>
      </c>
      <c r="G286" s="4" t="s">
        <v>287</v>
      </c>
      <c r="H286" s="4" t="s">
        <v>761</v>
      </c>
      <c r="I286" s="3">
        <v>2</v>
      </c>
      <c r="J286" s="29" t="str">
        <f t="shared" si="36"/>
        <v>1</v>
      </c>
      <c r="K286" s="54" t="str">
        <f t="shared" si="37"/>
        <v>0</v>
      </c>
      <c r="L286" s="69" t="str">
        <f t="shared" si="38"/>
        <v>0</v>
      </c>
      <c r="M286" s="74" t="str">
        <f t="shared" si="39"/>
        <v>1</v>
      </c>
      <c r="N286" s="29" t="str">
        <f t="shared" si="40"/>
        <v>0</v>
      </c>
      <c r="O286" s="61" t="str">
        <f t="shared" ca="1" si="41"/>
        <v>1</v>
      </c>
      <c r="P286" s="65" t="str">
        <f t="shared" si="42"/>
        <v>1</v>
      </c>
      <c r="Q286" s="46">
        <f t="shared" ca="1" si="43"/>
        <v>4</v>
      </c>
      <c r="R286" s="83" t="str">
        <f t="shared" ca="1" si="44"/>
        <v>ผ่าน</v>
      </c>
      <c r="S286" s="3" t="s">
        <v>28</v>
      </c>
      <c r="T286" s="32">
        <v>6411506228</v>
      </c>
      <c r="V286" s="36">
        <v>6610068226</v>
      </c>
      <c r="W286" s="36">
        <v>6510014106</v>
      </c>
      <c r="Y286" s="41">
        <f ca="1">IFERROR(__xludf.DUMMYFUNCTION("""COMPUTED_VALUE"""),6410207115)</f>
        <v>6410207115</v>
      </c>
      <c r="Z286" s="36">
        <v>6412213114</v>
      </c>
    </row>
    <row r="287" spans="1:26" ht="18" customHeight="1">
      <c r="A287" s="3">
        <v>285</v>
      </c>
      <c r="B287" s="3">
        <v>6510488225</v>
      </c>
      <c r="C287" s="4" t="s">
        <v>29</v>
      </c>
      <c r="D287" s="4" t="s">
        <v>815</v>
      </c>
      <c r="E287" s="4" t="s">
        <v>470</v>
      </c>
      <c r="F287" s="4" t="s">
        <v>816</v>
      </c>
      <c r="G287" s="4" t="s">
        <v>287</v>
      </c>
      <c r="H287" s="4" t="s">
        <v>761</v>
      </c>
      <c r="I287" s="3">
        <v>2</v>
      </c>
      <c r="J287" s="29" t="str">
        <f t="shared" si="36"/>
        <v>1</v>
      </c>
      <c r="K287" s="54">
        <v>1</v>
      </c>
      <c r="L287" s="69" t="str">
        <f t="shared" si="38"/>
        <v>0</v>
      </c>
      <c r="M287" s="74" t="str">
        <f t="shared" si="39"/>
        <v>1</v>
      </c>
      <c r="N287" s="29" t="str">
        <f t="shared" si="40"/>
        <v>0</v>
      </c>
      <c r="O287" s="61" t="str">
        <f t="shared" ca="1" si="41"/>
        <v>1</v>
      </c>
      <c r="P287" s="65" t="str">
        <f t="shared" si="42"/>
        <v>1</v>
      </c>
      <c r="Q287" s="46">
        <f t="shared" ca="1" si="43"/>
        <v>5</v>
      </c>
      <c r="R287" s="83" t="str">
        <f t="shared" ca="1" si="44"/>
        <v>ผ่าน</v>
      </c>
      <c r="S287" s="3" t="s">
        <v>28</v>
      </c>
      <c r="T287" s="32">
        <v>6512798102</v>
      </c>
      <c r="V287" s="36">
        <v>6610068106</v>
      </c>
      <c r="W287" s="36">
        <v>6510014115</v>
      </c>
      <c r="Y287" s="40">
        <f ca="1">IFERROR(__xludf.DUMMYFUNCTION("""COMPUTED_VALUE"""),6410207201)</f>
        <v>6410207201</v>
      </c>
      <c r="Z287" s="36">
        <v>6612236212</v>
      </c>
    </row>
    <row r="288" spans="1:26" ht="18" customHeight="1">
      <c r="A288" s="3">
        <v>286</v>
      </c>
      <c r="B288" s="3">
        <v>6410488102</v>
      </c>
      <c r="C288" s="4" t="s">
        <v>22</v>
      </c>
      <c r="D288" s="4" t="s">
        <v>817</v>
      </c>
      <c r="E288" s="4" t="s">
        <v>818</v>
      </c>
      <c r="F288" s="4" t="s">
        <v>65</v>
      </c>
      <c r="G288" s="4" t="s">
        <v>287</v>
      </c>
      <c r="H288" s="4" t="s">
        <v>761</v>
      </c>
      <c r="I288" s="3">
        <v>3</v>
      </c>
      <c r="J288" s="29" t="str">
        <f t="shared" si="36"/>
        <v>1</v>
      </c>
      <c r="K288" s="54">
        <v>1</v>
      </c>
      <c r="L288" s="69" t="str">
        <f t="shared" si="38"/>
        <v>0</v>
      </c>
      <c r="M288" s="74" t="str">
        <f t="shared" si="39"/>
        <v>1</v>
      </c>
      <c r="N288" s="29" t="str">
        <f t="shared" si="40"/>
        <v>0</v>
      </c>
      <c r="O288" s="61" t="str">
        <f t="shared" ca="1" si="41"/>
        <v>1</v>
      </c>
      <c r="P288" s="65" t="str">
        <f t="shared" si="42"/>
        <v>1</v>
      </c>
      <c r="Q288" s="46">
        <f t="shared" ca="1" si="43"/>
        <v>5</v>
      </c>
      <c r="R288" s="83" t="str">
        <f t="shared" ca="1" si="44"/>
        <v>ผ่าน</v>
      </c>
      <c r="S288" s="3" t="s">
        <v>28</v>
      </c>
      <c r="T288" s="32">
        <v>6510633120</v>
      </c>
      <c r="V288" s="36">
        <v>6510106120</v>
      </c>
      <c r="W288" s="36">
        <v>6510014104</v>
      </c>
      <c r="Y288" s="41">
        <f ca="1">IFERROR(__xludf.DUMMYFUNCTION("""COMPUTED_VALUE"""),6410207207)</f>
        <v>6410207207</v>
      </c>
      <c r="Z288" s="36">
        <v>6412213116</v>
      </c>
    </row>
    <row r="289" spans="1:26" ht="18" customHeight="1">
      <c r="A289" s="3">
        <v>287</v>
      </c>
      <c r="B289" s="3">
        <v>6410488103</v>
      </c>
      <c r="C289" s="4" t="s">
        <v>22</v>
      </c>
      <c r="D289" s="4" t="s">
        <v>819</v>
      </c>
      <c r="E289" s="4" t="s">
        <v>37</v>
      </c>
      <c r="F289" s="4" t="s">
        <v>820</v>
      </c>
      <c r="G289" s="4" t="s">
        <v>287</v>
      </c>
      <c r="H289" s="4" t="s">
        <v>761</v>
      </c>
      <c r="I289" s="3">
        <v>3</v>
      </c>
      <c r="J289" s="29" t="str">
        <f t="shared" si="36"/>
        <v>1</v>
      </c>
      <c r="K289" s="54">
        <v>1</v>
      </c>
      <c r="L289" s="69" t="str">
        <f t="shared" si="38"/>
        <v>0</v>
      </c>
      <c r="M289" s="74" t="str">
        <f t="shared" si="39"/>
        <v>0</v>
      </c>
      <c r="N289" s="29" t="str">
        <f t="shared" si="40"/>
        <v>1</v>
      </c>
      <c r="O289" s="61" t="str">
        <f t="shared" ca="1" si="41"/>
        <v>0</v>
      </c>
      <c r="P289" s="65" t="str">
        <f t="shared" si="42"/>
        <v>1</v>
      </c>
      <c r="Q289" s="46">
        <f t="shared" ca="1" si="43"/>
        <v>4</v>
      </c>
      <c r="R289" s="83" t="str">
        <f t="shared" ca="1" si="44"/>
        <v>ผ่าน</v>
      </c>
      <c r="S289" s="3" t="s">
        <v>28</v>
      </c>
      <c r="T289" s="32">
        <v>6310073110</v>
      </c>
      <c r="V289" s="36">
        <v>6312325107</v>
      </c>
      <c r="W289" s="36">
        <v>6410073124</v>
      </c>
      <c r="Y289" s="40">
        <f ca="1">IFERROR(__xludf.DUMMYFUNCTION("""COMPUTED_VALUE"""),6410207226)</f>
        <v>6410207226</v>
      </c>
      <c r="Z289" s="43">
        <v>6412213115</v>
      </c>
    </row>
    <row r="290" spans="1:26" ht="18" customHeight="1">
      <c r="A290" s="3">
        <v>288</v>
      </c>
      <c r="B290" s="3">
        <v>6410488104</v>
      </c>
      <c r="C290" s="4" t="s">
        <v>22</v>
      </c>
      <c r="D290" s="4" t="s">
        <v>821</v>
      </c>
      <c r="E290" s="4" t="s">
        <v>822</v>
      </c>
      <c r="F290" s="4" t="s">
        <v>823</v>
      </c>
      <c r="G290" s="4" t="s">
        <v>287</v>
      </c>
      <c r="H290" s="4" t="s">
        <v>761</v>
      </c>
      <c r="I290" s="3">
        <v>3</v>
      </c>
      <c r="J290" s="29" t="str">
        <f t="shared" si="36"/>
        <v>1</v>
      </c>
      <c r="K290" s="54" t="str">
        <f t="shared" si="37"/>
        <v>1</v>
      </c>
      <c r="L290" s="69" t="str">
        <f t="shared" si="38"/>
        <v>0</v>
      </c>
      <c r="M290" s="74" t="str">
        <f t="shared" si="39"/>
        <v>1</v>
      </c>
      <c r="N290" s="29" t="str">
        <f t="shared" si="40"/>
        <v>0</v>
      </c>
      <c r="O290" s="61" t="str">
        <f t="shared" ca="1" si="41"/>
        <v>1</v>
      </c>
      <c r="P290" s="65" t="str">
        <f t="shared" si="42"/>
        <v>1</v>
      </c>
      <c r="Q290" s="46">
        <f t="shared" ca="1" si="43"/>
        <v>5</v>
      </c>
      <c r="R290" s="83" t="str">
        <f t="shared" ca="1" si="44"/>
        <v>ผ่าน</v>
      </c>
      <c r="S290" s="3" t="s">
        <v>28</v>
      </c>
      <c r="T290" s="32">
        <v>6515964109</v>
      </c>
      <c r="V290" s="36">
        <v>6612743223</v>
      </c>
      <c r="W290" s="36">
        <v>6612258212</v>
      </c>
      <c r="Y290" s="41">
        <f ca="1">IFERROR(__xludf.DUMMYFUNCTION("""COMPUTED_VALUE"""),6410633111)</f>
        <v>6410633111</v>
      </c>
      <c r="Z290" s="36">
        <v>6511506226</v>
      </c>
    </row>
    <row r="291" spans="1:26" ht="18" customHeight="1">
      <c r="A291" s="3">
        <v>289</v>
      </c>
      <c r="B291" s="3">
        <v>6410488105</v>
      </c>
      <c r="C291" s="4" t="s">
        <v>22</v>
      </c>
      <c r="D291" s="4" t="s">
        <v>824</v>
      </c>
      <c r="E291" s="4" t="s">
        <v>825</v>
      </c>
      <c r="F291" s="4" t="s">
        <v>826</v>
      </c>
      <c r="G291" s="4" t="s">
        <v>287</v>
      </c>
      <c r="H291" s="4" t="s">
        <v>761</v>
      </c>
      <c r="I291" s="3">
        <v>3</v>
      </c>
      <c r="J291" s="29" t="str">
        <f t="shared" si="36"/>
        <v>1</v>
      </c>
      <c r="K291" s="54">
        <v>1</v>
      </c>
      <c r="L291" s="69" t="str">
        <f t="shared" si="38"/>
        <v>0</v>
      </c>
      <c r="M291" s="74" t="str">
        <f t="shared" si="39"/>
        <v>1</v>
      </c>
      <c r="N291" s="29" t="str">
        <f t="shared" si="40"/>
        <v>0</v>
      </c>
      <c r="O291" s="61" t="str">
        <f t="shared" ca="1" si="41"/>
        <v>1</v>
      </c>
      <c r="P291" s="65" t="str">
        <f t="shared" si="42"/>
        <v>1</v>
      </c>
      <c r="Q291" s="46">
        <f t="shared" ca="1" si="43"/>
        <v>5</v>
      </c>
      <c r="R291" s="83" t="str">
        <f t="shared" ca="1" si="44"/>
        <v>ผ่าน</v>
      </c>
      <c r="S291" s="3" t="s">
        <v>28</v>
      </c>
      <c r="T291" s="32">
        <v>6410083108</v>
      </c>
      <c r="V291" s="36">
        <v>6412798105</v>
      </c>
      <c r="W291" s="36">
        <v>6410073117</v>
      </c>
      <c r="Y291" s="40">
        <f ca="1">IFERROR(__xludf.DUMMYFUNCTION("""COMPUTED_VALUE"""),6410633115)</f>
        <v>6410633115</v>
      </c>
      <c r="Z291" s="36">
        <v>6610414217</v>
      </c>
    </row>
    <row r="292" spans="1:26" ht="18" customHeight="1">
      <c r="A292" s="3">
        <v>290</v>
      </c>
      <c r="B292" s="3">
        <v>6410488106</v>
      </c>
      <c r="C292" s="4" t="s">
        <v>22</v>
      </c>
      <c r="D292" s="4" t="s">
        <v>827</v>
      </c>
      <c r="E292" s="4" t="s">
        <v>828</v>
      </c>
      <c r="F292" s="4" t="s">
        <v>829</v>
      </c>
      <c r="G292" s="4" t="s">
        <v>287</v>
      </c>
      <c r="H292" s="4" t="s">
        <v>761</v>
      </c>
      <c r="I292" s="3">
        <v>3</v>
      </c>
      <c r="J292" s="29" t="str">
        <f t="shared" si="36"/>
        <v>1</v>
      </c>
      <c r="K292" s="54" t="str">
        <f t="shared" si="37"/>
        <v>1</v>
      </c>
      <c r="L292" s="69" t="str">
        <f t="shared" si="38"/>
        <v>0</v>
      </c>
      <c r="M292" s="74" t="str">
        <f t="shared" si="39"/>
        <v>0</v>
      </c>
      <c r="N292" s="29" t="str">
        <f t="shared" si="40"/>
        <v>1</v>
      </c>
      <c r="O292" s="61" t="str">
        <f t="shared" ca="1" si="41"/>
        <v>1</v>
      </c>
      <c r="P292" s="65" t="str">
        <f t="shared" si="42"/>
        <v>0</v>
      </c>
      <c r="Q292" s="46">
        <f t="shared" ca="1" si="43"/>
        <v>4</v>
      </c>
      <c r="R292" s="83" t="str">
        <f t="shared" ca="1" si="44"/>
        <v>ผ่าน</v>
      </c>
      <c r="S292" s="3" t="s">
        <v>28</v>
      </c>
      <c r="T292" s="32">
        <v>6410083104</v>
      </c>
      <c r="V292" s="36">
        <v>6510633224</v>
      </c>
      <c r="W292" s="36">
        <v>6412798117</v>
      </c>
      <c r="Y292" s="41">
        <f ca="1">IFERROR(__xludf.DUMMYFUNCTION("""COMPUTED_VALUE"""),6410633120)</f>
        <v>6410633120</v>
      </c>
      <c r="Z292" s="36">
        <v>6611506120</v>
      </c>
    </row>
    <row r="293" spans="1:26" ht="18" customHeight="1">
      <c r="A293" s="3">
        <v>291</v>
      </c>
      <c r="B293" s="3">
        <v>6410488107</v>
      </c>
      <c r="C293" s="4" t="s">
        <v>22</v>
      </c>
      <c r="D293" s="4" t="s">
        <v>762</v>
      </c>
      <c r="E293" s="4" t="s">
        <v>830</v>
      </c>
      <c r="F293" s="4" t="s">
        <v>831</v>
      </c>
      <c r="G293" s="4" t="s">
        <v>287</v>
      </c>
      <c r="H293" s="4" t="s">
        <v>761</v>
      </c>
      <c r="I293" s="3">
        <v>3</v>
      </c>
      <c r="J293" s="29" t="str">
        <f t="shared" si="36"/>
        <v>1</v>
      </c>
      <c r="K293" s="54" t="str">
        <f t="shared" si="37"/>
        <v>1</v>
      </c>
      <c r="L293" s="69" t="str">
        <f t="shared" si="38"/>
        <v>0</v>
      </c>
      <c r="M293" s="74" t="str">
        <f t="shared" si="39"/>
        <v>1</v>
      </c>
      <c r="N293" s="29" t="str">
        <f t="shared" si="40"/>
        <v>0</v>
      </c>
      <c r="O293" s="61" t="str">
        <f t="shared" ca="1" si="41"/>
        <v>1</v>
      </c>
      <c r="P293" s="65" t="str">
        <f t="shared" si="42"/>
        <v>1</v>
      </c>
      <c r="Q293" s="46">
        <f t="shared" ca="1" si="43"/>
        <v>5</v>
      </c>
      <c r="R293" s="83" t="str">
        <f t="shared" ca="1" si="44"/>
        <v>ผ่าน</v>
      </c>
      <c r="S293" s="3" t="s">
        <v>28</v>
      </c>
      <c r="T293" s="32">
        <v>6312866130</v>
      </c>
      <c r="V293" s="36">
        <v>6610414229</v>
      </c>
      <c r="W293" s="36">
        <v>6410073107</v>
      </c>
      <c r="Y293" s="40">
        <f ca="1">IFERROR(__xludf.DUMMYFUNCTION("""COMPUTED_VALUE"""),6412236223)</f>
        <v>6412236223</v>
      </c>
      <c r="Z293" s="36">
        <v>6611506118</v>
      </c>
    </row>
    <row r="294" spans="1:26" ht="18" customHeight="1">
      <c r="A294" s="3">
        <v>292</v>
      </c>
      <c r="B294" s="3">
        <v>6410488118</v>
      </c>
      <c r="C294" s="4" t="s">
        <v>29</v>
      </c>
      <c r="D294" s="4" t="s">
        <v>832</v>
      </c>
      <c r="E294" s="4" t="s">
        <v>833</v>
      </c>
      <c r="F294" s="4" t="s">
        <v>834</v>
      </c>
      <c r="G294" s="4" t="s">
        <v>287</v>
      </c>
      <c r="H294" s="4" t="s">
        <v>761</v>
      </c>
      <c r="I294" s="3">
        <v>3</v>
      </c>
      <c r="J294" s="29" t="str">
        <f t="shared" si="36"/>
        <v>1</v>
      </c>
      <c r="K294" s="54" t="str">
        <f t="shared" si="37"/>
        <v>0</v>
      </c>
      <c r="L294" s="69" t="str">
        <f t="shared" si="38"/>
        <v>0</v>
      </c>
      <c r="M294" s="74" t="str">
        <f t="shared" si="39"/>
        <v>1</v>
      </c>
      <c r="N294" s="29" t="str">
        <f t="shared" si="40"/>
        <v>0</v>
      </c>
      <c r="O294" s="61" t="str">
        <f t="shared" ca="1" si="41"/>
        <v>1</v>
      </c>
      <c r="P294" s="65" t="str">
        <f t="shared" si="42"/>
        <v>1</v>
      </c>
      <c r="Q294" s="46">
        <f t="shared" ca="1" si="43"/>
        <v>4</v>
      </c>
      <c r="R294" s="83" t="str">
        <f t="shared" ca="1" si="44"/>
        <v>ผ่าน</v>
      </c>
      <c r="S294" s="3" t="s">
        <v>28</v>
      </c>
      <c r="T294" s="32">
        <v>6612236129</v>
      </c>
      <c r="V294" s="36">
        <v>6410488203</v>
      </c>
      <c r="W294" s="36">
        <v>6510014102</v>
      </c>
      <c r="Y294" s="41">
        <f ca="1">IFERROR(__xludf.DUMMYFUNCTION("""COMPUTED_VALUE"""),6412236231)</f>
        <v>6412236231</v>
      </c>
      <c r="Z294" s="36">
        <v>6512247114</v>
      </c>
    </row>
    <row r="295" spans="1:26" ht="18" customHeight="1">
      <c r="A295" s="3">
        <v>293</v>
      </c>
      <c r="B295" s="3">
        <v>6410488123</v>
      </c>
      <c r="C295" s="4" t="s">
        <v>29</v>
      </c>
      <c r="D295" s="4" t="s">
        <v>835</v>
      </c>
      <c r="E295" s="4" t="s">
        <v>836</v>
      </c>
      <c r="F295" s="4" t="s">
        <v>143</v>
      </c>
      <c r="G295" s="4" t="s">
        <v>287</v>
      </c>
      <c r="H295" s="4" t="s">
        <v>761</v>
      </c>
      <c r="I295" s="3">
        <v>3</v>
      </c>
      <c r="J295" s="29" t="str">
        <f t="shared" si="36"/>
        <v>1</v>
      </c>
      <c r="K295" s="54">
        <v>1</v>
      </c>
      <c r="L295" s="69" t="str">
        <f t="shared" si="38"/>
        <v>0</v>
      </c>
      <c r="M295" s="74" t="str">
        <f t="shared" si="39"/>
        <v>0</v>
      </c>
      <c r="N295" s="29" t="str">
        <f t="shared" si="40"/>
        <v>1</v>
      </c>
      <c r="O295" s="61" t="str">
        <f t="shared" ca="1" si="41"/>
        <v>0</v>
      </c>
      <c r="P295" s="65" t="str">
        <f t="shared" si="42"/>
        <v>1</v>
      </c>
      <c r="Q295" s="46">
        <f t="shared" ca="1" si="43"/>
        <v>4</v>
      </c>
      <c r="R295" s="83" t="str">
        <f t="shared" ca="1" si="44"/>
        <v>ผ่าน</v>
      </c>
      <c r="S295" s="3" t="s">
        <v>28</v>
      </c>
      <c r="T295" s="32">
        <v>6315964111</v>
      </c>
      <c r="V295" s="36">
        <v>6310488219</v>
      </c>
      <c r="W295" s="36">
        <v>6410073115</v>
      </c>
      <c r="Y295" s="40">
        <f ca="1">IFERROR(__xludf.DUMMYFUNCTION("""COMPUTED_VALUE"""),6410488212)</f>
        <v>6410488212</v>
      </c>
      <c r="Z295" s="36">
        <v>6511506214</v>
      </c>
    </row>
    <row r="296" spans="1:26" ht="18" customHeight="1">
      <c r="A296" s="3">
        <v>294</v>
      </c>
      <c r="B296" s="3">
        <v>6410488124</v>
      </c>
      <c r="C296" s="4" t="s">
        <v>29</v>
      </c>
      <c r="D296" s="4" t="s">
        <v>837</v>
      </c>
      <c r="E296" s="4" t="s">
        <v>838</v>
      </c>
      <c r="F296" s="4" t="s">
        <v>839</v>
      </c>
      <c r="G296" s="4" t="s">
        <v>287</v>
      </c>
      <c r="H296" s="4" t="s">
        <v>761</v>
      </c>
      <c r="I296" s="3">
        <v>3</v>
      </c>
      <c r="J296" s="29" t="str">
        <f t="shared" si="36"/>
        <v>1</v>
      </c>
      <c r="K296" s="54" t="str">
        <f t="shared" si="37"/>
        <v>1</v>
      </c>
      <c r="L296" s="69" t="str">
        <f t="shared" si="38"/>
        <v>0</v>
      </c>
      <c r="M296" s="74" t="str">
        <f t="shared" si="39"/>
        <v>1</v>
      </c>
      <c r="N296" s="29" t="str">
        <f t="shared" si="40"/>
        <v>0</v>
      </c>
      <c r="O296" s="61" t="str">
        <f t="shared" ca="1" si="41"/>
        <v>1</v>
      </c>
      <c r="P296" s="65" t="str">
        <f t="shared" si="42"/>
        <v>1</v>
      </c>
      <c r="Q296" s="46">
        <f t="shared" ca="1" si="43"/>
        <v>5</v>
      </c>
      <c r="R296" s="83" t="str">
        <f t="shared" ca="1" si="44"/>
        <v>ผ่าน</v>
      </c>
      <c r="S296" s="3" t="s">
        <v>28</v>
      </c>
      <c r="T296" s="32">
        <v>6410083103</v>
      </c>
      <c r="V296" s="36">
        <v>6310488120</v>
      </c>
      <c r="W296" s="36">
        <v>6410488203</v>
      </c>
      <c r="Y296" s="41">
        <f ca="1">IFERROR(__xludf.DUMMYFUNCTION("""COMPUTED_VALUE"""),6410488221)</f>
        <v>6410488221</v>
      </c>
      <c r="Z296" s="36">
        <v>6410048103</v>
      </c>
    </row>
    <row r="297" spans="1:26" ht="18" customHeight="1">
      <c r="A297" s="3">
        <v>295</v>
      </c>
      <c r="B297" s="3">
        <v>6410488125</v>
      </c>
      <c r="C297" s="4" t="s">
        <v>29</v>
      </c>
      <c r="D297" s="4" t="s">
        <v>840</v>
      </c>
      <c r="E297" s="4" t="s">
        <v>841</v>
      </c>
      <c r="F297" s="4" t="s">
        <v>507</v>
      </c>
      <c r="G297" s="4" t="s">
        <v>287</v>
      </c>
      <c r="H297" s="4" t="s">
        <v>761</v>
      </c>
      <c r="I297" s="3">
        <v>3</v>
      </c>
      <c r="J297" s="29" t="str">
        <f t="shared" si="36"/>
        <v>1</v>
      </c>
      <c r="K297" s="54" t="str">
        <f t="shared" si="37"/>
        <v>1</v>
      </c>
      <c r="L297" s="69" t="str">
        <f t="shared" si="38"/>
        <v>0</v>
      </c>
      <c r="M297" s="74" t="str">
        <f t="shared" si="39"/>
        <v>0</v>
      </c>
      <c r="N297" s="29" t="str">
        <f t="shared" si="40"/>
        <v>1</v>
      </c>
      <c r="O297" s="61" t="str">
        <f t="shared" ca="1" si="41"/>
        <v>1</v>
      </c>
      <c r="P297" s="65" t="str">
        <f t="shared" si="42"/>
        <v>1</v>
      </c>
      <c r="Q297" s="46">
        <f t="shared" ca="1" si="43"/>
        <v>5</v>
      </c>
      <c r="R297" s="83" t="str">
        <f t="shared" ca="1" si="44"/>
        <v>ผ่าน</v>
      </c>
      <c r="S297" s="3" t="s">
        <v>28</v>
      </c>
      <c r="T297" s="32">
        <v>6610633214</v>
      </c>
      <c r="V297" s="36">
        <v>6310488122</v>
      </c>
      <c r="W297" s="36">
        <v>6410488219</v>
      </c>
      <c r="Y297" s="40">
        <f ca="1">IFERROR(__xludf.DUMMYFUNCTION("""COMPUTED_VALUE"""),6410095107)</f>
        <v>6410095107</v>
      </c>
      <c r="Z297" s="36">
        <v>6310084108</v>
      </c>
    </row>
    <row r="298" spans="1:26" ht="18" customHeight="1">
      <c r="A298" s="3">
        <v>296</v>
      </c>
      <c r="B298" s="3">
        <v>6410488201</v>
      </c>
      <c r="C298" s="4" t="s">
        <v>22</v>
      </c>
      <c r="D298" s="4" t="s">
        <v>842</v>
      </c>
      <c r="E298" s="4" t="s">
        <v>843</v>
      </c>
      <c r="F298" s="4" t="s">
        <v>844</v>
      </c>
      <c r="G298" s="4" t="s">
        <v>287</v>
      </c>
      <c r="H298" s="4" t="s">
        <v>761</v>
      </c>
      <c r="I298" s="3">
        <v>3</v>
      </c>
      <c r="J298" s="29" t="str">
        <f t="shared" si="36"/>
        <v>1</v>
      </c>
      <c r="K298" s="54" t="str">
        <f t="shared" si="37"/>
        <v>1</v>
      </c>
      <c r="L298" s="69" t="str">
        <f t="shared" si="38"/>
        <v>0</v>
      </c>
      <c r="M298" s="74" t="str">
        <f t="shared" si="39"/>
        <v>1</v>
      </c>
      <c r="N298" s="29" t="str">
        <f t="shared" si="40"/>
        <v>0</v>
      </c>
      <c r="O298" s="61" t="str">
        <f t="shared" ca="1" si="41"/>
        <v>1</v>
      </c>
      <c r="P298" s="65" t="str">
        <f t="shared" si="42"/>
        <v>1</v>
      </c>
      <c r="Q298" s="46">
        <f t="shared" ca="1" si="43"/>
        <v>5</v>
      </c>
      <c r="R298" s="83" t="str">
        <f t="shared" ca="1" si="44"/>
        <v>ผ่าน</v>
      </c>
      <c r="S298" s="3" t="s">
        <v>28</v>
      </c>
      <c r="T298" s="32">
        <v>6412743202</v>
      </c>
      <c r="V298" s="36">
        <v>6310403311</v>
      </c>
      <c r="W298" s="36">
        <v>6410106127</v>
      </c>
      <c r="Y298" s="41">
        <f ca="1">IFERROR(__xludf.DUMMYFUNCTION("""COMPUTED_VALUE"""),6412798107)</f>
        <v>6412798107</v>
      </c>
      <c r="Z298" s="36">
        <v>6412866216</v>
      </c>
    </row>
    <row r="299" spans="1:26" ht="18" customHeight="1">
      <c r="A299" s="3">
        <v>297</v>
      </c>
      <c r="B299" s="3">
        <v>6410488203</v>
      </c>
      <c r="C299" s="4" t="s">
        <v>22</v>
      </c>
      <c r="D299" s="4" t="s">
        <v>845</v>
      </c>
      <c r="E299" s="4" t="s">
        <v>846</v>
      </c>
      <c r="F299" s="4" t="s">
        <v>847</v>
      </c>
      <c r="G299" s="4" t="s">
        <v>287</v>
      </c>
      <c r="H299" s="4" t="s">
        <v>761</v>
      </c>
      <c r="I299" s="3">
        <v>3</v>
      </c>
      <c r="J299" s="29" t="str">
        <f t="shared" si="36"/>
        <v>1</v>
      </c>
      <c r="K299" s="54" t="str">
        <f t="shared" si="37"/>
        <v>1</v>
      </c>
      <c r="L299" s="69" t="str">
        <f t="shared" si="38"/>
        <v>0</v>
      </c>
      <c r="M299" s="74" t="str">
        <f t="shared" si="39"/>
        <v>1</v>
      </c>
      <c r="N299" s="29" t="str">
        <f t="shared" si="40"/>
        <v>0</v>
      </c>
      <c r="O299" s="61" t="str">
        <f t="shared" ca="1" si="41"/>
        <v>1</v>
      </c>
      <c r="P299" s="65" t="str">
        <f t="shared" si="42"/>
        <v>0</v>
      </c>
      <c r="Q299" s="46">
        <f t="shared" ca="1" si="43"/>
        <v>4</v>
      </c>
      <c r="R299" s="83" t="str">
        <f t="shared" ca="1" si="44"/>
        <v>ผ่าน</v>
      </c>
      <c r="S299" s="3" t="s">
        <v>28</v>
      </c>
      <c r="T299" s="32">
        <v>6612721109</v>
      </c>
      <c r="V299" s="36">
        <v>6410106219</v>
      </c>
      <c r="W299" s="36">
        <v>6410073108</v>
      </c>
      <c r="Y299" s="40">
        <f ca="1">IFERROR(__xludf.DUMMYFUNCTION("""COMPUTED_VALUE"""),6412743122)</f>
        <v>6412743122</v>
      </c>
      <c r="Z299" s="36">
        <v>6512743226</v>
      </c>
    </row>
    <row r="300" spans="1:26" ht="18" customHeight="1">
      <c r="A300" s="3">
        <v>298</v>
      </c>
      <c r="B300" s="3">
        <v>6410488204</v>
      </c>
      <c r="C300" s="4" t="s">
        <v>22</v>
      </c>
      <c r="D300" s="4" t="s">
        <v>848</v>
      </c>
      <c r="E300" s="4" t="s">
        <v>849</v>
      </c>
      <c r="F300" s="4" t="s">
        <v>850</v>
      </c>
      <c r="G300" s="4" t="s">
        <v>287</v>
      </c>
      <c r="H300" s="4" t="s">
        <v>761</v>
      </c>
      <c r="I300" s="3">
        <v>3</v>
      </c>
      <c r="J300" s="29" t="str">
        <f t="shared" si="36"/>
        <v>1</v>
      </c>
      <c r="K300" s="54" t="str">
        <f t="shared" si="37"/>
        <v>0</v>
      </c>
      <c r="L300" s="69" t="str">
        <f t="shared" si="38"/>
        <v>0</v>
      </c>
      <c r="M300" s="74" t="str">
        <f t="shared" si="39"/>
        <v>0</v>
      </c>
      <c r="N300" s="29" t="str">
        <f t="shared" si="40"/>
        <v>1</v>
      </c>
      <c r="O300" s="61" t="str">
        <f t="shared" ca="1" si="41"/>
        <v>1</v>
      </c>
      <c r="P300" s="65" t="str">
        <f t="shared" si="42"/>
        <v>1</v>
      </c>
      <c r="Q300" s="46">
        <f t="shared" ca="1" si="43"/>
        <v>4</v>
      </c>
      <c r="R300" s="83" t="str">
        <f t="shared" ca="1" si="44"/>
        <v>ผ่าน</v>
      </c>
      <c r="S300" s="3" t="s">
        <v>28</v>
      </c>
      <c r="T300" s="32">
        <v>6310073109</v>
      </c>
      <c r="V300" s="36">
        <v>6310633215</v>
      </c>
      <c r="W300" s="36">
        <v>6310207111</v>
      </c>
      <c r="Y300" s="41">
        <f ca="1">IFERROR(__xludf.DUMMYFUNCTION("""COMPUTED_VALUE"""),6412743131)</f>
        <v>6412743131</v>
      </c>
      <c r="Z300" s="36">
        <v>6410048122</v>
      </c>
    </row>
    <row r="301" spans="1:26" ht="18" customHeight="1">
      <c r="A301" s="3">
        <v>299</v>
      </c>
      <c r="B301" s="3">
        <v>6410488205</v>
      </c>
      <c r="C301" s="4" t="s">
        <v>22</v>
      </c>
      <c r="D301" s="4" t="s">
        <v>851</v>
      </c>
      <c r="E301" s="4" t="s">
        <v>852</v>
      </c>
      <c r="F301" s="4" t="s">
        <v>568</v>
      </c>
      <c r="G301" s="4" t="s">
        <v>287</v>
      </c>
      <c r="H301" s="4" t="s">
        <v>761</v>
      </c>
      <c r="I301" s="3">
        <v>3</v>
      </c>
      <c r="J301" s="29" t="str">
        <f t="shared" si="36"/>
        <v>1</v>
      </c>
      <c r="K301" s="54" t="str">
        <f t="shared" si="37"/>
        <v>1</v>
      </c>
      <c r="L301" s="69" t="str">
        <f t="shared" si="38"/>
        <v>0</v>
      </c>
      <c r="M301" s="74" t="str">
        <f t="shared" si="39"/>
        <v>1</v>
      </c>
      <c r="N301" s="29" t="str">
        <f t="shared" si="40"/>
        <v>0</v>
      </c>
      <c r="O301" s="61" t="str">
        <f t="shared" ca="1" si="41"/>
        <v>1</v>
      </c>
      <c r="P301" s="65" t="str">
        <f t="shared" si="42"/>
        <v>1</v>
      </c>
      <c r="Q301" s="46">
        <f t="shared" ca="1" si="43"/>
        <v>5</v>
      </c>
      <c r="R301" s="83" t="str">
        <f t="shared" ca="1" si="44"/>
        <v>ผ่าน</v>
      </c>
      <c r="S301" s="3" t="s">
        <v>28</v>
      </c>
      <c r="T301" s="32">
        <v>6512798113</v>
      </c>
      <c r="V301">
        <v>6310403326</v>
      </c>
      <c r="W301" s="36">
        <v>6410488203</v>
      </c>
      <c r="Y301" s="40">
        <f ca="1">IFERROR(__xludf.DUMMYFUNCTION("""COMPUTED_VALUE"""),6412743226)</f>
        <v>6412743226</v>
      </c>
      <c r="Z301" s="36">
        <v>6410048264</v>
      </c>
    </row>
    <row r="302" spans="1:26" ht="18" customHeight="1">
      <c r="A302" s="3">
        <v>300</v>
      </c>
      <c r="B302" s="3">
        <v>6410488206</v>
      </c>
      <c r="C302" s="4" t="s">
        <v>22</v>
      </c>
      <c r="D302" s="4" t="s">
        <v>853</v>
      </c>
      <c r="E302" s="4" t="s">
        <v>854</v>
      </c>
      <c r="F302" s="4" t="s">
        <v>855</v>
      </c>
      <c r="G302" s="4" t="s">
        <v>287</v>
      </c>
      <c r="H302" s="4" t="s">
        <v>761</v>
      </c>
      <c r="I302" s="3">
        <v>3</v>
      </c>
      <c r="J302" s="29" t="str">
        <f t="shared" si="36"/>
        <v>1</v>
      </c>
      <c r="K302" s="54">
        <v>1</v>
      </c>
      <c r="L302" s="69" t="str">
        <f t="shared" si="38"/>
        <v>0</v>
      </c>
      <c r="M302" s="74" t="str">
        <f t="shared" si="39"/>
        <v>1</v>
      </c>
      <c r="N302" s="29" t="str">
        <f t="shared" si="40"/>
        <v>0</v>
      </c>
      <c r="O302" s="61" t="str">
        <f t="shared" ca="1" si="41"/>
        <v>1</v>
      </c>
      <c r="P302" s="65" t="str">
        <f t="shared" si="42"/>
        <v>1</v>
      </c>
      <c r="Q302" s="46">
        <f t="shared" ca="1" si="43"/>
        <v>5</v>
      </c>
      <c r="R302" s="83" t="str">
        <f t="shared" ca="1" si="44"/>
        <v>ผ่าน</v>
      </c>
      <c r="S302" s="3" t="s">
        <v>28</v>
      </c>
      <c r="T302" s="32">
        <v>6412866119</v>
      </c>
      <c r="W302" s="36">
        <v>6310207210</v>
      </c>
      <c r="Y302" s="41">
        <f ca="1">IFERROR(__xludf.DUMMYFUNCTION("""COMPUTED_VALUE"""),6412743228)</f>
        <v>6412743228</v>
      </c>
      <c r="Z302" s="36">
        <v>6610403109</v>
      </c>
    </row>
    <row r="303" spans="1:26" ht="18" customHeight="1">
      <c r="A303" s="3">
        <v>301</v>
      </c>
      <c r="B303" s="3">
        <v>6410488208</v>
      </c>
      <c r="C303" s="4" t="s">
        <v>22</v>
      </c>
      <c r="D303" s="4" t="s">
        <v>856</v>
      </c>
      <c r="E303" s="4" t="s">
        <v>857</v>
      </c>
      <c r="F303" s="4" t="s">
        <v>858</v>
      </c>
      <c r="G303" s="4" t="s">
        <v>287</v>
      </c>
      <c r="H303" s="4" t="s">
        <v>761</v>
      </c>
      <c r="I303" s="3">
        <v>3</v>
      </c>
      <c r="J303" s="29" t="str">
        <f t="shared" si="36"/>
        <v>1</v>
      </c>
      <c r="K303" s="54">
        <v>1</v>
      </c>
      <c r="L303" s="69" t="str">
        <f t="shared" si="38"/>
        <v>0</v>
      </c>
      <c r="M303" s="74" t="str">
        <f t="shared" si="39"/>
        <v>1</v>
      </c>
      <c r="N303" s="29" t="str">
        <f t="shared" si="40"/>
        <v>0</v>
      </c>
      <c r="O303" s="61" t="str">
        <f t="shared" ca="1" si="41"/>
        <v>1</v>
      </c>
      <c r="P303" s="65" t="str">
        <f t="shared" si="42"/>
        <v>1</v>
      </c>
      <c r="Q303" s="46">
        <f t="shared" ca="1" si="43"/>
        <v>5</v>
      </c>
      <c r="R303" s="83" t="str">
        <f t="shared" ca="1" si="44"/>
        <v>ผ่าน</v>
      </c>
      <c r="S303" s="3" t="s">
        <v>28</v>
      </c>
      <c r="T303" s="32">
        <v>6310073106</v>
      </c>
      <c r="W303" s="36">
        <v>6310207206</v>
      </c>
      <c r="Y303" s="40">
        <f ca="1">IFERROR(__xludf.DUMMYFUNCTION("""COMPUTED_VALUE"""),6410106107)</f>
        <v>6410106107</v>
      </c>
      <c r="Z303" s="36">
        <v>6610488118</v>
      </c>
    </row>
    <row r="304" spans="1:26" ht="18" customHeight="1">
      <c r="A304" s="3">
        <v>302</v>
      </c>
      <c r="B304" s="3">
        <v>6410488212</v>
      </c>
      <c r="C304" s="4" t="s">
        <v>29</v>
      </c>
      <c r="D304" s="4" t="s">
        <v>859</v>
      </c>
      <c r="E304" s="4" t="s">
        <v>860</v>
      </c>
      <c r="F304" s="4" t="s">
        <v>861</v>
      </c>
      <c r="G304" s="4" t="s">
        <v>287</v>
      </c>
      <c r="H304" s="4" t="s">
        <v>761</v>
      </c>
      <c r="I304" s="3">
        <v>3</v>
      </c>
      <c r="J304" s="29" t="str">
        <f t="shared" si="36"/>
        <v>1</v>
      </c>
      <c r="K304" s="54">
        <v>1</v>
      </c>
      <c r="L304" s="69" t="str">
        <f t="shared" si="38"/>
        <v>0</v>
      </c>
      <c r="M304" s="74" t="str">
        <f t="shared" si="39"/>
        <v>1</v>
      </c>
      <c r="N304" s="29" t="str">
        <f t="shared" si="40"/>
        <v>0</v>
      </c>
      <c r="O304" s="61" t="str">
        <f t="shared" ca="1" si="41"/>
        <v>1</v>
      </c>
      <c r="P304" s="65" t="str">
        <f t="shared" si="42"/>
        <v>1</v>
      </c>
      <c r="Q304" s="46">
        <f t="shared" ca="1" si="43"/>
        <v>5</v>
      </c>
      <c r="R304" s="83" t="str">
        <f t="shared" ca="1" si="44"/>
        <v>ผ่าน</v>
      </c>
      <c r="S304" s="3" t="s">
        <v>28</v>
      </c>
      <c r="T304" s="32">
        <v>6412743239</v>
      </c>
      <c r="W304" s="36">
        <v>6610403124</v>
      </c>
      <c r="Y304" s="41">
        <f ca="1">IFERROR(__xludf.DUMMYFUNCTION("""COMPUTED_VALUE"""),6410106122)</f>
        <v>6410106122</v>
      </c>
      <c r="Z304" s="36">
        <v>6510403130</v>
      </c>
    </row>
    <row r="305" spans="1:26" ht="18" customHeight="1">
      <c r="A305" s="3">
        <v>303</v>
      </c>
      <c r="B305" s="3">
        <v>6410488216</v>
      </c>
      <c r="C305" s="4" t="s">
        <v>29</v>
      </c>
      <c r="D305" s="4" t="s">
        <v>862</v>
      </c>
      <c r="E305" s="4" t="s">
        <v>863</v>
      </c>
      <c r="F305" s="4" t="s">
        <v>864</v>
      </c>
      <c r="G305" s="4" t="s">
        <v>287</v>
      </c>
      <c r="H305" s="4" t="s">
        <v>761</v>
      </c>
      <c r="I305" s="3">
        <v>3</v>
      </c>
      <c r="J305" s="29" t="str">
        <f t="shared" si="36"/>
        <v>0</v>
      </c>
      <c r="K305" s="54">
        <v>1</v>
      </c>
      <c r="L305" s="69" t="str">
        <f t="shared" si="38"/>
        <v>0</v>
      </c>
      <c r="M305" s="74" t="str">
        <f t="shared" si="39"/>
        <v>0</v>
      </c>
      <c r="N305" s="29" t="str">
        <f t="shared" si="40"/>
        <v>0</v>
      </c>
      <c r="O305" s="61" t="str">
        <f t="shared" ca="1" si="41"/>
        <v>1</v>
      </c>
      <c r="P305" s="65" t="str">
        <f t="shared" si="42"/>
        <v>1</v>
      </c>
      <c r="Q305" s="46">
        <f t="shared" ca="1" si="43"/>
        <v>3</v>
      </c>
      <c r="R305" s="83" t="str">
        <f t="shared" ca="1" si="44"/>
        <v>ผ่าน</v>
      </c>
      <c r="S305" s="3" t="s">
        <v>28</v>
      </c>
      <c r="T305" s="32">
        <v>6412798106</v>
      </c>
      <c r="W305" s="36">
        <v>6410073125</v>
      </c>
      <c r="Y305" s="40">
        <f ca="1">IFERROR(__xludf.DUMMYFUNCTION("""COMPUTED_VALUE"""),6410106130)</f>
        <v>6410106130</v>
      </c>
      <c r="Z305" s="36">
        <v>6412314105</v>
      </c>
    </row>
    <row r="306" spans="1:26" ht="18" customHeight="1">
      <c r="A306" s="3">
        <v>304</v>
      </c>
      <c r="B306" s="3">
        <v>6410488219</v>
      </c>
      <c r="C306" s="4" t="s">
        <v>29</v>
      </c>
      <c r="D306" s="4" t="s">
        <v>234</v>
      </c>
      <c r="E306" s="4" t="s">
        <v>865</v>
      </c>
      <c r="F306" s="4" t="s">
        <v>866</v>
      </c>
      <c r="G306" s="4" t="s">
        <v>287</v>
      </c>
      <c r="H306" s="4" t="s">
        <v>761</v>
      </c>
      <c r="I306" s="3">
        <v>3</v>
      </c>
      <c r="J306" s="29" t="str">
        <f t="shared" si="36"/>
        <v>1</v>
      </c>
      <c r="K306" s="54">
        <v>1</v>
      </c>
      <c r="L306" s="69" t="str">
        <f t="shared" si="38"/>
        <v>0</v>
      </c>
      <c r="M306" s="74" t="str">
        <f t="shared" si="39"/>
        <v>1</v>
      </c>
      <c r="N306" s="29" t="str">
        <f t="shared" si="40"/>
        <v>0</v>
      </c>
      <c r="O306" s="61" t="str">
        <f t="shared" ca="1" si="41"/>
        <v>1</v>
      </c>
      <c r="P306" s="65" t="str">
        <f t="shared" si="42"/>
        <v>1</v>
      </c>
      <c r="Q306" s="46">
        <f t="shared" ca="1" si="43"/>
        <v>5</v>
      </c>
      <c r="R306" s="83" t="str">
        <f t="shared" ca="1" si="44"/>
        <v>ผ่าน</v>
      </c>
      <c r="S306" s="3" t="s">
        <v>28</v>
      </c>
      <c r="T306" s="32">
        <v>6412866221</v>
      </c>
      <c r="W306" s="36">
        <v>6410073113</v>
      </c>
      <c r="Y306" s="41">
        <f ca="1">IFERROR(__xludf.DUMMYFUNCTION("""COMPUTED_VALUE"""),6410106207)</f>
        <v>6410106207</v>
      </c>
      <c r="Z306" s="36">
        <v>6410048102</v>
      </c>
    </row>
    <row r="307" spans="1:26" ht="18" customHeight="1">
      <c r="A307" s="3">
        <v>305</v>
      </c>
      <c r="B307" s="3">
        <v>6410488221</v>
      </c>
      <c r="C307" s="4" t="s">
        <v>29</v>
      </c>
      <c r="D307" s="4" t="s">
        <v>867</v>
      </c>
      <c r="E307" s="4" t="s">
        <v>868</v>
      </c>
      <c r="F307" s="4" t="s">
        <v>869</v>
      </c>
      <c r="G307" s="4" t="s">
        <v>287</v>
      </c>
      <c r="H307" s="4" t="s">
        <v>761</v>
      </c>
      <c r="I307" s="3">
        <v>3</v>
      </c>
      <c r="J307" s="29" t="str">
        <f t="shared" si="36"/>
        <v>1</v>
      </c>
      <c r="K307" s="54">
        <v>1</v>
      </c>
      <c r="L307" s="69" t="str">
        <f t="shared" si="38"/>
        <v>0</v>
      </c>
      <c r="M307" s="74" t="str">
        <f t="shared" si="39"/>
        <v>1</v>
      </c>
      <c r="N307" s="29" t="str">
        <f t="shared" si="40"/>
        <v>0</v>
      </c>
      <c r="O307" s="61" t="str">
        <f t="shared" ca="1" si="41"/>
        <v>1</v>
      </c>
      <c r="P307" s="65" t="str">
        <f t="shared" si="42"/>
        <v>1</v>
      </c>
      <c r="Q307" s="46">
        <f t="shared" ca="1" si="43"/>
        <v>5</v>
      </c>
      <c r="R307" s="83" t="str">
        <f t="shared" ca="1" si="44"/>
        <v>ผ่าน</v>
      </c>
      <c r="S307" s="3" t="s">
        <v>28</v>
      </c>
      <c r="T307" s="32">
        <v>6510633224</v>
      </c>
      <c r="W307" s="36">
        <v>6510488225</v>
      </c>
      <c r="Y307" s="40">
        <f ca="1">IFERROR(__xludf.DUMMYFUNCTION("""COMPUTED_VALUE"""),6410083111)</f>
        <v>6410083111</v>
      </c>
      <c r="Z307" s="36">
        <v>6412314102</v>
      </c>
    </row>
    <row r="308" spans="1:26" ht="18" customHeight="1">
      <c r="A308" s="3">
        <v>306</v>
      </c>
      <c r="B308" s="3">
        <v>6410488224</v>
      </c>
      <c r="C308" s="4" t="s">
        <v>29</v>
      </c>
      <c r="D308" s="4" t="s">
        <v>870</v>
      </c>
      <c r="E308" s="4" t="s">
        <v>871</v>
      </c>
      <c r="F308" s="4" t="s">
        <v>872</v>
      </c>
      <c r="G308" s="4" t="s">
        <v>287</v>
      </c>
      <c r="H308" s="4" t="s">
        <v>761</v>
      </c>
      <c r="I308" s="3">
        <v>3</v>
      </c>
      <c r="J308" s="29" t="str">
        <f t="shared" si="36"/>
        <v>1</v>
      </c>
      <c r="K308" s="54" t="str">
        <f t="shared" si="37"/>
        <v>1</v>
      </c>
      <c r="L308" s="69" t="str">
        <f t="shared" si="38"/>
        <v>0</v>
      </c>
      <c r="M308" s="74" t="str">
        <f t="shared" si="39"/>
        <v>1</v>
      </c>
      <c r="N308" s="29" t="str">
        <f t="shared" si="40"/>
        <v>0</v>
      </c>
      <c r="O308" s="61" t="str">
        <f t="shared" ca="1" si="41"/>
        <v>1</v>
      </c>
      <c r="P308" s="65" t="str">
        <f t="shared" si="42"/>
        <v>1</v>
      </c>
      <c r="Q308" s="46">
        <f t="shared" ca="1" si="43"/>
        <v>5</v>
      </c>
      <c r="R308" s="83" t="str">
        <f t="shared" ca="1" si="44"/>
        <v>ผ่าน</v>
      </c>
      <c r="S308" s="3" t="s">
        <v>28</v>
      </c>
      <c r="T308" s="32">
        <v>6610633111</v>
      </c>
      <c r="W308" s="36">
        <v>6510403208</v>
      </c>
      <c r="Y308" s="41">
        <f ca="1">IFERROR(__xludf.DUMMYFUNCTION("""COMPUTED_VALUE"""),6410048102)</f>
        <v>6410048102</v>
      </c>
      <c r="Z308" s="36">
        <v>6610488116</v>
      </c>
    </row>
    <row r="309" spans="1:26" ht="18" customHeight="1">
      <c r="A309" s="3">
        <v>307</v>
      </c>
      <c r="B309" s="3">
        <v>6310488101</v>
      </c>
      <c r="C309" s="4" t="s">
        <v>22</v>
      </c>
      <c r="D309" s="4" t="s">
        <v>873</v>
      </c>
      <c r="E309" s="4" t="s">
        <v>874</v>
      </c>
      <c r="F309" s="4" t="s">
        <v>875</v>
      </c>
      <c r="G309" s="4" t="s">
        <v>287</v>
      </c>
      <c r="H309" s="4" t="s">
        <v>761</v>
      </c>
      <c r="I309" s="3">
        <v>4</v>
      </c>
      <c r="J309" s="29" t="str">
        <f t="shared" si="36"/>
        <v>0</v>
      </c>
      <c r="K309" s="54" t="str">
        <f t="shared" si="37"/>
        <v>0</v>
      </c>
      <c r="L309" s="69" t="str">
        <f t="shared" si="38"/>
        <v>0</v>
      </c>
      <c r="M309" s="74" t="str">
        <f t="shared" si="39"/>
        <v>0</v>
      </c>
      <c r="N309" s="29" t="str">
        <f t="shared" si="40"/>
        <v>0</v>
      </c>
      <c r="O309" s="61">
        <v>1</v>
      </c>
      <c r="P309" s="65">
        <v>1</v>
      </c>
      <c r="Q309" s="46">
        <f t="shared" si="43"/>
        <v>2</v>
      </c>
      <c r="R309" s="3" t="str">
        <f t="shared" si="44"/>
        <v>ไม่ผ่าน</v>
      </c>
      <c r="S309" s="3" t="s">
        <v>28</v>
      </c>
      <c r="T309" s="32">
        <v>6310106105</v>
      </c>
      <c r="W309" s="36">
        <v>6610073108</v>
      </c>
      <c r="Y309" s="40">
        <f ca="1">IFERROR(__xludf.DUMMYFUNCTION("""COMPUTED_VALUE"""),6410048103)</f>
        <v>6410048103</v>
      </c>
      <c r="Z309" s="36">
        <v>6412213113</v>
      </c>
    </row>
    <row r="310" spans="1:26" ht="18" customHeight="1">
      <c r="A310" s="3">
        <v>308</v>
      </c>
      <c r="B310" s="3">
        <v>6310488102</v>
      </c>
      <c r="C310" s="4" t="s">
        <v>22</v>
      </c>
      <c r="D310" s="4" t="s">
        <v>876</v>
      </c>
      <c r="E310" s="4" t="s">
        <v>877</v>
      </c>
      <c r="F310" s="4" t="s">
        <v>878</v>
      </c>
      <c r="G310" s="4" t="s">
        <v>287</v>
      </c>
      <c r="H310" s="4" t="s">
        <v>761</v>
      </c>
      <c r="I310" s="3">
        <v>4</v>
      </c>
      <c r="J310" s="29" t="str">
        <f t="shared" si="36"/>
        <v>0</v>
      </c>
      <c r="K310" s="54" t="str">
        <f t="shared" si="37"/>
        <v>0</v>
      </c>
      <c r="L310" s="69" t="str">
        <f t="shared" si="38"/>
        <v>0</v>
      </c>
      <c r="M310" s="74" t="str">
        <f t="shared" si="39"/>
        <v>0</v>
      </c>
      <c r="N310" s="29" t="str">
        <f t="shared" si="40"/>
        <v>0</v>
      </c>
      <c r="O310" s="61">
        <v>1</v>
      </c>
      <c r="P310" s="65">
        <v>1</v>
      </c>
      <c r="Q310" s="46">
        <f t="shared" si="43"/>
        <v>2</v>
      </c>
      <c r="R310" s="3" t="str">
        <f t="shared" si="44"/>
        <v>ไม่ผ่าน</v>
      </c>
      <c r="S310" s="3" t="s">
        <v>28</v>
      </c>
      <c r="T310" s="32">
        <v>6410414227</v>
      </c>
      <c r="W310" s="36">
        <v>6410207115</v>
      </c>
      <c r="Y310" s="41">
        <f ca="1">IFERROR(__xludf.DUMMYFUNCTION("""COMPUTED_VALUE"""),6410048104)</f>
        <v>6410048104</v>
      </c>
      <c r="Z310" s="36">
        <v>6410048104</v>
      </c>
    </row>
    <row r="311" spans="1:26" ht="18" customHeight="1">
      <c r="A311" s="3">
        <v>309</v>
      </c>
      <c r="B311" s="3">
        <v>6310488106</v>
      </c>
      <c r="C311" s="4" t="s">
        <v>22</v>
      </c>
      <c r="D311" s="4" t="s">
        <v>879</v>
      </c>
      <c r="E311" s="4" t="s">
        <v>880</v>
      </c>
      <c r="F311" s="4" t="s">
        <v>881</v>
      </c>
      <c r="G311" s="4" t="s">
        <v>287</v>
      </c>
      <c r="H311" s="4" t="s">
        <v>761</v>
      </c>
      <c r="I311" s="3">
        <v>4</v>
      </c>
      <c r="J311" s="29" t="str">
        <f t="shared" si="36"/>
        <v>0</v>
      </c>
      <c r="K311" s="54" t="str">
        <f t="shared" si="37"/>
        <v>0</v>
      </c>
      <c r="L311" s="69" t="str">
        <f t="shared" si="38"/>
        <v>0</v>
      </c>
      <c r="M311" s="74" t="str">
        <f t="shared" si="39"/>
        <v>0</v>
      </c>
      <c r="N311" s="29" t="str">
        <f t="shared" si="40"/>
        <v>0</v>
      </c>
      <c r="O311" s="61">
        <v>1</v>
      </c>
      <c r="P311" s="65">
        <v>1</v>
      </c>
      <c r="Q311" s="46">
        <f t="shared" si="43"/>
        <v>2</v>
      </c>
      <c r="R311" s="3" t="str">
        <f t="shared" si="44"/>
        <v>ไม่ผ่าน</v>
      </c>
      <c r="S311" s="3" t="s">
        <v>28</v>
      </c>
      <c r="T311" s="32">
        <v>6410073113</v>
      </c>
      <c r="W311" s="36">
        <v>6410083112</v>
      </c>
      <c r="Y311" s="40">
        <f ca="1">IFERROR(__xludf.DUMMYFUNCTION("""COMPUTED_VALUE"""),6410048108)</f>
        <v>6410048108</v>
      </c>
      <c r="Z311" s="36">
        <v>6510014116</v>
      </c>
    </row>
    <row r="312" spans="1:26" ht="18" customHeight="1">
      <c r="A312" s="3">
        <v>310</v>
      </c>
      <c r="B312" s="3">
        <v>6310488113</v>
      </c>
      <c r="C312" s="4" t="s">
        <v>29</v>
      </c>
      <c r="D312" s="4" t="s">
        <v>642</v>
      </c>
      <c r="E312" s="4" t="s">
        <v>882</v>
      </c>
      <c r="F312" s="4" t="s">
        <v>883</v>
      </c>
      <c r="G312" s="4" t="s">
        <v>287</v>
      </c>
      <c r="H312" s="4" t="s">
        <v>761</v>
      </c>
      <c r="I312" s="3">
        <v>4</v>
      </c>
      <c r="J312" s="29" t="str">
        <f t="shared" si="36"/>
        <v>0</v>
      </c>
      <c r="K312" s="54" t="str">
        <f t="shared" si="37"/>
        <v>0</v>
      </c>
      <c r="L312" s="69" t="str">
        <f t="shared" si="38"/>
        <v>0</v>
      </c>
      <c r="M312" s="74" t="str">
        <f t="shared" si="39"/>
        <v>0</v>
      </c>
      <c r="N312" s="29" t="str">
        <f t="shared" si="40"/>
        <v>0</v>
      </c>
      <c r="O312" s="61">
        <v>1</v>
      </c>
      <c r="P312" s="65">
        <v>1</v>
      </c>
      <c r="Q312" s="46">
        <f t="shared" si="43"/>
        <v>2</v>
      </c>
      <c r="R312" s="3" t="str">
        <f t="shared" si="44"/>
        <v>ไม่ผ่าน</v>
      </c>
      <c r="S312" s="3" t="s">
        <v>28</v>
      </c>
      <c r="T312" s="32">
        <v>6612314126</v>
      </c>
      <c r="W312" s="36">
        <v>6410106114</v>
      </c>
      <c r="Y312" s="41">
        <f ca="1">IFERROR(__xludf.DUMMYFUNCTION("""COMPUTED_VALUE"""),6410048111)</f>
        <v>6410048111</v>
      </c>
      <c r="Z312" s="36">
        <v>6510014115</v>
      </c>
    </row>
    <row r="313" spans="1:26" ht="18" customHeight="1">
      <c r="A313" s="3">
        <v>311</v>
      </c>
      <c r="B313" s="3">
        <v>6310488117</v>
      </c>
      <c r="C313" s="4" t="s">
        <v>599</v>
      </c>
      <c r="D313" s="4" t="s">
        <v>884</v>
      </c>
      <c r="E313" s="4" t="s">
        <v>885</v>
      </c>
      <c r="F313" s="4" t="s">
        <v>784</v>
      </c>
      <c r="G313" s="4" t="s">
        <v>287</v>
      </c>
      <c r="H313" s="4" t="s">
        <v>761</v>
      </c>
      <c r="I313" s="3">
        <v>4</v>
      </c>
      <c r="J313" s="29" t="str">
        <f t="shared" si="36"/>
        <v>0</v>
      </c>
      <c r="K313" s="54" t="str">
        <f t="shared" si="37"/>
        <v>0</v>
      </c>
      <c r="L313" s="69" t="str">
        <f t="shared" si="38"/>
        <v>0</v>
      </c>
      <c r="M313" s="74" t="str">
        <f t="shared" si="39"/>
        <v>0</v>
      </c>
      <c r="N313" s="29" t="str">
        <f t="shared" si="40"/>
        <v>0</v>
      </c>
      <c r="O313" s="61">
        <v>1</v>
      </c>
      <c r="P313" s="65">
        <v>1</v>
      </c>
      <c r="Q313" s="46">
        <f t="shared" si="43"/>
        <v>2</v>
      </c>
      <c r="R313" s="3" t="str">
        <f t="shared" si="44"/>
        <v>ไม่ผ่าน</v>
      </c>
      <c r="S313" s="3" t="s">
        <v>28</v>
      </c>
      <c r="T313" s="32">
        <v>6412269106</v>
      </c>
      <c r="W313" s="36">
        <v>6410207207</v>
      </c>
      <c r="Y313" s="40">
        <f ca="1">IFERROR(__xludf.DUMMYFUNCTION("""COMPUTED_VALUE"""),6410048116)</f>
        <v>6410048116</v>
      </c>
      <c r="Z313" s="36">
        <v>6510014104</v>
      </c>
    </row>
    <row r="314" spans="1:26" ht="18" customHeight="1">
      <c r="A314" s="3">
        <v>312</v>
      </c>
      <c r="B314" s="3">
        <v>6310488118</v>
      </c>
      <c r="C314" s="4" t="s">
        <v>29</v>
      </c>
      <c r="D314" s="4" t="s">
        <v>886</v>
      </c>
      <c r="E314" s="4" t="s">
        <v>887</v>
      </c>
      <c r="F314" s="4" t="s">
        <v>888</v>
      </c>
      <c r="G314" s="4" t="s">
        <v>287</v>
      </c>
      <c r="H314" s="4" t="s">
        <v>761</v>
      </c>
      <c r="I314" s="3">
        <v>4</v>
      </c>
      <c r="J314" s="29" t="str">
        <f t="shared" si="36"/>
        <v>0</v>
      </c>
      <c r="K314" s="54" t="str">
        <f t="shared" si="37"/>
        <v>1</v>
      </c>
      <c r="L314" s="69" t="str">
        <f t="shared" si="38"/>
        <v>0</v>
      </c>
      <c r="M314" s="74" t="str">
        <f t="shared" si="39"/>
        <v>1</v>
      </c>
      <c r="N314" s="29" t="str">
        <f t="shared" si="40"/>
        <v>0</v>
      </c>
      <c r="O314" s="61">
        <v>1</v>
      </c>
      <c r="P314" s="65">
        <v>1</v>
      </c>
      <c r="Q314" s="46">
        <f t="shared" si="43"/>
        <v>4</v>
      </c>
      <c r="R314" s="83" t="str">
        <f t="shared" si="44"/>
        <v>ผ่าน</v>
      </c>
      <c r="S314" s="3" t="s">
        <v>28</v>
      </c>
      <c r="T314" s="32">
        <v>6410488123</v>
      </c>
      <c r="W314" s="36">
        <v>6410106219</v>
      </c>
      <c r="Y314" s="41">
        <f ca="1">IFERROR(__xludf.DUMMYFUNCTION("""COMPUTED_VALUE"""),6410048122)</f>
        <v>6410048122</v>
      </c>
      <c r="Z314" s="36">
        <v>6510014102</v>
      </c>
    </row>
    <row r="315" spans="1:26" ht="18" customHeight="1">
      <c r="A315" s="3">
        <v>313</v>
      </c>
      <c r="B315" s="5">
        <v>6310488118</v>
      </c>
      <c r="C315" s="6" t="s">
        <v>29</v>
      </c>
      <c r="D315" s="6" t="s">
        <v>886</v>
      </c>
      <c r="E315" s="4" t="s">
        <v>887</v>
      </c>
      <c r="F315" s="6" t="s">
        <v>888</v>
      </c>
      <c r="G315" s="6" t="s">
        <v>287</v>
      </c>
      <c r="H315" s="6" t="s">
        <v>761</v>
      </c>
      <c r="I315" s="5">
        <v>4</v>
      </c>
      <c r="J315" s="29" t="str">
        <f t="shared" si="36"/>
        <v>0</v>
      </c>
      <c r="K315" s="54" t="str">
        <f t="shared" si="37"/>
        <v>1</v>
      </c>
      <c r="L315" s="69" t="str">
        <f t="shared" si="38"/>
        <v>0</v>
      </c>
      <c r="M315" s="74" t="str">
        <f t="shared" si="39"/>
        <v>1</v>
      </c>
      <c r="N315" s="29" t="str">
        <f t="shared" si="40"/>
        <v>0</v>
      </c>
      <c r="O315" s="61">
        <v>1</v>
      </c>
      <c r="P315" s="65">
        <v>1</v>
      </c>
      <c r="Q315" s="46">
        <f t="shared" si="43"/>
        <v>4</v>
      </c>
      <c r="R315" s="83" t="str">
        <f t="shared" si="44"/>
        <v>ผ่าน</v>
      </c>
      <c r="S315" s="3" t="s">
        <v>28</v>
      </c>
      <c r="T315" s="32">
        <v>6410073121</v>
      </c>
      <c r="W315" s="36">
        <v>6410106121</v>
      </c>
      <c r="Y315" s="40">
        <f ca="1">IFERROR(__xludf.DUMMYFUNCTION("""COMPUTED_VALUE"""),6410048127)</f>
        <v>6410048127</v>
      </c>
      <c r="Z315" s="36">
        <v>6510014106</v>
      </c>
    </row>
    <row r="316" spans="1:26" ht="18" customHeight="1">
      <c r="A316" s="3">
        <v>314</v>
      </c>
      <c r="B316" s="3">
        <v>6310488120</v>
      </c>
      <c r="C316" s="4" t="s">
        <v>29</v>
      </c>
      <c r="D316" s="4" t="s">
        <v>889</v>
      </c>
      <c r="E316" s="4" t="s">
        <v>890</v>
      </c>
      <c r="F316" s="4" t="s">
        <v>891</v>
      </c>
      <c r="G316" s="4" t="s">
        <v>287</v>
      </c>
      <c r="H316" s="4" t="s">
        <v>761</v>
      </c>
      <c r="I316" s="3">
        <v>4</v>
      </c>
      <c r="J316" s="29" t="str">
        <f t="shared" si="36"/>
        <v>1</v>
      </c>
      <c r="K316" s="54" t="str">
        <f t="shared" si="37"/>
        <v>1</v>
      </c>
      <c r="L316" s="69" t="str">
        <f t="shared" si="38"/>
        <v>0</v>
      </c>
      <c r="M316" s="74" t="str">
        <f t="shared" si="39"/>
        <v>0</v>
      </c>
      <c r="N316" s="29" t="str">
        <f t="shared" si="40"/>
        <v>1</v>
      </c>
      <c r="O316" s="61">
        <v>1</v>
      </c>
      <c r="P316" s="65">
        <v>1</v>
      </c>
      <c r="Q316" s="46">
        <f t="shared" si="43"/>
        <v>5</v>
      </c>
      <c r="R316" s="83" t="str">
        <f t="shared" si="44"/>
        <v>ผ่าน</v>
      </c>
      <c r="S316" s="3" t="s">
        <v>28</v>
      </c>
      <c r="T316" s="32">
        <v>6412798105</v>
      </c>
      <c r="W316" s="36">
        <v>6510488204</v>
      </c>
      <c r="Y316" s="41">
        <f ca="1">IFERROR(__xludf.DUMMYFUNCTION("""COMPUTED_VALUE"""),6410048131)</f>
        <v>6410048131</v>
      </c>
      <c r="Z316" s="36">
        <v>6410207226</v>
      </c>
    </row>
    <row r="317" spans="1:26" ht="18" customHeight="1">
      <c r="A317" s="3">
        <v>315</v>
      </c>
      <c r="B317" s="3">
        <v>6310488122</v>
      </c>
      <c r="C317" s="4" t="s">
        <v>29</v>
      </c>
      <c r="D317" s="4" t="s">
        <v>892</v>
      </c>
      <c r="E317" s="4" t="s">
        <v>893</v>
      </c>
      <c r="F317" s="4" t="s">
        <v>894</v>
      </c>
      <c r="G317" s="4" t="s">
        <v>287</v>
      </c>
      <c r="H317" s="4" t="s">
        <v>761</v>
      </c>
      <c r="I317" s="3">
        <v>4</v>
      </c>
      <c r="J317" s="29" t="str">
        <f t="shared" si="36"/>
        <v>1</v>
      </c>
      <c r="K317" s="54" t="str">
        <f t="shared" si="37"/>
        <v>1</v>
      </c>
      <c r="L317" s="69" t="str">
        <f t="shared" si="38"/>
        <v>0</v>
      </c>
      <c r="M317" s="74" t="str">
        <f t="shared" si="39"/>
        <v>1</v>
      </c>
      <c r="N317" s="29" t="str">
        <f t="shared" si="40"/>
        <v>0</v>
      </c>
      <c r="O317" s="61">
        <v>1</v>
      </c>
      <c r="P317" s="65">
        <v>1</v>
      </c>
      <c r="Q317" s="46">
        <f t="shared" si="43"/>
        <v>5</v>
      </c>
      <c r="R317" s="83" t="str">
        <f t="shared" si="44"/>
        <v>ผ่าน</v>
      </c>
      <c r="S317" s="3" t="s">
        <v>28</v>
      </c>
      <c r="T317" s="32">
        <v>6310403125</v>
      </c>
      <c r="W317" s="36">
        <v>6610079113</v>
      </c>
      <c r="Y317" s="40">
        <f ca="1">IFERROR(__xludf.DUMMYFUNCTION("""COMPUTED_VALUE"""),6410048139)</f>
        <v>6410048139</v>
      </c>
      <c r="Z317" s="36">
        <v>6510488103</v>
      </c>
    </row>
    <row r="318" spans="1:26" ht="18" customHeight="1">
      <c r="A318" s="3">
        <v>316</v>
      </c>
      <c r="B318" s="3">
        <v>6310488128</v>
      </c>
      <c r="C318" s="4" t="s">
        <v>29</v>
      </c>
      <c r="D318" s="4" t="s">
        <v>149</v>
      </c>
      <c r="E318" s="4" t="s">
        <v>895</v>
      </c>
      <c r="F318" s="4" t="s">
        <v>300</v>
      </c>
      <c r="G318" s="4" t="s">
        <v>287</v>
      </c>
      <c r="H318" s="4" t="s">
        <v>761</v>
      </c>
      <c r="I318" s="3">
        <v>4</v>
      </c>
      <c r="J318" s="29" t="str">
        <f t="shared" si="36"/>
        <v>0</v>
      </c>
      <c r="K318" s="54" t="str">
        <f t="shared" si="37"/>
        <v>0</v>
      </c>
      <c r="L318" s="69" t="str">
        <f t="shared" si="38"/>
        <v>0</v>
      </c>
      <c r="M318" s="74" t="str">
        <f t="shared" si="39"/>
        <v>0</v>
      </c>
      <c r="N318" s="29" t="str">
        <f t="shared" si="40"/>
        <v>0</v>
      </c>
      <c r="O318" s="61">
        <v>1</v>
      </c>
      <c r="P318" s="65">
        <v>1</v>
      </c>
      <c r="Q318" s="46">
        <f t="shared" si="43"/>
        <v>2</v>
      </c>
      <c r="R318" s="3" t="str">
        <f t="shared" si="44"/>
        <v>ไม่ผ่าน</v>
      </c>
      <c r="S318" s="3" t="s">
        <v>28</v>
      </c>
      <c r="T318" s="32">
        <v>6610048243</v>
      </c>
      <c r="W318" s="36">
        <v>6312236131</v>
      </c>
      <c r="Y318" s="41">
        <f ca="1">IFERROR(__xludf.DUMMYFUNCTION("""COMPUTED_VALUE"""),6410048141)</f>
        <v>6410048141</v>
      </c>
      <c r="Z318" s="36">
        <v>6512743224</v>
      </c>
    </row>
    <row r="319" spans="1:26" ht="18" customHeight="1">
      <c r="A319" s="3">
        <v>317</v>
      </c>
      <c r="B319" s="3">
        <v>6310488133</v>
      </c>
      <c r="C319" s="4" t="s">
        <v>29</v>
      </c>
      <c r="D319" s="4" t="s">
        <v>896</v>
      </c>
      <c r="E319" s="4" t="s">
        <v>897</v>
      </c>
      <c r="F319" s="4" t="s">
        <v>898</v>
      </c>
      <c r="G319" s="4" t="s">
        <v>287</v>
      </c>
      <c r="H319" s="4" t="s">
        <v>761</v>
      </c>
      <c r="I319" s="3">
        <v>4</v>
      </c>
      <c r="J319" s="29" t="str">
        <f t="shared" si="36"/>
        <v>0</v>
      </c>
      <c r="K319" s="54" t="str">
        <f t="shared" si="37"/>
        <v>0</v>
      </c>
      <c r="L319" s="69" t="str">
        <f t="shared" si="38"/>
        <v>0</v>
      </c>
      <c r="M319" s="74" t="str">
        <f t="shared" si="39"/>
        <v>0</v>
      </c>
      <c r="N319" s="29" t="str">
        <f t="shared" si="40"/>
        <v>0</v>
      </c>
      <c r="O319" s="61">
        <v>1</v>
      </c>
      <c r="P319" s="65">
        <v>1</v>
      </c>
      <c r="Q319" s="46">
        <f t="shared" si="43"/>
        <v>2</v>
      </c>
      <c r="R319" s="3" t="str">
        <f t="shared" si="44"/>
        <v>ไม่ผ่าน</v>
      </c>
      <c r="S319" s="3" t="s">
        <v>28</v>
      </c>
      <c r="T319" s="32">
        <v>6310403127</v>
      </c>
      <c r="W319" s="36">
        <v>6610403109</v>
      </c>
      <c r="Y319" s="40">
        <f ca="1">IFERROR(__xludf.DUMMYFUNCTION("""COMPUTED_VALUE"""),6410048152)</f>
        <v>6410048152</v>
      </c>
      <c r="Z319" s="36">
        <v>6410048116</v>
      </c>
    </row>
    <row r="320" spans="1:26" ht="18" customHeight="1">
      <c r="A320" s="3">
        <v>318</v>
      </c>
      <c r="B320" s="3">
        <v>6310488136</v>
      </c>
      <c r="C320" s="4" t="s">
        <v>29</v>
      </c>
      <c r="D320" s="4" t="s">
        <v>899</v>
      </c>
      <c r="E320" s="4" t="s">
        <v>900</v>
      </c>
      <c r="F320" s="4" t="s">
        <v>59</v>
      </c>
      <c r="G320" s="4" t="s">
        <v>287</v>
      </c>
      <c r="H320" s="4" t="s">
        <v>761</v>
      </c>
      <c r="I320" s="3">
        <v>4</v>
      </c>
      <c r="J320" s="29" t="str">
        <f t="shared" si="36"/>
        <v>0</v>
      </c>
      <c r="K320" s="54" t="str">
        <f t="shared" si="37"/>
        <v>0</v>
      </c>
      <c r="L320" s="69" t="str">
        <f t="shared" si="38"/>
        <v>0</v>
      </c>
      <c r="M320" s="74" t="str">
        <f t="shared" si="39"/>
        <v>0</v>
      </c>
      <c r="N320" s="29" t="str">
        <f t="shared" si="40"/>
        <v>0</v>
      </c>
      <c r="O320" s="61">
        <v>1</v>
      </c>
      <c r="P320" s="65">
        <v>1</v>
      </c>
      <c r="Q320" s="46">
        <f t="shared" si="43"/>
        <v>2</v>
      </c>
      <c r="R320" s="3" t="str">
        <f t="shared" si="44"/>
        <v>ไม่ผ่าน</v>
      </c>
      <c r="S320" s="3" t="s">
        <v>28</v>
      </c>
      <c r="T320" s="32">
        <v>6412798116</v>
      </c>
      <c r="W320" s="36">
        <v>6410106112</v>
      </c>
      <c r="Y320" s="41">
        <f ca="1">IFERROR(__xludf.DUMMYFUNCTION("""COMPUTED_VALUE"""),6410048153)</f>
        <v>6410048153</v>
      </c>
      <c r="Z320" s="36">
        <v>6410403204</v>
      </c>
    </row>
    <row r="321" spans="1:26" ht="18" customHeight="1">
      <c r="A321" s="3">
        <v>319</v>
      </c>
      <c r="B321" s="3">
        <v>6310488204</v>
      </c>
      <c r="C321" s="4" t="s">
        <v>22</v>
      </c>
      <c r="D321" s="4" t="s">
        <v>901</v>
      </c>
      <c r="E321" s="4" t="s">
        <v>902</v>
      </c>
      <c r="F321" s="4" t="s">
        <v>903</v>
      </c>
      <c r="G321" s="4" t="s">
        <v>287</v>
      </c>
      <c r="H321" s="4" t="s">
        <v>761</v>
      </c>
      <c r="I321" s="3">
        <v>4</v>
      </c>
      <c r="J321" s="29" t="str">
        <f t="shared" si="36"/>
        <v>0</v>
      </c>
      <c r="K321" s="54" t="str">
        <f t="shared" si="37"/>
        <v>0</v>
      </c>
      <c r="L321" s="69" t="str">
        <f t="shared" si="38"/>
        <v>0</v>
      </c>
      <c r="M321" s="74" t="str">
        <f t="shared" si="39"/>
        <v>0</v>
      </c>
      <c r="N321" s="29" t="str">
        <f t="shared" si="40"/>
        <v>0</v>
      </c>
      <c r="O321" s="61">
        <v>1</v>
      </c>
      <c r="P321" s="65">
        <v>1</v>
      </c>
      <c r="Q321" s="46">
        <f t="shared" si="43"/>
        <v>2</v>
      </c>
      <c r="R321" s="3" t="str">
        <f t="shared" si="44"/>
        <v>ไม่ผ่าน</v>
      </c>
      <c r="S321" s="3" t="s">
        <v>28</v>
      </c>
      <c r="T321" s="32">
        <v>6412798117</v>
      </c>
      <c r="W321" s="36">
        <v>6310414217</v>
      </c>
      <c r="Y321" s="40">
        <f ca="1">IFERROR(__xludf.DUMMYFUNCTION("""COMPUTED_VALUE"""),6410048156)</f>
        <v>6410048156</v>
      </c>
      <c r="Z321" s="36">
        <v>6410207125</v>
      </c>
    </row>
    <row r="322" spans="1:26" ht="18" customHeight="1">
      <c r="A322" s="3">
        <v>320</v>
      </c>
      <c r="B322" s="3">
        <v>6310488205</v>
      </c>
      <c r="C322" s="4" t="s">
        <v>22</v>
      </c>
      <c r="D322" s="4" t="s">
        <v>904</v>
      </c>
      <c r="E322" s="4" t="s">
        <v>905</v>
      </c>
      <c r="F322" s="4" t="s">
        <v>906</v>
      </c>
      <c r="G322" s="4" t="s">
        <v>287</v>
      </c>
      <c r="H322" s="4" t="s">
        <v>761</v>
      </c>
      <c r="I322" s="3">
        <v>4</v>
      </c>
      <c r="J322" s="29" t="str">
        <f t="shared" si="36"/>
        <v>1</v>
      </c>
      <c r="K322" s="54" t="str">
        <f t="shared" si="37"/>
        <v>1</v>
      </c>
      <c r="L322" s="69" t="str">
        <f t="shared" si="38"/>
        <v>0</v>
      </c>
      <c r="M322" s="74" t="str">
        <f t="shared" si="39"/>
        <v>1</v>
      </c>
      <c r="N322" s="29" t="str">
        <f t="shared" si="40"/>
        <v>0</v>
      </c>
      <c r="O322" s="61">
        <v>1</v>
      </c>
      <c r="P322" s="65">
        <v>1</v>
      </c>
      <c r="Q322" s="46">
        <f t="shared" si="43"/>
        <v>5</v>
      </c>
      <c r="R322" s="83" t="str">
        <f t="shared" si="44"/>
        <v>ผ่าน</v>
      </c>
      <c r="S322" s="3" t="s">
        <v>28</v>
      </c>
      <c r="T322" s="32">
        <v>6312866135</v>
      </c>
      <c r="W322" s="36">
        <v>6410106130</v>
      </c>
      <c r="Y322" s="41">
        <f ca="1">IFERROR(__xludf.DUMMYFUNCTION("""COMPUTED_VALUE"""),6410048157)</f>
        <v>6410048157</v>
      </c>
      <c r="Z322" s="36">
        <v>6612721113</v>
      </c>
    </row>
    <row r="323" spans="1:26" ht="18" customHeight="1">
      <c r="A323" s="3">
        <v>321</v>
      </c>
      <c r="B323" s="3">
        <v>6310488214</v>
      </c>
      <c r="C323" s="4" t="s">
        <v>29</v>
      </c>
      <c r="D323" s="4" t="s">
        <v>907</v>
      </c>
      <c r="E323" s="4" t="s">
        <v>908</v>
      </c>
      <c r="F323" s="4" t="s">
        <v>909</v>
      </c>
      <c r="G323" s="4" t="s">
        <v>287</v>
      </c>
      <c r="H323" s="4" t="s">
        <v>761</v>
      </c>
      <c r="I323" s="3">
        <v>4</v>
      </c>
      <c r="J323" s="29" t="str">
        <f t="shared" ref="J323:J386" si="45">IF(IFERROR(VLOOKUP(B323,DATA,1,FALSE),),"1","0")</f>
        <v>0</v>
      </c>
      <c r="K323" s="54" t="str">
        <f t="shared" ref="K323:K386" si="46">IF(IFERROR(VLOOKUP(B323,DATA8,1,FALSE),),"1","0")</f>
        <v>1</v>
      </c>
      <c r="L323" s="69" t="str">
        <f t="shared" ref="L323:L386" si="47">IF(IFERROR(VLOOKUP(B323,DATA7,1,FALSE),),"1","0")</f>
        <v>0</v>
      </c>
      <c r="M323" s="74" t="str">
        <f t="shared" ref="M323:M386" si="48">IF(IFERROR(VLOOKUP(B323,DATA9,1,FALSE),),"1","0")</f>
        <v>1</v>
      </c>
      <c r="N323" s="29" t="str">
        <f t="shared" ref="N323:N386" si="49">IF(IFERROR(VLOOKUP(B323,DATA10,1,FALSE),),"1","0")</f>
        <v>0</v>
      </c>
      <c r="O323" s="61">
        <v>1</v>
      </c>
      <c r="P323" s="65">
        <v>1</v>
      </c>
      <c r="Q323" s="46">
        <f t="shared" si="43"/>
        <v>4</v>
      </c>
      <c r="R323" s="83" t="str">
        <f t="shared" ref="R323:R386" si="50">IF(Q323&gt;=3,"ผ่าน",IF(Q323&lt;3,"ไม่ผ่าน"))</f>
        <v>ผ่าน</v>
      </c>
      <c r="S323" s="3" t="s">
        <v>28</v>
      </c>
      <c r="T323" s="32">
        <v>6510014116</v>
      </c>
      <c r="W323" s="36">
        <v>6411506220</v>
      </c>
      <c r="Y323" s="40">
        <f ca="1">IFERROR(__xludf.DUMMYFUNCTION("""COMPUTED_VALUE"""),6410048158)</f>
        <v>6410048158</v>
      </c>
      <c r="Z323" s="36">
        <v>6412866221</v>
      </c>
    </row>
    <row r="324" spans="1:26" ht="18" customHeight="1">
      <c r="A324" s="3">
        <v>322</v>
      </c>
      <c r="B324" s="3">
        <v>6310488215</v>
      </c>
      <c r="C324" s="4" t="s">
        <v>29</v>
      </c>
      <c r="D324" s="4" t="s">
        <v>910</v>
      </c>
      <c r="E324" s="4" t="s">
        <v>911</v>
      </c>
      <c r="F324" s="4" t="s">
        <v>912</v>
      </c>
      <c r="G324" s="4" t="s">
        <v>287</v>
      </c>
      <c r="H324" s="4" t="s">
        <v>761</v>
      </c>
      <c r="I324" s="3">
        <v>4</v>
      </c>
      <c r="J324" s="29" t="str">
        <f t="shared" si="45"/>
        <v>0</v>
      </c>
      <c r="K324" s="54">
        <v>1</v>
      </c>
      <c r="L324" s="69" t="str">
        <f t="shared" si="47"/>
        <v>0</v>
      </c>
      <c r="M324" s="74" t="str">
        <f t="shared" si="48"/>
        <v>0</v>
      </c>
      <c r="N324" s="29" t="str">
        <f t="shared" si="49"/>
        <v>0</v>
      </c>
      <c r="O324" s="61">
        <v>1</v>
      </c>
      <c r="P324" s="65">
        <v>1</v>
      </c>
      <c r="Q324" s="46">
        <f t="shared" ref="Q324:Q387" si="51">J324+K324+L324+M324+N324+O324+P324</f>
        <v>3</v>
      </c>
      <c r="R324" s="83" t="str">
        <f t="shared" si="50"/>
        <v>ผ่าน</v>
      </c>
      <c r="S324" s="3" t="s">
        <v>28</v>
      </c>
      <c r="T324" s="32">
        <v>6515964125</v>
      </c>
      <c r="W324" s="36">
        <v>6410073104</v>
      </c>
      <c r="Y324" s="41">
        <f ca="1">IFERROR(__xludf.DUMMYFUNCTION("""COMPUTED_VALUE"""),6410048161)</f>
        <v>6410048161</v>
      </c>
      <c r="Z324" s="36">
        <v>6310403125</v>
      </c>
    </row>
    <row r="325" spans="1:26" ht="18" customHeight="1">
      <c r="A325" s="3">
        <v>323</v>
      </c>
      <c r="B325" s="3">
        <v>6310488219</v>
      </c>
      <c r="C325" s="4" t="s">
        <v>29</v>
      </c>
      <c r="D325" s="4" t="s">
        <v>913</v>
      </c>
      <c r="E325" s="4" t="s">
        <v>914</v>
      </c>
      <c r="F325" s="4" t="s">
        <v>915</v>
      </c>
      <c r="G325" s="4" t="s">
        <v>287</v>
      </c>
      <c r="H325" s="4" t="s">
        <v>761</v>
      </c>
      <c r="I325" s="3">
        <v>4</v>
      </c>
      <c r="J325" s="29" t="str">
        <f t="shared" si="45"/>
        <v>1</v>
      </c>
      <c r="K325" s="54" t="str">
        <f t="shared" si="46"/>
        <v>1</v>
      </c>
      <c r="L325" s="69" t="str">
        <f t="shared" si="47"/>
        <v>0</v>
      </c>
      <c r="M325" s="74" t="str">
        <f t="shared" si="48"/>
        <v>0</v>
      </c>
      <c r="N325" s="29" t="str">
        <f t="shared" si="49"/>
        <v>1</v>
      </c>
      <c r="O325" s="61">
        <v>1</v>
      </c>
      <c r="P325" s="65">
        <v>1</v>
      </c>
      <c r="Q325" s="46">
        <f t="shared" si="51"/>
        <v>5</v>
      </c>
      <c r="R325" s="83" t="str">
        <f t="shared" si="50"/>
        <v>ผ่าน</v>
      </c>
      <c r="S325" s="3" t="s">
        <v>28</v>
      </c>
      <c r="T325" s="32">
        <v>6410633124</v>
      </c>
      <c r="W325" s="36">
        <v>6410095107</v>
      </c>
      <c r="Y325" s="40">
        <f ca="1">IFERROR(__xludf.DUMMYFUNCTION("""COMPUTED_VALUE"""),6410048162)</f>
        <v>6410048162</v>
      </c>
      <c r="Z325" s="36">
        <v>6410207225</v>
      </c>
    </row>
    <row r="326" spans="1:26" ht="18" customHeight="1">
      <c r="A326" s="3">
        <v>324</v>
      </c>
      <c r="B326" s="3">
        <v>6310488220</v>
      </c>
      <c r="C326" s="4" t="s">
        <v>29</v>
      </c>
      <c r="D326" s="4" t="s">
        <v>916</v>
      </c>
      <c r="E326" s="4" t="s">
        <v>917</v>
      </c>
      <c r="F326" s="4" t="s">
        <v>918</v>
      </c>
      <c r="G326" s="4" t="s">
        <v>287</v>
      </c>
      <c r="H326" s="4" t="s">
        <v>761</v>
      </c>
      <c r="I326" s="3">
        <v>4</v>
      </c>
      <c r="J326" s="29" t="str">
        <f t="shared" si="45"/>
        <v>0</v>
      </c>
      <c r="K326" s="54" t="str">
        <f t="shared" si="46"/>
        <v>1</v>
      </c>
      <c r="L326" s="69" t="str">
        <f t="shared" si="47"/>
        <v>0</v>
      </c>
      <c r="M326" s="74" t="str">
        <f t="shared" si="48"/>
        <v>1</v>
      </c>
      <c r="N326" s="29" t="str">
        <f t="shared" si="49"/>
        <v>0</v>
      </c>
      <c r="O326" s="61">
        <v>1</v>
      </c>
      <c r="P326" s="65">
        <v>1</v>
      </c>
      <c r="Q326" s="46">
        <f t="shared" si="51"/>
        <v>4</v>
      </c>
      <c r="R326" s="83" t="str">
        <f t="shared" si="50"/>
        <v>ผ่าน</v>
      </c>
      <c r="S326" s="3" t="s">
        <v>28</v>
      </c>
      <c r="T326" s="32">
        <v>6312269106</v>
      </c>
      <c r="W326" s="36">
        <v>6410488221</v>
      </c>
      <c r="Y326" s="41">
        <f ca="1">IFERROR(__xludf.DUMMYFUNCTION("""COMPUTED_VALUE"""),6410048201)</f>
        <v>6410048201</v>
      </c>
      <c r="Z326" s="36">
        <v>6610083114</v>
      </c>
    </row>
    <row r="327" spans="1:26" ht="18" customHeight="1">
      <c r="A327" s="3">
        <v>325</v>
      </c>
      <c r="B327" s="3">
        <v>6310488222</v>
      </c>
      <c r="C327" s="4" t="s">
        <v>29</v>
      </c>
      <c r="D327" s="4" t="s">
        <v>919</v>
      </c>
      <c r="E327" s="4" t="s">
        <v>920</v>
      </c>
      <c r="F327" s="4" t="s">
        <v>921</v>
      </c>
      <c r="G327" s="4" t="s">
        <v>287</v>
      </c>
      <c r="H327" s="4" t="s">
        <v>761</v>
      </c>
      <c r="I327" s="3">
        <v>4</v>
      </c>
      <c r="J327" s="29" t="str">
        <f t="shared" si="45"/>
        <v>0</v>
      </c>
      <c r="K327" s="54">
        <v>1</v>
      </c>
      <c r="L327" s="69" t="str">
        <f t="shared" si="47"/>
        <v>0</v>
      </c>
      <c r="M327" s="74" t="str">
        <f t="shared" si="48"/>
        <v>1</v>
      </c>
      <c r="N327" s="29" t="str">
        <f t="shared" si="49"/>
        <v>0</v>
      </c>
      <c r="O327" s="61">
        <v>1</v>
      </c>
      <c r="P327" s="65">
        <v>1</v>
      </c>
      <c r="Q327" s="46">
        <f t="shared" si="51"/>
        <v>4</v>
      </c>
      <c r="R327" s="83" t="str">
        <f t="shared" si="50"/>
        <v>ผ่าน</v>
      </c>
      <c r="S327" s="3" t="s">
        <v>28</v>
      </c>
      <c r="T327" s="32">
        <v>6310073108</v>
      </c>
      <c r="W327" s="36">
        <v>6410106122</v>
      </c>
      <c r="Y327" s="40">
        <f ca="1">IFERROR(__xludf.DUMMYFUNCTION("""COMPUTED_VALUE"""),6410048207)</f>
        <v>6410048207</v>
      </c>
      <c r="Z327" s="36">
        <v>6410633111</v>
      </c>
    </row>
    <row r="328" spans="1:26" ht="18" customHeight="1">
      <c r="A328" s="3">
        <v>326</v>
      </c>
      <c r="B328" s="3">
        <v>6310488227</v>
      </c>
      <c r="C328" s="4" t="s">
        <v>29</v>
      </c>
      <c r="D328" s="4" t="s">
        <v>922</v>
      </c>
      <c r="E328" s="4" t="s">
        <v>923</v>
      </c>
      <c r="F328" s="4" t="s">
        <v>924</v>
      </c>
      <c r="G328" s="4" t="s">
        <v>287</v>
      </c>
      <c r="H328" s="4" t="s">
        <v>761</v>
      </c>
      <c r="I328" s="3">
        <v>4</v>
      </c>
      <c r="J328" s="29" t="str">
        <f t="shared" si="45"/>
        <v>1</v>
      </c>
      <c r="K328" s="54">
        <v>1</v>
      </c>
      <c r="L328" s="69" t="str">
        <f t="shared" si="47"/>
        <v>0</v>
      </c>
      <c r="M328" s="74" t="str">
        <f t="shared" si="48"/>
        <v>1</v>
      </c>
      <c r="N328" s="29" t="str">
        <f t="shared" si="49"/>
        <v>0</v>
      </c>
      <c r="O328" s="61">
        <v>1</v>
      </c>
      <c r="P328" s="65">
        <v>1</v>
      </c>
      <c r="Q328" s="46">
        <f t="shared" si="51"/>
        <v>5</v>
      </c>
      <c r="R328" s="83" t="str">
        <f t="shared" si="50"/>
        <v>ผ่าน</v>
      </c>
      <c r="S328" s="3" t="s">
        <v>28</v>
      </c>
      <c r="T328" s="32">
        <v>6512855106</v>
      </c>
      <c r="W328" s="36">
        <v>6411506219</v>
      </c>
      <c r="Y328" s="41">
        <f ca="1">IFERROR(__xludf.DUMMYFUNCTION("""COMPUTED_VALUE"""),6410048243)</f>
        <v>6410048243</v>
      </c>
      <c r="Z328" s="36">
        <v>6312213121</v>
      </c>
    </row>
    <row r="329" spans="1:26" ht="18" customHeight="1">
      <c r="A329" s="3">
        <v>327</v>
      </c>
      <c r="B329" s="3">
        <v>6310488231</v>
      </c>
      <c r="C329" s="4" t="s">
        <v>29</v>
      </c>
      <c r="D329" s="4" t="s">
        <v>925</v>
      </c>
      <c r="E329" s="4" t="s">
        <v>926</v>
      </c>
      <c r="F329" s="4" t="s">
        <v>927</v>
      </c>
      <c r="G329" s="4" t="s">
        <v>287</v>
      </c>
      <c r="H329" s="4" t="s">
        <v>761</v>
      </c>
      <c r="I329" s="3">
        <v>4</v>
      </c>
      <c r="J329" s="29" t="str">
        <f t="shared" si="45"/>
        <v>0</v>
      </c>
      <c r="K329" s="54" t="str">
        <f t="shared" si="46"/>
        <v>1</v>
      </c>
      <c r="L329" s="69" t="str">
        <f t="shared" si="47"/>
        <v>0</v>
      </c>
      <c r="M329" s="74" t="str">
        <f t="shared" si="48"/>
        <v>1</v>
      </c>
      <c r="N329" s="29" t="str">
        <f t="shared" si="49"/>
        <v>0</v>
      </c>
      <c r="O329" s="61">
        <v>1</v>
      </c>
      <c r="P329" s="65">
        <v>1</v>
      </c>
      <c r="Q329" s="46">
        <f t="shared" si="51"/>
        <v>4</v>
      </c>
      <c r="R329" s="83" t="str">
        <f t="shared" si="50"/>
        <v>ผ่าน</v>
      </c>
      <c r="S329" s="3" t="s">
        <v>28</v>
      </c>
      <c r="T329" s="32">
        <v>6610414208</v>
      </c>
      <c r="W329" s="36">
        <v>6410106132</v>
      </c>
      <c r="Y329" s="40">
        <f ca="1">IFERROR(__xludf.DUMMYFUNCTION("""COMPUTED_VALUE"""),6410048260)</f>
        <v>6410048260</v>
      </c>
      <c r="Z329" s="36">
        <v>6610392213</v>
      </c>
    </row>
    <row r="330" spans="1:26" ht="18" customHeight="1">
      <c r="A330" s="3">
        <v>328</v>
      </c>
      <c r="B330" s="3">
        <v>6610414115</v>
      </c>
      <c r="C330" s="4" t="s">
        <v>29</v>
      </c>
      <c r="D330" s="4" t="s">
        <v>928</v>
      </c>
      <c r="E330" s="4" t="s">
        <v>929</v>
      </c>
      <c r="F330" s="4" t="s">
        <v>154</v>
      </c>
      <c r="G330" s="4" t="s">
        <v>287</v>
      </c>
      <c r="H330" s="4" t="s">
        <v>930</v>
      </c>
      <c r="I330" s="3">
        <v>1</v>
      </c>
      <c r="J330" s="29" t="str">
        <f t="shared" si="45"/>
        <v>1</v>
      </c>
      <c r="K330" s="54">
        <v>1</v>
      </c>
      <c r="L330" s="69" t="str">
        <f t="shared" si="47"/>
        <v>0</v>
      </c>
      <c r="M330" s="74" t="str">
        <f t="shared" si="48"/>
        <v>0</v>
      </c>
      <c r="N330" s="29" t="str">
        <f t="shared" si="49"/>
        <v>1</v>
      </c>
      <c r="O330" s="61" t="str">
        <f t="shared" ref="O323:O386" ca="1" si="52">IF(IFERROR(VLOOKUP(B330,DATA11,1,FALSE),),"1","0")</f>
        <v>1</v>
      </c>
      <c r="P330" s="65" t="str">
        <f t="shared" ref="P323:P386" si="53">IF(IFERROR(VLOOKUP(B330,DATA12,1,FALSE),),"1","0")</f>
        <v>1</v>
      </c>
      <c r="Q330" s="46">
        <f t="shared" ca="1" si="51"/>
        <v>5</v>
      </c>
      <c r="R330" s="83" t="str">
        <f t="shared" ca="1" si="50"/>
        <v>ผ่าน</v>
      </c>
      <c r="S330" s="3" t="s">
        <v>28</v>
      </c>
      <c r="T330" s="32">
        <v>6512798152</v>
      </c>
      <c r="W330" s="36">
        <v>6411506114</v>
      </c>
      <c r="Y330" s="41">
        <f ca="1">IFERROR(__xludf.DUMMYFUNCTION("""COMPUTED_VALUE"""),6410048262)</f>
        <v>6410048262</v>
      </c>
      <c r="Z330" s="36">
        <v>6410207205</v>
      </c>
    </row>
    <row r="331" spans="1:26" ht="18" customHeight="1">
      <c r="A331" s="3">
        <v>329</v>
      </c>
      <c r="B331" s="3">
        <v>6610414128</v>
      </c>
      <c r="C331" s="4" t="s">
        <v>29</v>
      </c>
      <c r="D331" s="4" t="s">
        <v>378</v>
      </c>
      <c r="E331" s="4" t="s">
        <v>931</v>
      </c>
      <c r="F331" s="4" t="s">
        <v>672</v>
      </c>
      <c r="G331" s="4" t="s">
        <v>287</v>
      </c>
      <c r="H331" s="4" t="s">
        <v>930</v>
      </c>
      <c r="I331" s="3">
        <v>1</v>
      </c>
      <c r="J331" s="29" t="str">
        <f t="shared" si="45"/>
        <v>1</v>
      </c>
      <c r="K331" s="54">
        <v>1</v>
      </c>
      <c r="L331" s="69" t="str">
        <f t="shared" si="47"/>
        <v>0</v>
      </c>
      <c r="M331" s="74" t="str">
        <f t="shared" si="48"/>
        <v>0</v>
      </c>
      <c r="N331" s="29" t="str">
        <f t="shared" si="49"/>
        <v>1</v>
      </c>
      <c r="O331" s="61" t="str">
        <f t="shared" ca="1" si="52"/>
        <v>1</v>
      </c>
      <c r="P331" s="65" t="str">
        <f t="shared" si="53"/>
        <v>1</v>
      </c>
      <c r="Q331" s="46">
        <f t="shared" ca="1" si="51"/>
        <v>5</v>
      </c>
      <c r="R331" s="83" t="str">
        <f t="shared" ca="1" si="50"/>
        <v>ผ่าน</v>
      </c>
      <c r="S331" s="3" t="s">
        <v>28</v>
      </c>
      <c r="T331" s="32">
        <v>6312743215</v>
      </c>
      <c r="W331" s="36">
        <v>6410106216</v>
      </c>
      <c r="Y331" s="40">
        <f ca="1">IFERROR(__xludf.DUMMYFUNCTION("""COMPUTED_VALUE"""),6410048264)</f>
        <v>6410048264</v>
      </c>
      <c r="Z331" s="36">
        <v>6312213103</v>
      </c>
    </row>
    <row r="332" spans="1:26" ht="18" customHeight="1">
      <c r="A332" s="3">
        <v>330</v>
      </c>
      <c r="B332" s="3">
        <v>6610414201</v>
      </c>
      <c r="C332" s="4" t="s">
        <v>22</v>
      </c>
      <c r="D332" s="4" t="s">
        <v>932</v>
      </c>
      <c r="E332" s="4" t="s">
        <v>933</v>
      </c>
      <c r="F332" s="4" t="s">
        <v>934</v>
      </c>
      <c r="G332" s="4" t="s">
        <v>287</v>
      </c>
      <c r="H332" s="4" t="s">
        <v>930</v>
      </c>
      <c r="I332" s="3">
        <v>1</v>
      </c>
      <c r="J332" s="29" t="str">
        <f t="shared" si="45"/>
        <v>1</v>
      </c>
      <c r="K332" s="54" t="str">
        <f t="shared" si="46"/>
        <v>1</v>
      </c>
      <c r="L332" s="69" t="str">
        <f t="shared" si="47"/>
        <v>0</v>
      </c>
      <c r="M332" s="74" t="str">
        <f t="shared" si="48"/>
        <v>1</v>
      </c>
      <c r="N332" s="29" t="str">
        <f t="shared" si="49"/>
        <v>0</v>
      </c>
      <c r="O332" s="61" t="str">
        <f t="shared" ca="1" si="52"/>
        <v>1</v>
      </c>
      <c r="P332" s="65" t="str">
        <f t="shared" si="53"/>
        <v>1</v>
      </c>
      <c r="Q332" s="46">
        <f t="shared" ca="1" si="51"/>
        <v>5</v>
      </c>
      <c r="R332" s="83" t="str">
        <f t="shared" ca="1" si="50"/>
        <v>ผ่าน</v>
      </c>
      <c r="S332" s="3" t="s">
        <v>28</v>
      </c>
      <c r="T332" s="32">
        <v>6315964112</v>
      </c>
      <c r="W332" s="36">
        <v>6310207215</v>
      </c>
      <c r="Y332" s="41">
        <f ca="1">IFERROR(__xludf.DUMMYFUNCTION("""COMPUTED_VALUE"""),6410059110)</f>
        <v>6410059110</v>
      </c>
      <c r="Z332" s="36">
        <v>6410048156</v>
      </c>
    </row>
    <row r="333" spans="1:26" ht="18" customHeight="1">
      <c r="A333" s="3">
        <v>331</v>
      </c>
      <c r="B333" s="3">
        <v>6610414208</v>
      </c>
      <c r="C333" s="4" t="s">
        <v>29</v>
      </c>
      <c r="D333" s="4" t="s">
        <v>48</v>
      </c>
      <c r="E333" s="4" t="s">
        <v>935</v>
      </c>
      <c r="F333" s="4" t="s">
        <v>936</v>
      </c>
      <c r="G333" s="4" t="s">
        <v>287</v>
      </c>
      <c r="H333" s="4" t="s">
        <v>930</v>
      </c>
      <c r="I333" s="3">
        <v>1</v>
      </c>
      <c r="J333" s="29" t="str">
        <f t="shared" si="45"/>
        <v>1</v>
      </c>
      <c r="K333" s="54" t="str">
        <f t="shared" si="46"/>
        <v>0</v>
      </c>
      <c r="L333" s="69" t="str">
        <f t="shared" si="47"/>
        <v>1</v>
      </c>
      <c r="M333" s="74" t="str">
        <f t="shared" si="48"/>
        <v>0</v>
      </c>
      <c r="N333" s="29" t="str">
        <f t="shared" si="49"/>
        <v>1</v>
      </c>
      <c r="O333" s="61" t="str">
        <f t="shared" ca="1" si="52"/>
        <v>1</v>
      </c>
      <c r="P333" s="65" t="str">
        <f t="shared" si="53"/>
        <v>1</v>
      </c>
      <c r="Q333" s="46">
        <f t="shared" ca="1" si="51"/>
        <v>5</v>
      </c>
      <c r="R333" s="83" t="str">
        <f t="shared" ca="1" si="50"/>
        <v>ผ่าน</v>
      </c>
      <c r="S333" s="3" t="s">
        <v>28</v>
      </c>
      <c r="T333" s="32">
        <v>6410073126</v>
      </c>
      <c r="W333" s="36">
        <v>6410207114</v>
      </c>
      <c r="Y333" s="40">
        <f ca="1">IFERROR(__xludf.DUMMYFUNCTION("""COMPUTED_VALUE"""),6410059112)</f>
        <v>6410059112</v>
      </c>
      <c r="Z333" s="36">
        <v>6510633118</v>
      </c>
    </row>
    <row r="334" spans="1:26" ht="18" customHeight="1">
      <c r="A334" s="3">
        <v>332</v>
      </c>
      <c r="B334" s="3">
        <v>6610414217</v>
      </c>
      <c r="C334" s="4" t="s">
        <v>29</v>
      </c>
      <c r="D334" s="4" t="s">
        <v>234</v>
      </c>
      <c r="E334" s="4" t="s">
        <v>937</v>
      </c>
      <c r="F334" s="4" t="s">
        <v>938</v>
      </c>
      <c r="G334" s="4" t="s">
        <v>287</v>
      </c>
      <c r="H334" s="4" t="s">
        <v>930</v>
      </c>
      <c r="I334" s="3">
        <v>1</v>
      </c>
      <c r="J334" s="29" t="str">
        <f t="shared" si="45"/>
        <v>0</v>
      </c>
      <c r="K334" s="54" t="str">
        <f t="shared" si="46"/>
        <v>0</v>
      </c>
      <c r="L334" s="69" t="str">
        <f t="shared" si="47"/>
        <v>0</v>
      </c>
      <c r="M334" s="74" t="str">
        <f t="shared" si="48"/>
        <v>1</v>
      </c>
      <c r="N334" s="29" t="str">
        <f t="shared" si="49"/>
        <v>0</v>
      </c>
      <c r="O334" s="61" t="str">
        <f t="shared" ca="1" si="52"/>
        <v>1</v>
      </c>
      <c r="P334" s="65" t="str">
        <f t="shared" si="53"/>
        <v>1</v>
      </c>
      <c r="Q334" s="46">
        <f t="shared" ca="1" si="51"/>
        <v>3</v>
      </c>
      <c r="R334" s="83" t="str">
        <f t="shared" ca="1" si="50"/>
        <v>ผ่าน</v>
      </c>
      <c r="S334" s="3" t="s">
        <v>28</v>
      </c>
      <c r="T334" s="32">
        <v>6412798104</v>
      </c>
      <c r="W334" s="36">
        <v>6311506202</v>
      </c>
      <c r="Y334" s="41">
        <f ca="1">IFERROR(__xludf.DUMMYFUNCTION("""COMPUTED_VALUE"""),6410059113)</f>
        <v>6410059113</v>
      </c>
      <c r="Z334" s="36">
        <v>6612236114</v>
      </c>
    </row>
    <row r="335" spans="1:26" ht="18" customHeight="1">
      <c r="A335" s="3">
        <v>333</v>
      </c>
      <c r="B335" s="3">
        <v>6610414221</v>
      </c>
      <c r="C335" s="4" t="s">
        <v>29</v>
      </c>
      <c r="D335" s="4" t="s">
        <v>939</v>
      </c>
      <c r="E335" s="4" t="s">
        <v>940</v>
      </c>
      <c r="F335" s="4" t="s">
        <v>941</v>
      </c>
      <c r="G335" s="4" t="s">
        <v>287</v>
      </c>
      <c r="H335" s="4" t="s">
        <v>930</v>
      </c>
      <c r="I335" s="3">
        <v>1</v>
      </c>
      <c r="J335" s="29" t="str">
        <f t="shared" si="45"/>
        <v>1</v>
      </c>
      <c r="K335" s="54">
        <v>1</v>
      </c>
      <c r="L335" s="69" t="str">
        <f t="shared" si="47"/>
        <v>0</v>
      </c>
      <c r="M335" s="74" t="str">
        <f t="shared" si="48"/>
        <v>0</v>
      </c>
      <c r="N335" s="29" t="str">
        <f t="shared" si="49"/>
        <v>1</v>
      </c>
      <c r="O335" s="61" t="str">
        <f t="shared" ca="1" si="52"/>
        <v>0</v>
      </c>
      <c r="P335" s="65" t="str">
        <f t="shared" si="53"/>
        <v>0</v>
      </c>
      <c r="Q335" s="46">
        <f t="shared" ca="1" si="51"/>
        <v>3</v>
      </c>
      <c r="R335" s="83" t="str">
        <f t="shared" ca="1" si="50"/>
        <v>ผ่าน</v>
      </c>
      <c r="S335" s="3" t="s">
        <v>28</v>
      </c>
      <c r="T335" s="32">
        <v>6410488212</v>
      </c>
      <c r="W335" s="36">
        <v>6410488212</v>
      </c>
      <c r="Y335" s="40">
        <f ca="1">IFERROR(__xludf.DUMMYFUNCTION("""COMPUTED_VALUE"""),6411506114)</f>
        <v>6411506114</v>
      </c>
      <c r="Z335" s="36">
        <v>6410207207</v>
      </c>
    </row>
    <row r="336" spans="1:26" ht="18" customHeight="1">
      <c r="A336" s="3">
        <v>334</v>
      </c>
      <c r="B336" s="3">
        <v>6610414229</v>
      </c>
      <c r="C336" s="4" t="s">
        <v>29</v>
      </c>
      <c r="D336" s="4" t="s">
        <v>363</v>
      </c>
      <c r="E336" s="4" t="s">
        <v>942</v>
      </c>
      <c r="F336" s="4" t="s">
        <v>943</v>
      </c>
      <c r="G336" s="4" t="s">
        <v>287</v>
      </c>
      <c r="H336" s="4" t="s">
        <v>930</v>
      </c>
      <c r="I336" s="3">
        <v>1</v>
      </c>
      <c r="J336" s="29" t="str">
        <f t="shared" si="45"/>
        <v>0</v>
      </c>
      <c r="K336" s="54" t="str">
        <f t="shared" si="46"/>
        <v>1</v>
      </c>
      <c r="L336" s="69" t="str">
        <f t="shared" si="47"/>
        <v>0</v>
      </c>
      <c r="M336" s="74" t="str">
        <f t="shared" si="48"/>
        <v>1</v>
      </c>
      <c r="N336" s="29" t="str">
        <f t="shared" si="49"/>
        <v>0</v>
      </c>
      <c r="O336" s="61" t="str">
        <f t="shared" ca="1" si="52"/>
        <v>1</v>
      </c>
      <c r="P336" s="65" t="str">
        <f t="shared" si="53"/>
        <v>0</v>
      </c>
      <c r="Q336" s="46">
        <f t="shared" ca="1" si="51"/>
        <v>3</v>
      </c>
      <c r="R336" s="83" t="str">
        <f t="shared" ca="1" si="50"/>
        <v>ผ่าน</v>
      </c>
      <c r="S336" s="3" t="s">
        <v>28</v>
      </c>
      <c r="T336" s="32">
        <v>6312743223</v>
      </c>
      <c r="W336" s="36">
        <v>6410048201</v>
      </c>
      <c r="Y336" s="41">
        <f ca="1">IFERROR(__xludf.DUMMYFUNCTION("""COMPUTED_VALUE"""),6411506131)</f>
        <v>6411506131</v>
      </c>
      <c r="Z336" s="36">
        <v>6310403127</v>
      </c>
    </row>
    <row r="337" spans="1:26" ht="18" customHeight="1">
      <c r="A337" s="3">
        <v>335</v>
      </c>
      <c r="B337" s="3">
        <v>6410414107</v>
      </c>
      <c r="C337" s="4" t="s">
        <v>29</v>
      </c>
      <c r="D337" s="4" t="s">
        <v>944</v>
      </c>
      <c r="E337" s="4" t="s">
        <v>945</v>
      </c>
      <c r="F337" s="4" t="s">
        <v>946</v>
      </c>
      <c r="G337" s="4" t="s">
        <v>287</v>
      </c>
      <c r="H337" s="4" t="s">
        <v>930</v>
      </c>
      <c r="I337" s="3">
        <v>3</v>
      </c>
      <c r="J337" s="29" t="str">
        <f t="shared" si="45"/>
        <v>0</v>
      </c>
      <c r="K337" s="54">
        <v>1</v>
      </c>
      <c r="L337" s="69" t="str">
        <f t="shared" si="47"/>
        <v>0</v>
      </c>
      <c r="M337" s="74" t="str">
        <f t="shared" si="48"/>
        <v>1</v>
      </c>
      <c r="N337" s="29" t="str">
        <f t="shared" si="49"/>
        <v>0</v>
      </c>
      <c r="O337" s="61" t="str">
        <f t="shared" ca="1" si="52"/>
        <v>0</v>
      </c>
      <c r="P337" s="65" t="str">
        <f t="shared" si="53"/>
        <v>0</v>
      </c>
      <c r="Q337" s="46">
        <f t="shared" ca="1" si="51"/>
        <v>2</v>
      </c>
      <c r="R337" s="3" t="str">
        <f t="shared" ca="1" si="50"/>
        <v>ไม่ผ่าน</v>
      </c>
      <c r="S337" s="3" t="s">
        <v>28</v>
      </c>
      <c r="T337" s="32">
        <v>6512732102</v>
      </c>
      <c r="W337" s="36">
        <v>6610633112</v>
      </c>
      <c r="Y337" s="40">
        <f ca="1">IFERROR(__xludf.DUMMYFUNCTION("""COMPUTED_VALUE"""),6411506137)</f>
        <v>6411506137</v>
      </c>
      <c r="Z337" s="36">
        <v>6612798114</v>
      </c>
    </row>
    <row r="338" spans="1:26" ht="18" customHeight="1">
      <c r="A338" s="3">
        <v>336</v>
      </c>
      <c r="B338" s="3">
        <v>6410414122</v>
      </c>
      <c r="C338" s="4" t="s">
        <v>29</v>
      </c>
      <c r="D338" s="4" t="s">
        <v>947</v>
      </c>
      <c r="E338" s="4" t="s">
        <v>948</v>
      </c>
      <c r="F338" s="4" t="s">
        <v>949</v>
      </c>
      <c r="G338" s="4" t="s">
        <v>287</v>
      </c>
      <c r="H338" s="4" t="s">
        <v>930</v>
      </c>
      <c r="I338" s="3">
        <v>3</v>
      </c>
      <c r="J338" s="29" t="str">
        <f t="shared" si="45"/>
        <v>0</v>
      </c>
      <c r="K338" s="54" t="str">
        <f t="shared" si="46"/>
        <v>0</v>
      </c>
      <c r="L338" s="69" t="str">
        <f t="shared" si="47"/>
        <v>1</v>
      </c>
      <c r="M338" s="74" t="str">
        <f t="shared" si="48"/>
        <v>1</v>
      </c>
      <c r="N338" s="29" t="str">
        <f t="shared" si="49"/>
        <v>0</v>
      </c>
      <c r="O338" s="61" t="str">
        <f t="shared" ca="1" si="52"/>
        <v>1</v>
      </c>
      <c r="P338" s="65" t="str">
        <f t="shared" si="53"/>
        <v>0</v>
      </c>
      <c r="Q338" s="46">
        <f t="shared" ca="1" si="51"/>
        <v>3</v>
      </c>
      <c r="R338" s="83" t="str">
        <f t="shared" ca="1" si="50"/>
        <v>ผ่าน</v>
      </c>
      <c r="S338" s="3" t="s">
        <v>28</v>
      </c>
      <c r="T338" s="32">
        <v>6612236121</v>
      </c>
      <c r="W338" s="36">
        <v>6310488205</v>
      </c>
      <c r="Y338" s="41">
        <f ca="1">IFERROR(__xludf.DUMMYFUNCTION("""COMPUTED_VALUE"""),6411506219)</f>
        <v>6411506219</v>
      </c>
      <c r="Z338" s="36">
        <v>6612798115</v>
      </c>
    </row>
    <row r="339" spans="1:26" ht="18" customHeight="1">
      <c r="A339" s="3">
        <v>337</v>
      </c>
      <c r="B339" s="3">
        <v>6410414203</v>
      </c>
      <c r="C339" s="4" t="s">
        <v>22</v>
      </c>
      <c r="D339" s="4" t="s">
        <v>950</v>
      </c>
      <c r="E339" s="4" t="s">
        <v>951</v>
      </c>
      <c r="F339" s="4" t="s">
        <v>952</v>
      </c>
      <c r="G339" s="4" t="s">
        <v>287</v>
      </c>
      <c r="H339" s="4" t="s">
        <v>930</v>
      </c>
      <c r="I339" s="3">
        <v>3</v>
      </c>
      <c r="J339" s="29" t="str">
        <f t="shared" si="45"/>
        <v>1</v>
      </c>
      <c r="K339" s="54" t="str">
        <f t="shared" si="46"/>
        <v>0</v>
      </c>
      <c r="L339" s="69" t="str">
        <f t="shared" si="47"/>
        <v>1</v>
      </c>
      <c r="M339" s="74" t="str">
        <f t="shared" si="48"/>
        <v>1</v>
      </c>
      <c r="N339" s="29" t="str">
        <f t="shared" si="49"/>
        <v>0</v>
      </c>
      <c r="O339" s="61" t="str">
        <f t="shared" ca="1" si="52"/>
        <v>1</v>
      </c>
      <c r="P339" s="65" t="str">
        <f t="shared" si="53"/>
        <v>1</v>
      </c>
      <c r="Q339" s="46">
        <f t="shared" ca="1" si="51"/>
        <v>5</v>
      </c>
      <c r="R339" s="83" t="str">
        <f t="shared" ca="1" si="50"/>
        <v>ผ่าน</v>
      </c>
      <c r="S339" s="3" t="s">
        <v>28</v>
      </c>
      <c r="T339" s="32">
        <v>6315964107</v>
      </c>
      <c r="W339" s="36">
        <v>6310207112</v>
      </c>
      <c r="Y339" s="40">
        <f ca="1">IFERROR(__xludf.DUMMYFUNCTION("""COMPUTED_VALUE"""),6411506220)</f>
        <v>6411506220</v>
      </c>
      <c r="Z339" s="36">
        <v>6411506131</v>
      </c>
    </row>
    <row r="340" spans="1:26" ht="18" customHeight="1">
      <c r="A340" s="3">
        <v>338</v>
      </c>
      <c r="B340" s="3">
        <v>6410414204</v>
      </c>
      <c r="C340" s="4" t="s">
        <v>29</v>
      </c>
      <c r="D340" s="4" t="s">
        <v>953</v>
      </c>
      <c r="E340" s="4" t="s">
        <v>954</v>
      </c>
      <c r="F340" s="4" t="s">
        <v>955</v>
      </c>
      <c r="G340" s="4" t="s">
        <v>287</v>
      </c>
      <c r="H340" s="4" t="s">
        <v>930</v>
      </c>
      <c r="I340" s="3">
        <v>3</v>
      </c>
      <c r="J340" s="29" t="str">
        <f t="shared" si="45"/>
        <v>0</v>
      </c>
      <c r="K340" s="54">
        <v>1</v>
      </c>
      <c r="L340" s="69" t="str">
        <f t="shared" si="47"/>
        <v>0</v>
      </c>
      <c r="M340" s="74" t="str">
        <f t="shared" si="48"/>
        <v>0</v>
      </c>
      <c r="N340" s="29" t="str">
        <f t="shared" si="49"/>
        <v>0</v>
      </c>
      <c r="O340" s="61" t="str">
        <f t="shared" ca="1" si="52"/>
        <v>0</v>
      </c>
      <c r="P340" s="65" t="str">
        <f t="shared" si="53"/>
        <v>0</v>
      </c>
      <c r="Q340" s="46">
        <f t="shared" ca="1" si="51"/>
        <v>1</v>
      </c>
      <c r="R340" s="3" t="str">
        <f t="shared" ca="1" si="50"/>
        <v>ไม่ผ่าน</v>
      </c>
      <c r="S340" s="3" t="s">
        <v>28</v>
      </c>
      <c r="T340" s="32">
        <v>6610403309</v>
      </c>
      <c r="W340" s="36">
        <v>6310414122</v>
      </c>
      <c r="Y340" s="41">
        <f ca="1">IFERROR(__xludf.DUMMYFUNCTION("""COMPUTED_VALUE"""),6411506228)</f>
        <v>6411506228</v>
      </c>
      <c r="Z340" s="36">
        <v>6612258213</v>
      </c>
    </row>
    <row r="341" spans="1:26" ht="18" customHeight="1">
      <c r="A341" s="3">
        <v>339</v>
      </c>
      <c r="B341" s="3">
        <v>6410414211</v>
      </c>
      <c r="C341" s="4" t="s">
        <v>29</v>
      </c>
      <c r="D341" s="4" t="s">
        <v>956</v>
      </c>
      <c r="E341" s="4" t="s">
        <v>494</v>
      </c>
      <c r="F341" s="4" t="s">
        <v>898</v>
      </c>
      <c r="G341" s="4" t="s">
        <v>287</v>
      </c>
      <c r="H341" s="4" t="s">
        <v>930</v>
      </c>
      <c r="I341" s="3">
        <v>3</v>
      </c>
      <c r="J341" s="29" t="str">
        <f t="shared" si="45"/>
        <v>1</v>
      </c>
      <c r="K341" s="54" t="str">
        <f t="shared" si="46"/>
        <v>0</v>
      </c>
      <c r="L341" s="69" t="str">
        <f t="shared" si="47"/>
        <v>1</v>
      </c>
      <c r="M341" s="74" t="str">
        <f t="shared" si="48"/>
        <v>1</v>
      </c>
      <c r="N341" s="29" t="str">
        <f t="shared" si="49"/>
        <v>0</v>
      </c>
      <c r="O341" s="61" t="str">
        <f t="shared" ca="1" si="52"/>
        <v>1</v>
      </c>
      <c r="P341" s="65" t="str">
        <f t="shared" si="53"/>
        <v>1</v>
      </c>
      <c r="Q341" s="46">
        <f t="shared" ca="1" si="51"/>
        <v>5</v>
      </c>
      <c r="R341" s="83" t="str">
        <f t="shared" ca="1" si="50"/>
        <v>ผ่าน</v>
      </c>
      <c r="S341" s="3" t="s">
        <v>28</v>
      </c>
      <c r="T341" s="32">
        <v>6310073107</v>
      </c>
      <c r="W341" s="36">
        <v>6410106207</v>
      </c>
      <c r="Y341" s="40">
        <f ca="1">IFERROR(__xludf.DUMMYFUNCTION("""COMPUTED_VALUE"""),6312213103)</f>
        <v>6312213103</v>
      </c>
      <c r="Z341" s="36">
        <v>6310403310</v>
      </c>
    </row>
    <row r="342" spans="1:26" ht="18" customHeight="1">
      <c r="A342" s="3">
        <v>340</v>
      </c>
      <c r="B342" s="3">
        <v>6410414213</v>
      </c>
      <c r="C342" s="4" t="s">
        <v>29</v>
      </c>
      <c r="D342" s="4" t="s">
        <v>957</v>
      </c>
      <c r="E342" s="4" t="s">
        <v>958</v>
      </c>
      <c r="F342" s="4" t="s">
        <v>959</v>
      </c>
      <c r="G342" s="4" t="s">
        <v>287</v>
      </c>
      <c r="H342" s="4" t="s">
        <v>930</v>
      </c>
      <c r="I342" s="3">
        <v>3</v>
      </c>
      <c r="J342" s="29" t="str">
        <f t="shared" si="45"/>
        <v>1</v>
      </c>
      <c r="K342" s="54" t="str">
        <f t="shared" si="46"/>
        <v>0</v>
      </c>
      <c r="L342" s="69" t="str">
        <f t="shared" si="47"/>
        <v>1</v>
      </c>
      <c r="M342" s="74" t="str">
        <f t="shared" si="48"/>
        <v>0</v>
      </c>
      <c r="N342" s="29" t="str">
        <f t="shared" si="49"/>
        <v>0</v>
      </c>
      <c r="O342" s="61" t="str">
        <f t="shared" ca="1" si="52"/>
        <v>0</v>
      </c>
      <c r="P342" s="65" t="str">
        <f t="shared" si="53"/>
        <v>0</v>
      </c>
      <c r="Q342" s="46">
        <f t="shared" ca="1" si="51"/>
        <v>2</v>
      </c>
      <c r="R342" s="84" t="s">
        <v>395</v>
      </c>
      <c r="S342" s="3" t="s">
        <v>28</v>
      </c>
      <c r="T342" s="32">
        <v>6510014104</v>
      </c>
      <c r="W342" s="36">
        <v>6310488118</v>
      </c>
      <c r="Y342" s="41">
        <f ca="1">IFERROR(__xludf.DUMMYFUNCTION("""COMPUTED_VALUE"""),6312213121)</f>
        <v>6312213121</v>
      </c>
      <c r="Z342" s="36">
        <v>6410207115</v>
      </c>
    </row>
    <row r="343" spans="1:26" ht="18" customHeight="1">
      <c r="A343" s="3">
        <v>341</v>
      </c>
      <c r="B343" s="3">
        <v>6410414224</v>
      </c>
      <c r="C343" s="4" t="s">
        <v>29</v>
      </c>
      <c r="D343" s="4" t="s">
        <v>960</v>
      </c>
      <c r="E343" s="4" t="s">
        <v>212</v>
      </c>
      <c r="F343" s="4" t="s">
        <v>210</v>
      </c>
      <c r="G343" s="4" t="s">
        <v>287</v>
      </c>
      <c r="H343" s="4" t="s">
        <v>930</v>
      </c>
      <c r="I343" s="3">
        <v>3</v>
      </c>
      <c r="J343" s="29" t="str">
        <f t="shared" si="45"/>
        <v>1</v>
      </c>
      <c r="K343" s="54" t="str">
        <f t="shared" si="46"/>
        <v>0</v>
      </c>
      <c r="L343" s="69" t="str">
        <f t="shared" si="47"/>
        <v>1</v>
      </c>
      <c r="M343" s="74" t="str">
        <f t="shared" si="48"/>
        <v>1</v>
      </c>
      <c r="N343" s="29" t="str">
        <f t="shared" si="49"/>
        <v>0</v>
      </c>
      <c r="O343" s="61" t="str">
        <f t="shared" ca="1" si="52"/>
        <v>1</v>
      </c>
      <c r="P343" s="65" t="str">
        <f t="shared" si="53"/>
        <v>1</v>
      </c>
      <c r="Q343" s="46">
        <f t="shared" ca="1" si="51"/>
        <v>5</v>
      </c>
      <c r="R343" s="83" t="str">
        <f t="shared" ca="1" si="50"/>
        <v>ผ่าน</v>
      </c>
      <c r="S343" s="3" t="s">
        <v>28</v>
      </c>
      <c r="T343" s="32">
        <v>6510014102</v>
      </c>
      <c r="W343" s="36">
        <v>6410079122</v>
      </c>
      <c r="Y343" s="40">
        <f ca="1">IFERROR(__xludf.DUMMYFUNCTION("""COMPUTED_VALUE"""),6312314110)</f>
        <v>6312314110</v>
      </c>
      <c r="Z343" s="36">
        <v>6410048207</v>
      </c>
    </row>
    <row r="344" spans="1:26" ht="18" customHeight="1">
      <c r="A344" s="3">
        <v>342</v>
      </c>
      <c r="B344" s="3">
        <v>6410414227</v>
      </c>
      <c r="C344" s="4" t="s">
        <v>29</v>
      </c>
      <c r="D344" s="4" t="s">
        <v>306</v>
      </c>
      <c r="E344" s="4" t="s">
        <v>961</v>
      </c>
      <c r="F344" s="4" t="s">
        <v>962</v>
      </c>
      <c r="G344" s="4" t="s">
        <v>287</v>
      </c>
      <c r="H344" s="4" t="s">
        <v>930</v>
      </c>
      <c r="I344" s="3">
        <v>3</v>
      </c>
      <c r="J344" s="29" t="str">
        <f t="shared" si="45"/>
        <v>1</v>
      </c>
      <c r="K344" s="54" t="str">
        <f t="shared" si="46"/>
        <v>1</v>
      </c>
      <c r="L344" s="69" t="str">
        <f t="shared" si="47"/>
        <v>0</v>
      </c>
      <c r="M344" s="74" t="str">
        <f t="shared" si="48"/>
        <v>1</v>
      </c>
      <c r="N344" s="29" t="str">
        <f t="shared" si="49"/>
        <v>0</v>
      </c>
      <c r="O344" s="61" t="str">
        <f t="shared" ca="1" si="52"/>
        <v>1</v>
      </c>
      <c r="P344" s="65" t="str">
        <f t="shared" si="53"/>
        <v>1</v>
      </c>
      <c r="Q344" s="46">
        <f t="shared" ca="1" si="51"/>
        <v>5</v>
      </c>
      <c r="R344" s="83" t="str">
        <f t="shared" ca="1" si="50"/>
        <v>ผ่าน</v>
      </c>
      <c r="S344" s="3" t="s">
        <v>28</v>
      </c>
      <c r="T344" s="32">
        <v>6512798103</v>
      </c>
      <c r="W344" s="36">
        <v>6312314115</v>
      </c>
      <c r="Y344" s="41">
        <f ca="1">IFERROR(__xludf.DUMMYFUNCTION("""COMPUTED_VALUE"""),6312314114)</f>
        <v>6312314114</v>
      </c>
      <c r="Z344" s="36">
        <v>6612236121</v>
      </c>
    </row>
    <row r="345" spans="1:26" ht="18" customHeight="1">
      <c r="A345" s="3">
        <v>343</v>
      </c>
      <c r="B345" s="3">
        <v>6310414113</v>
      </c>
      <c r="C345" s="4" t="s">
        <v>29</v>
      </c>
      <c r="D345" s="4" t="s">
        <v>963</v>
      </c>
      <c r="E345" s="4" t="s">
        <v>964</v>
      </c>
      <c r="F345" s="4" t="s">
        <v>322</v>
      </c>
      <c r="G345" s="4" t="s">
        <v>287</v>
      </c>
      <c r="H345" s="4" t="s">
        <v>930</v>
      </c>
      <c r="I345" s="3">
        <v>4</v>
      </c>
      <c r="J345" s="29" t="str">
        <f t="shared" si="45"/>
        <v>1</v>
      </c>
      <c r="K345" s="54" t="str">
        <f t="shared" si="46"/>
        <v>1</v>
      </c>
      <c r="L345" s="69" t="str">
        <f t="shared" si="47"/>
        <v>0</v>
      </c>
      <c r="M345" s="74" t="str">
        <f t="shared" si="48"/>
        <v>1</v>
      </c>
      <c r="N345" s="29" t="str">
        <f t="shared" si="49"/>
        <v>0</v>
      </c>
      <c r="O345" s="61">
        <v>1</v>
      </c>
      <c r="P345" s="65">
        <v>1</v>
      </c>
      <c r="Q345" s="46">
        <f t="shared" si="51"/>
        <v>5</v>
      </c>
      <c r="R345" s="83" t="str">
        <f t="shared" si="50"/>
        <v>ผ่าน</v>
      </c>
      <c r="S345" s="3" t="s">
        <v>28</v>
      </c>
      <c r="T345" s="32">
        <v>6310403310</v>
      </c>
      <c r="W345" s="36">
        <v>6412798105</v>
      </c>
      <c r="Y345" s="40">
        <f ca="1">IFERROR(__xludf.DUMMYFUNCTION("""COMPUTED_VALUE"""),6312314115)</f>
        <v>6312314115</v>
      </c>
      <c r="Z345" s="36">
        <v>6610403116</v>
      </c>
    </row>
    <row r="346" spans="1:26" ht="18" customHeight="1">
      <c r="A346" s="3">
        <v>344</v>
      </c>
      <c r="B346" s="3">
        <v>6310414116</v>
      </c>
      <c r="C346" s="4" t="s">
        <v>29</v>
      </c>
      <c r="D346" s="4" t="s">
        <v>965</v>
      </c>
      <c r="E346" s="4" t="s">
        <v>966</v>
      </c>
      <c r="F346" s="4" t="s">
        <v>967</v>
      </c>
      <c r="G346" s="4" t="s">
        <v>287</v>
      </c>
      <c r="H346" s="4" t="s">
        <v>930</v>
      </c>
      <c r="I346" s="3">
        <v>4</v>
      </c>
      <c r="J346" s="29" t="str">
        <f t="shared" si="45"/>
        <v>1</v>
      </c>
      <c r="K346" s="54" t="str">
        <f t="shared" si="46"/>
        <v>1</v>
      </c>
      <c r="L346" s="69" t="str">
        <f t="shared" si="47"/>
        <v>0</v>
      </c>
      <c r="M346" s="74" t="str">
        <f t="shared" si="48"/>
        <v>1</v>
      </c>
      <c r="N346" s="29" t="str">
        <f t="shared" si="49"/>
        <v>0</v>
      </c>
      <c r="O346" s="61">
        <v>1</v>
      </c>
      <c r="P346" s="65">
        <v>1</v>
      </c>
      <c r="Q346" s="46">
        <f t="shared" si="51"/>
        <v>5</v>
      </c>
      <c r="R346" s="83" t="str">
        <f t="shared" si="50"/>
        <v>ผ่าน</v>
      </c>
      <c r="S346" s="3" t="s">
        <v>28</v>
      </c>
      <c r="T346" s="32">
        <v>6512798123</v>
      </c>
      <c r="W346" s="36">
        <v>6311506221</v>
      </c>
      <c r="Y346" s="41">
        <f ca="1">IFERROR(__xludf.DUMMYFUNCTION("""COMPUTED_VALUE"""),6312314120)</f>
        <v>6312314120</v>
      </c>
      <c r="Z346" s="36">
        <v>6412888103</v>
      </c>
    </row>
    <row r="347" spans="1:26" ht="18" customHeight="1">
      <c r="A347" s="3">
        <v>345</v>
      </c>
      <c r="B347" s="3">
        <v>6310414119</v>
      </c>
      <c r="C347" s="4" t="s">
        <v>29</v>
      </c>
      <c r="D347" s="4" t="s">
        <v>968</v>
      </c>
      <c r="E347" s="4" t="s">
        <v>969</v>
      </c>
      <c r="F347" s="4" t="s">
        <v>970</v>
      </c>
      <c r="G347" s="4" t="s">
        <v>287</v>
      </c>
      <c r="H347" s="4" t="s">
        <v>930</v>
      </c>
      <c r="I347" s="3">
        <v>4</v>
      </c>
      <c r="J347" s="29" t="str">
        <f t="shared" si="45"/>
        <v>1</v>
      </c>
      <c r="K347" s="54" t="str">
        <f t="shared" si="46"/>
        <v>1</v>
      </c>
      <c r="L347" s="69" t="str">
        <f t="shared" si="47"/>
        <v>0</v>
      </c>
      <c r="M347" s="74" t="str">
        <f t="shared" si="48"/>
        <v>1</v>
      </c>
      <c r="N347" s="29" t="str">
        <f t="shared" si="49"/>
        <v>0</v>
      </c>
      <c r="O347" s="61">
        <v>1</v>
      </c>
      <c r="P347" s="65">
        <v>1</v>
      </c>
      <c r="Q347" s="46">
        <f t="shared" si="51"/>
        <v>5</v>
      </c>
      <c r="R347" s="83" t="str">
        <f t="shared" si="50"/>
        <v>ผ่าน</v>
      </c>
      <c r="S347" s="3" t="s">
        <v>28</v>
      </c>
      <c r="T347" s="32">
        <v>6315964104</v>
      </c>
      <c r="W347" s="36">
        <v>6415964122</v>
      </c>
      <c r="Y347" s="40">
        <f ca="1">IFERROR(__xludf.DUMMYFUNCTION("""COMPUTED_VALUE"""),6310094124)</f>
        <v>6310094124</v>
      </c>
      <c r="Z347" s="36">
        <v>6610068114</v>
      </c>
    </row>
    <row r="348" spans="1:26" ht="18" customHeight="1">
      <c r="A348" s="3">
        <v>346</v>
      </c>
      <c r="B348" s="3">
        <v>6310414120</v>
      </c>
      <c r="C348" s="4" t="s">
        <v>29</v>
      </c>
      <c r="D348" s="4" t="s">
        <v>971</v>
      </c>
      <c r="E348" s="4" t="s">
        <v>972</v>
      </c>
      <c r="F348" s="4" t="s">
        <v>62</v>
      </c>
      <c r="G348" s="4" t="s">
        <v>287</v>
      </c>
      <c r="H348" s="4" t="s">
        <v>930</v>
      </c>
      <c r="I348" s="3">
        <v>4</v>
      </c>
      <c r="J348" s="29" t="str">
        <f t="shared" si="45"/>
        <v>1</v>
      </c>
      <c r="K348" s="54" t="str">
        <f t="shared" si="46"/>
        <v>1</v>
      </c>
      <c r="L348" s="69" t="str">
        <f t="shared" si="47"/>
        <v>0</v>
      </c>
      <c r="M348" s="74" t="str">
        <f t="shared" si="48"/>
        <v>0</v>
      </c>
      <c r="N348" s="29" t="str">
        <f t="shared" si="49"/>
        <v>1</v>
      </c>
      <c r="O348" s="61">
        <v>1</v>
      </c>
      <c r="P348" s="65">
        <v>1</v>
      </c>
      <c r="Q348" s="46">
        <f t="shared" si="51"/>
        <v>5</v>
      </c>
      <c r="R348" s="83" t="str">
        <f t="shared" si="50"/>
        <v>ผ่าน</v>
      </c>
      <c r="S348" s="3" t="s">
        <v>28</v>
      </c>
      <c r="T348" s="32">
        <v>6512247211</v>
      </c>
      <c r="W348" s="36">
        <v>6310414212</v>
      </c>
      <c r="Y348" s="41">
        <f ca="1">IFERROR(__xludf.DUMMYFUNCTION("""COMPUTED_VALUE"""),6310094126)</f>
        <v>6310094126</v>
      </c>
      <c r="Z348" s="36">
        <v>6410094115</v>
      </c>
    </row>
    <row r="349" spans="1:26" ht="18" customHeight="1">
      <c r="A349" s="3">
        <v>347</v>
      </c>
      <c r="B349" s="3">
        <v>6310414122</v>
      </c>
      <c r="C349" s="4" t="s">
        <v>29</v>
      </c>
      <c r="D349" s="4" t="s">
        <v>79</v>
      </c>
      <c r="E349" s="4" t="s">
        <v>973</v>
      </c>
      <c r="F349" s="4" t="s">
        <v>974</v>
      </c>
      <c r="G349" s="4" t="s">
        <v>287</v>
      </c>
      <c r="H349" s="4" t="s">
        <v>930</v>
      </c>
      <c r="I349" s="3">
        <v>4</v>
      </c>
      <c r="J349" s="29" t="str">
        <f t="shared" si="45"/>
        <v>0</v>
      </c>
      <c r="K349" s="54">
        <v>1</v>
      </c>
      <c r="L349" s="69" t="str">
        <f t="shared" si="47"/>
        <v>0</v>
      </c>
      <c r="M349" s="74" t="str">
        <f t="shared" si="48"/>
        <v>1</v>
      </c>
      <c r="N349" s="29" t="str">
        <f t="shared" si="49"/>
        <v>0</v>
      </c>
      <c r="O349" s="61">
        <v>1</v>
      </c>
      <c r="P349" s="65">
        <v>1</v>
      </c>
      <c r="Q349" s="46">
        <f t="shared" si="51"/>
        <v>4</v>
      </c>
      <c r="R349" s="83" t="str">
        <f t="shared" si="50"/>
        <v>ผ่าน</v>
      </c>
      <c r="S349" s="3" t="s">
        <v>28</v>
      </c>
      <c r="T349" s="32">
        <v>6410633106</v>
      </c>
      <c r="W349" s="36">
        <v>6610079102</v>
      </c>
      <c r="Y349" s="40">
        <f ca="1">IFERROR(__xludf.DUMMYFUNCTION("""COMPUTED_VALUE"""),6310094130)</f>
        <v>6310094130</v>
      </c>
      <c r="Z349" s="36">
        <v>6412269121</v>
      </c>
    </row>
    <row r="350" spans="1:26" ht="18" customHeight="1">
      <c r="A350" s="3">
        <v>348</v>
      </c>
      <c r="B350" s="3">
        <v>6310414212</v>
      </c>
      <c r="C350" s="4" t="s">
        <v>29</v>
      </c>
      <c r="D350" s="4" t="s">
        <v>975</v>
      </c>
      <c r="E350" s="4" t="s">
        <v>976</v>
      </c>
      <c r="F350" s="4" t="s">
        <v>977</v>
      </c>
      <c r="G350" s="4" t="s">
        <v>287</v>
      </c>
      <c r="H350" s="4" t="s">
        <v>930</v>
      </c>
      <c r="I350" s="3">
        <v>4</v>
      </c>
      <c r="J350" s="29" t="str">
        <f t="shared" si="45"/>
        <v>1</v>
      </c>
      <c r="K350" s="54" t="str">
        <f t="shared" si="46"/>
        <v>1</v>
      </c>
      <c r="L350" s="69" t="str">
        <f t="shared" si="47"/>
        <v>0</v>
      </c>
      <c r="M350" s="74" t="str">
        <f t="shared" si="48"/>
        <v>1</v>
      </c>
      <c r="N350" s="29" t="str">
        <f t="shared" si="49"/>
        <v>0</v>
      </c>
      <c r="O350" s="61">
        <v>1</v>
      </c>
      <c r="P350" s="65">
        <v>1</v>
      </c>
      <c r="Q350" s="46">
        <f t="shared" si="51"/>
        <v>5</v>
      </c>
      <c r="R350" s="83" t="str">
        <f t="shared" si="50"/>
        <v>ผ่าน</v>
      </c>
      <c r="S350" s="3" t="s">
        <v>28</v>
      </c>
      <c r="T350" s="32">
        <v>6510106136</v>
      </c>
      <c r="W350" s="36">
        <v>6310633217</v>
      </c>
      <c r="Y350" s="41">
        <f ca="1">IFERROR(__xludf.DUMMYFUNCTION("""COMPUTED_VALUE"""),6310094134)</f>
        <v>6310094134</v>
      </c>
      <c r="Z350" s="36">
        <v>6610488126</v>
      </c>
    </row>
    <row r="351" spans="1:26" ht="18" customHeight="1">
      <c r="A351" s="3">
        <v>349</v>
      </c>
      <c r="B351" s="3">
        <v>6310414217</v>
      </c>
      <c r="C351" s="4" t="s">
        <v>29</v>
      </c>
      <c r="D351" s="4" t="s">
        <v>978</v>
      </c>
      <c r="E351" s="4" t="s">
        <v>607</v>
      </c>
      <c r="F351" s="4" t="s">
        <v>979</v>
      </c>
      <c r="G351" s="4" t="s">
        <v>287</v>
      </c>
      <c r="H351" s="4" t="s">
        <v>930</v>
      </c>
      <c r="I351" s="3">
        <v>4</v>
      </c>
      <c r="J351" s="29" t="str">
        <f t="shared" si="45"/>
        <v>1</v>
      </c>
      <c r="K351" s="54" t="str">
        <f t="shared" si="46"/>
        <v>1</v>
      </c>
      <c r="L351" s="69" t="str">
        <f t="shared" si="47"/>
        <v>0</v>
      </c>
      <c r="M351" s="74" t="str">
        <f t="shared" si="48"/>
        <v>1</v>
      </c>
      <c r="N351" s="29" t="str">
        <f t="shared" si="49"/>
        <v>0</v>
      </c>
      <c r="O351" s="61">
        <v>1</v>
      </c>
      <c r="P351" s="65">
        <v>1</v>
      </c>
      <c r="Q351" s="46">
        <f t="shared" si="51"/>
        <v>5</v>
      </c>
      <c r="R351" s="83" t="str">
        <f t="shared" si="50"/>
        <v>ผ่าน</v>
      </c>
      <c r="S351" s="3" t="s">
        <v>28</v>
      </c>
      <c r="T351" s="32">
        <v>6410633207</v>
      </c>
      <c r="W351" s="36">
        <v>6410073121</v>
      </c>
      <c r="Y351" s="40">
        <f ca="1">IFERROR(__xludf.DUMMYFUNCTION("""COMPUTED_VALUE"""),6310094136)</f>
        <v>6310094136</v>
      </c>
      <c r="Z351" s="36">
        <v>6312743237</v>
      </c>
    </row>
    <row r="352" spans="1:26" ht="18" customHeight="1">
      <c r="A352" s="3">
        <v>350</v>
      </c>
      <c r="B352" s="3">
        <v>6612258203</v>
      </c>
      <c r="C352" s="4" t="s">
        <v>22</v>
      </c>
      <c r="D352" s="4" t="s">
        <v>980</v>
      </c>
      <c r="E352" s="4" t="s">
        <v>981</v>
      </c>
      <c r="F352" s="4" t="s">
        <v>982</v>
      </c>
      <c r="G352" s="4" t="s">
        <v>287</v>
      </c>
      <c r="H352" s="4" t="s">
        <v>983</v>
      </c>
      <c r="I352" s="3">
        <v>1</v>
      </c>
      <c r="J352" s="29" t="str">
        <f t="shared" si="45"/>
        <v>1</v>
      </c>
      <c r="K352" s="54" t="str">
        <f t="shared" si="46"/>
        <v>1</v>
      </c>
      <c r="L352" s="69" t="str">
        <f t="shared" si="47"/>
        <v>0</v>
      </c>
      <c r="M352" s="74" t="str">
        <f t="shared" si="48"/>
        <v>1</v>
      </c>
      <c r="N352" s="29" t="str">
        <f t="shared" si="49"/>
        <v>0</v>
      </c>
      <c r="O352" s="61" t="str">
        <f t="shared" ca="1" si="52"/>
        <v>1</v>
      </c>
      <c r="P352" s="65" t="str">
        <f t="shared" si="53"/>
        <v>0</v>
      </c>
      <c r="Q352" s="46">
        <f t="shared" ca="1" si="51"/>
        <v>4</v>
      </c>
      <c r="R352" s="83" t="str">
        <f t="shared" ca="1" si="50"/>
        <v>ผ่าน</v>
      </c>
      <c r="S352" s="3" t="s">
        <v>28</v>
      </c>
      <c r="T352" s="32">
        <v>6410048108</v>
      </c>
      <c r="W352" s="36">
        <v>6410048262</v>
      </c>
      <c r="Y352" s="41">
        <f ca="1">IFERROR(__xludf.DUMMYFUNCTION("""COMPUTED_VALUE"""),6310403125)</f>
        <v>6310403125</v>
      </c>
      <c r="Z352" s="36">
        <v>6310094124</v>
      </c>
    </row>
    <row r="353" spans="1:26" ht="18" customHeight="1">
      <c r="A353" s="3">
        <v>351</v>
      </c>
      <c r="B353" s="3">
        <v>6612258212</v>
      </c>
      <c r="C353" s="4" t="s">
        <v>22</v>
      </c>
      <c r="D353" s="4" t="s">
        <v>280</v>
      </c>
      <c r="E353" s="4" t="s">
        <v>984</v>
      </c>
      <c r="F353" s="4" t="s">
        <v>22</v>
      </c>
      <c r="G353" s="4" t="s">
        <v>287</v>
      </c>
      <c r="H353" s="4" t="s">
        <v>983</v>
      </c>
      <c r="I353" s="3">
        <v>1</v>
      </c>
      <c r="J353" s="29" t="str">
        <f t="shared" si="45"/>
        <v>1</v>
      </c>
      <c r="K353" s="54" t="str">
        <f t="shared" si="46"/>
        <v>1</v>
      </c>
      <c r="L353" s="69" t="str">
        <f t="shared" si="47"/>
        <v>0</v>
      </c>
      <c r="M353" s="74" t="str">
        <f t="shared" si="48"/>
        <v>1</v>
      </c>
      <c r="N353" s="29" t="str">
        <f t="shared" si="49"/>
        <v>0</v>
      </c>
      <c r="O353" s="61" t="str">
        <f t="shared" ca="1" si="52"/>
        <v>1</v>
      </c>
      <c r="P353" s="65" t="str">
        <f t="shared" si="53"/>
        <v>1</v>
      </c>
      <c r="Q353" s="46">
        <f t="shared" ca="1" si="51"/>
        <v>5</v>
      </c>
      <c r="R353" s="83" t="str">
        <f t="shared" ca="1" si="50"/>
        <v>ผ่าน</v>
      </c>
      <c r="S353" s="3" t="s">
        <v>28</v>
      </c>
      <c r="T353" s="32">
        <v>6610488101</v>
      </c>
      <c r="W353" s="36">
        <v>6610403309</v>
      </c>
      <c r="Y353" s="40">
        <f ca="1">IFERROR(__xludf.DUMMYFUNCTION("""COMPUTED_VALUE"""),6310403127)</f>
        <v>6310403127</v>
      </c>
      <c r="Z353" s="36">
        <v>6510083109</v>
      </c>
    </row>
    <row r="354" spans="1:26" ht="18" customHeight="1">
      <c r="A354" s="3">
        <v>352</v>
      </c>
      <c r="B354" s="3">
        <v>6612258213</v>
      </c>
      <c r="C354" s="4" t="s">
        <v>22</v>
      </c>
      <c r="D354" s="4" t="s">
        <v>985</v>
      </c>
      <c r="E354" s="4" t="s">
        <v>986</v>
      </c>
      <c r="F354" s="4" t="s">
        <v>987</v>
      </c>
      <c r="G354" s="4" t="s">
        <v>287</v>
      </c>
      <c r="H354" s="4" t="s">
        <v>983</v>
      </c>
      <c r="I354" s="3">
        <v>1</v>
      </c>
      <c r="J354" s="29" t="str">
        <f t="shared" si="45"/>
        <v>0</v>
      </c>
      <c r="K354" s="54" t="str">
        <f t="shared" si="46"/>
        <v>1</v>
      </c>
      <c r="L354" s="69" t="str">
        <f t="shared" si="47"/>
        <v>0</v>
      </c>
      <c r="M354" s="74" t="str">
        <f t="shared" si="48"/>
        <v>0</v>
      </c>
      <c r="N354" s="29" t="str">
        <f t="shared" si="49"/>
        <v>0</v>
      </c>
      <c r="O354" s="61" t="str">
        <f t="shared" ca="1" si="52"/>
        <v>1</v>
      </c>
      <c r="P354" s="65" t="str">
        <f t="shared" si="53"/>
        <v>1</v>
      </c>
      <c r="Q354" s="46">
        <f t="shared" ca="1" si="51"/>
        <v>3</v>
      </c>
      <c r="R354" s="83" t="str">
        <f t="shared" ca="1" si="50"/>
        <v>ผ่าน</v>
      </c>
      <c r="S354" s="3" t="s">
        <v>28</v>
      </c>
      <c r="T354" s="32">
        <v>6410633204</v>
      </c>
      <c r="W354" s="36">
        <v>6310048131</v>
      </c>
      <c r="Y354" s="41">
        <f ca="1">IFERROR(__xludf.DUMMYFUNCTION("""COMPUTED_VALUE"""),6310403303)</f>
        <v>6310403303</v>
      </c>
      <c r="Z354" s="36">
        <v>6310488231</v>
      </c>
    </row>
    <row r="355" spans="1:26" ht="18" customHeight="1">
      <c r="A355" s="3">
        <v>353</v>
      </c>
      <c r="B355" s="3">
        <v>6512258120</v>
      </c>
      <c r="C355" s="4" t="s">
        <v>29</v>
      </c>
      <c r="D355" s="4" t="s">
        <v>988</v>
      </c>
      <c r="E355" s="4" t="s">
        <v>989</v>
      </c>
      <c r="F355" s="4" t="s">
        <v>990</v>
      </c>
      <c r="G355" s="4" t="s">
        <v>287</v>
      </c>
      <c r="H355" s="4" t="s">
        <v>983</v>
      </c>
      <c r="I355" s="3">
        <v>2</v>
      </c>
      <c r="J355" s="29" t="str">
        <f t="shared" si="45"/>
        <v>1</v>
      </c>
      <c r="K355" s="54">
        <v>1</v>
      </c>
      <c r="L355" s="69" t="str">
        <f t="shared" si="47"/>
        <v>0</v>
      </c>
      <c r="M355" s="74" t="str">
        <f t="shared" si="48"/>
        <v>1</v>
      </c>
      <c r="N355" s="29" t="str">
        <f t="shared" si="49"/>
        <v>0</v>
      </c>
      <c r="O355" s="61" t="str">
        <f t="shared" ca="1" si="52"/>
        <v>1</v>
      </c>
      <c r="P355" s="65" t="str">
        <f t="shared" si="53"/>
        <v>1</v>
      </c>
      <c r="Q355" s="46">
        <f t="shared" ca="1" si="51"/>
        <v>5</v>
      </c>
      <c r="R355" s="83" t="str">
        <f t="shared" ca="1" si="50"/>
        <v>ผ่าน</v>
      </c>
      <c r="S355" s="3" t="s">
        <v>28</v>
      </c>
      <c r="T355" s="32">
        <v>6510633207</v>
      </c>
      <c r="W355" s="36">
        <v>6612236121</v>
      </c>
      <c r="Y355" s="40">
        <f ca="1">IFERROR(__xludf.DUMMYFUNCTION("""COMPUTED_VALUE"""),6312325102)</f>
        <v>6312325102</v>
      </c>
      <c r="Z355" s="36">
        <v>6310488214</v>
      </c>
    </row>
    <row r="356" spans="1:26" ht="18" customHeight="1">
      <c r="A356" s="3">
        <v>354</v>
      </c>
      <c r="B356" s="3">
        <v>6412258116</v>
      </c>
      <c r="C356" s="4" t="s">
        <v>29</v>
      </c>
      <c r="D356" s="4" t="s">
        <v>991</v>
      </c>
      <c r="E356" s="4" t="s">
        <v>992</v>
      </c>
      <c r="F356" s="4" t="s">
        <v>993</v>
      </c>
      <c r="G356" s="4" t="s">
        <v>287</v>
      </c>
      <c r="H356" s="4" t="s">
        <v>983</v>
      </c>
      <c r="I356" s="3">
        <v>3</v>
      </c>
      <c r="J356" s="29" t="str">
        <f t="shared" si="45"/>
        <v>0</v>
      </c>
      <c r="K356" s="54">
        <v>1</v>
      </c>
      <c r="L356" s="69" t="str">
        <f t="shared" si="47"/>
        <v>0</v>
      </c>
      <c r="M356" s="74" t="str">
        <f t="shared" si="48"/>
        <v>0</v>
      </c>
      <c r="N356" s="29" t="str">
        <f t="shared" si="49"/>
        <v>0</v>
      </c>
      <c r="O356" s="61" t="str">
        <f t="shared" ca="1" si="52"/>
        <v>1</v>
      </c>
      <c r="P356" s="65" t="str">
        <f t="shared" si="53"/>
        <v>1</v>
      </c>
      <c r="Q356" s="46">
        <f t="shared" ca="1" si="51"/>
        <v>3</v>
      </c>
      <c r="R356" s="83" t="str">
        <f t="shared" ca="1" si="50"/>
        <v>ผ่าน</v>
      </c>
      <c r="S356" s="3" t="s">
        <v>28</v>
      </c>
      <c r="T356" s="32">
        <v>6310633210</v>
      </c>
      <c r="W356" s="36">
        <v>6310392203</v>
      </c>
      <c r="Y356" s="41">
        <f ca="1">IFERROR(__xludf.DUMMYFUNCTION("""COMPUTED_VALUE"""),6310207111)</f>
        <v>6310207111</v>
      </c>
      <c r="Z356" s="36">
        <v>6410048154</v>
      </c>
    </row>
    <row r="357" spans="1:26" ht="18" customHeight="1">
      <c r="A357" s="3">
        <v>355</v>
      </c>
      <c r="B357" s="3">
        <v>6412258129</v>
      </c>
      <c r="C357" s="4" t="s">
        <v>29</v>
      </c>
      <c r="D357" s="4" t="s">
        <v>994</v>
      </c>
      <c r="E357" s="4" t="s">
        <v>995</v>
      </c>
      <c r="F357" s="4" t="s">
        <v>996</v>
      </c>
      <c r="G357" s="4" t="s">
        <v>287</v>
      </c>
      <c r="H357" s="4" t="s">
        <v>983</v>
      </c>
      <c r="I357" s="3">
        <v>3</v>
      </c>
      <c r="J357" s="29" t="str">
        <f t="shared" si="45"/>
        <v>0</v>
      </c>
      <c r="K357" s="54">
        <v>1</v>
      </c>
      <c r="L357" s="69" t="str">
        <f t="shared" si="47"/>
        <v>0</v>
      </c>
      <c r="M357" s="74" t="str">
        <f t="shared" si="48"/>
        <v>0</v>
      </c>
      <c r="N357" s="29" t="str">
        <f t="shared" si="49"/>
        <v>0</v>
      </c>
      <c r="O357" s="61" t="str">
        <f t="shared" ca="1" si="52"/>
        <v>1</v>
      </c>
      <c r="P357" s="65" t="str">
        <f t="shared" si="53"/>
        <v>1</v>
      </c>
      <c r="Q357" s="46">
        <f t="shared" ca="1" si="51"/>
        <v>3</v>
      </c>
      <c r="R357" s="83" t="str">
        <f t="shared" ca="1" si="50"/>
        <v>ผ่าน</v>
      </c>
      <c r="S357" s="3" t="s">
        <v>28</v>
      </c>
      <c r="T357" s="32">
        <v>6410633211</v>
      </c>
      <c r="W357" s="36">
        <v>6612236126</v>
      </c>
      <c r="Y357" s="40">
        <f ca="1">IFERROR(__xludf.DUMMYFUNCTION("""COMPUTED_VALUE"""),6310207206)</f>
        <v>6310207206</v>
      </c>
      <c r="Z357" s="36">
        <v>6410048152</v>
      </c>
    </row>
    <row r="358" spans="1:26" ht="18" customHeight="1">
      <c r="A358" s="3">
        <v>356</v>
      </c>
      <c r="B358" s="3">
        <v>6510106114</v>
      </c>
      <c r="C358" s="4" t="s">
        <v>29</v>
      </c>
      <c r="D358" s="4" t="s">
        <v>997</v>
      </c>
      <c r="E358" s="4" t="s">
        <v>998</v>
      </c>
      <c r="F358" s="4" t="s">
        <v>453</v>
      </c>
      <c r="G358" s="4" t="s">
        <v>999</v>
      </c>
      <c r="H358" s="4" t="s">
        <v>1000</v>
      </c>
      <c r="I358" s="3">
        <v>2</v>
      </c>
      <c r="J358" s="29" t="str">
        <f t="shared" si="45"/>
        <v>1</v>
      </c>
      <c r="K358" s="54" t="str">
        <f t="shared" si="46"/>
        <v>1</v>
      </c>
      <c r="L358" s="69" t="str">
        <f t="shared" si="47"/>
        <v>0</v>
      </c>
      <c r="M358" s="74" t="str">
        <f t="shared" si="48"/>
        <v>0</v>
      </c>
      <c r="N358" s="29" t="str">
        <f t="shared" si="49"/>
        <v>1</v>
      </c>
      <c r="O358" s="61" t="str">
        <f t="shared" ca="1" si="52"/>
        <v>1</v>
      </c>
      <c r="P358" s="65" t="str">
        <f t="shared" si="53"/>
        <v>1</v>
      </c>
      <c r="Q358" s="46">
        <f t="shared" ca="1" si="51"/>
        <v>5</v>
      </c>
      <c r="R358" s="83" t="str">
        <f t="shared" ca="1" si="50"/>
        <v>ผ่าน</v>
      </c>
      <c r="S358" s="3" t="s">
        <v>28</v>
      </c>
      <c r="T358" s="32">
        <v>6410633101</v>
      </c>
      <c r="W358" s="36">
        <v>6310084105</v>
      </c>
      <c r="Y358" s="41">
        <f ca="1">IFERROR(__xludf.DUMMYFUNCTION("""COMPUTED_VALUE"""),6310207210)</f>
        <v>6310207210</v>
      </c>
      <c r="Z358" s="36">
        <v>6610488225</v>
      </c>
    </row>
    <row r="359" spans="1:26" ht="18" customHeight="1">
      <c r="A359" s="3">
        <v>357</v>
      </c>
      <c r="B359" s="3">
        <v>6410106112</v>
      </c>
      <c r="C359" s="4" t="s">
        <v>29</v>
      </c>
      <c r="D359" s="4" t="s">
        <v>1001</v>
      </c>
      <c r="E359" s="4" t="s">
        <v>1002</v>
      </c>
      <c r="F359" s="4" t="s">
        <v>1003</v>
      </c>
      <c r="G359" s="4" t="s">
        <v>999</v>
      </c>
      <c r="H359" s="4" t="s">
        <v>1000</v>
      </c>
      <c r="I359" s="3">
        <v>3</v>
      </c>
      <c r="J359" s="29" t="str">
        <f t="shared" si="45"/>
        <v>0</v>
      </c>
      <c r="K359" s="54">
        <v>1</v>
      </c>
      <c r="L359" s="69" t="str">
        <f t="shared" si="47"/>
        <v>0</v>
      </c>
      <c r="M359" s="74" t="str">
        <f t="shared" si="48"/>
        <v>1</v>
      </c>
      <c r="N359" s="29" t="str">
        <f t="shared" si="49"/>
        <v>0</v>
      </c>
      <c r="O359" s="61" t="str">
        <f t="shared" ca="1" si="52"/>
        <v>1</v>
      </c>
      <c r="P359" s="65" t="str">
        <f t="shared" si="53"/>
        <v>1</v>
      </c>
      <c r="Q359" s="46">
        <f t="shared" ca="1" si="51"/>
        <v>4</v>
      </c>
      <c r="R359" s="83" t="str">
        <f t="shared" ca="1" si="50"/>
        <v>ผ่าน</v>
      </c>
      <c r="S359" s="3" t="s">
        <v>28</v>
      </c>
      <c r="T359" s="32">
        <v>6410633201</v>
      </c>
      <c r="W359" s="36">
        <v>6310207120</v>
      </c>
      <c r="Y359" s="40">
        <f ca="1">IFERROR(__xludf.DUMMYFUNCTION("""COMPUTED_VALUE"""),6310633110)</f>
        <v>6310633110</v>
      </c>
      <c r="Z359" s="36">
        <v>6411506114</v>
      </c>
    </row>
    <row r="360" spans="1:26" ht="18" customHeight="1">
      <c r="A360" s="3">
        <v>358</v>
      </c>
      <c r="B360" s="3">
        <v>6410106122</v>
      </c>
      <c r="C360" s="4" t="s">
        <v>29</v>
      </c>
      <c r="D360" s="4" t="s">
        <v>1004</v>
      </c>
      <c r="E360" s="4" t="s">
        <v>1005</v>
      </c>
      <c r="F360" s="4" t="s">
        <v>489</v>
      </c>
      <c r="G360" s="4" t="s">
        <v>999</v>
      </c>
      <c r="H360" s="4" t="s">
        <v>1000</v>
      </c>
      <c r="I360" s="3">
        <v>3</v>
      </c>
      <c r="J360" s="29" t="str">
        <f t="shared" si="45"/>
        <v>1</v>
      </c>
      <c r="K360" s="54" t="str">
        <f t="shared" si="46"/>
        <v>1</v>
      </c>
      <c r="L360" s="69" t="str">
        <f t="shared" si="47"/>
        <v>0</v>
      </c>
      <c r="M360" s="74" t="str">
        <f t="shared" si="48"/>
        <v>1</v>
      </c>
      <c r="N360" s="29" t="str">
        <f t="shared" si="49"/>
        <v>0</v>
      </c>
      <c r="O360" s="61" t="str">
        <f t="shared" ca="1" si="52"/>
        <v>1</v>
      </c>
      <c r="P360" s="65" t="str">
        <f t="shared" si="53"/>
        <v>1</v>
      </c>
      <c r="Q360" s="46">
        <f t="shared" ca="1" si="51"/>
        <v>5</v>
      </c>
      <c r="R360" s="83" t="str">
        <f t="shared" ca="1" si="50"/>
        <v>ผ่าน</v>
      </c>
      <c r="S360" s="3" t="s">
        <v>28</v>
      </c>
      <c r="T360" s="32">
        <v>6410633108</v>
      </c>
      <c r="W360" s="36">
        <v>6312743106</v>
      </c>
      <c r="Y360" s="41">
        <f ca="1">IFERROR(__xludf.DUMMYFUNCTION("""COMPUTED_VALUE"""),6310633128)</f>
        <v>6310633128</v>
      </c>
      <c r="Z360" s="36">
        <v>6411506220</v>
      </c>
    </row>
    <row r="361" spans="1:26" ht="18" customHeight="1">
      <c r="A361" s="3">
        <v>359</v>
      </c>
      <c r="B361" s="3">
        <v>6410106125</v>
      </c>
      <c r="C361" s="4" t="s">
        <v>29</v>
      </c>
      <c r="D361" s="4" t="s">
        <v>1006</v>
      </c>
      <c r="E361" s="4" t="s">
        <v>1007</v>
      </c>
      <c r="F361" s="4" t="s">
        <v>242</v>
      </c>
      <c r="G361" s="4" t="s">
        <v>999</v>
      </c>
      <c r="H361" s="4" t="s">
        <v>1000</v>
      </c>
      <c r="I361" s="3">
        <v>3</v>
      </c>
      <c r="J361" s="29" t="str">
        <f t="shared" si="45"/>
        <v>0</v>
      </c>
      <c r="K361" s="54">
        <v>1</v>
      </c>
      <c r="L361" s="69" t="str">
        <f t="shared" si="47"/>
        <v>0</v>
      </c>
      <c r="M361" s="74" t="str">
        <f t="shared" si="48"/>
        <v>0</v>
      </c>
      <c r="N361" s="29" t="str">
        <f t="shared" si="49"/>
        <v>1</v>
      </c>
      <c r="O361" s="61" t="str">
        <f t="shared" ca="1" si="52"/>
        <v>1</v>
      </c>
      <c r="P361" s="65" t="str">
        <f t="shared" si="53"/>
        <v>1</v>
      </c>
      <c r="Q361" s="46">
        <f t="shared" ca="1" si="51"/>
        <v>4</v>
      </c>
      <c r="R361" s="83" t="str">
        <f t="shared" ca="1" si="50"/>
        <v>ผ่าน</v>
      </c>
      <c r="S361" s="3" t="s">
        <v>28</v>
      </c>
      <c r="T361" s="32">
        <v>6510633205</v>
      </c>
      <c r="W361" s="36">
        <v>6312743237</v>
      </c>
      <c r="Y361" s="40">
        <f ca="1">IFERROR(__xludf.DUMMYFUNCTION("""COMPUTED_VALUE"""),6310633133)</f>
        <v>6310633133</v>
      </c>
      <c r="Z361" s="36">
        <v>6411506219</v>
      </c>
    </row>
    <row r="362" spans="1:26" ht="18" customHeight="1">
      <c r="A362" s="3">
        <v>360</v>
      </c>
      <c r="B362" s="3">
        <v>6410106207</v>
      </c>
      <c r="C362" s="4" t="s">
        <v>29</v>
      </c>
      <c r="D362" s="4" t="s">
        <v>732</v>
      </c>
      <c r="E362" s="4" t="s">
        <v>1008</v>
      </c>
      <c r="F362" s="4" t="s">
        <v>391</v>
      </c>
      <c r="G362" s="4" t="s">
        <v>999</v>
      </c>
      <c r="H362" s="4" t="s">
        <v>1000</v>
      </c>
      <c r="I362" s="3">
        <v>3</v>
      </c>
      <c r="J362" s="29" t="str">
        <f t="shared" si="45"/>
        <v>0</v>
      </c>
      <c r="K362" s="54">
        <v>1</v>
      </c>
      <c r="L362" s="69" t="str">
        <f t="shared" si="47"/>
        <v>0</v>
      </c>
      <c r="M362" s="74" t="str">
        <f t="shared" si="48"/>
        <v>1</v>
      </c>
      <c r="N362" s="29" t="str">
        <f t="shared" si="49"/>
        <v>0</v>
      </c>
      <c r="O362" s="61" t="str">
        <f t="shared" ca="1" si="52"/>
        <v>1</v>
      </c>
      <c r="P362" s="65" t="str">
        <f t="shared" si="53"/>
        <v>0</v>
      </c>
      <c r="Q362" s="46">
        <f t="shared" ca="1" si="51"/>
        <v>3</v>
      </c>
      <c r="R362" s="83" t="str">
        <f t="shared" ca="1" si="50"/>
        <v>ผ่าน</v>
      </c>
      <c r="S362" s="3" t="s">
        <v>28</v>
      </c>
      <c r="T362" s="32">
        <v>6410073108</v>
      </c>
      <c r="W362" s="36">
        <v>6310084108</v>
      </c>
      <c r="Y362" s="41">
        <f ca="1">IFERROR(__xludf.DUMMYFUNCTION("""COMPUTED_VALUE"""),6310488118)</f>
        <v>6310488118</v>
      </c>
    </row>
    <row r="363" spans="1:26" ht="18" customHeight="1">
      <c r="A363" s="3">
        <v>361</v>
      </c>
      <c r="B363" s="3">
        <v>6410106209</v>
      </c>
      <c r="C363" s="4" t="s">
        <v>29</v>
      </c>
      <c r="D363" s="4" t="s">
        <v>223</v>
      </c>
      <c r="E363" s="4" t="s">
        <v>803</v>
      </c>
      <c r="F363" s="4" t="s">
        <v>161</v>
      </c>
      <c r="G363" s="4" t="s">
        <v>999</v>
      </c>
      <c r="H363" s="4" t="s">
        <v>1000</v>
      </c>
      <c r="I363" s="3">
        <v>3</v>
      </c>
      <c r="J363" s="29" t="str">
        <f t="shared" si="45"/>
        <v>0</v>
      </c>
      <c r="K363" s="54">
        <v>1</v>
      </c>
      <c r="L363" s="69" t="str">
        <f t="shared" si="47"/>
        <v>0</v>
      </c>
      <c r="M363" s="74" t="str">
        <f t="shared" si="48"/>
        <v>0</v>
      </c>
      <c r="N363" s="29" t="str">
        <f t="shared" si="49"/>
        <v>1</v>
      </c>
      <c r="O363" s="61" t="str">
        <f t="shared" ca="1" si="52"/>
        <v>1</v>
      </c>
      <c r="P363" s="65" t="str">
        <f t="shared" si="53"/>
        <v>1</v>
      </c>
      <c r="Q363" s="46">
        <f t="shared" ca="1" si="51"/>
        <v>4</v>
      </c>
      <c r="R363" s="83" t="str">
        <f t="shared" ca="1" si="50"/>
        <v>ผ่าน</v>
      </c>
      <c r="S363" s="3" t="s">
        <v>28</v>
      </c>
      <c r="T363" s="32">
        <v>6410633105</v>
      </c>
      <c r="W363" s="36">
        <v>6310084109</v>
      </c>
      <c r="Y363" s="40">
        <f ca="1">IFERROR(__xludf.DUMMYFUNCTION("""COMPUTED_VALUE"""),6310488122)</f>
        <v>6310488122</v>
      </c>
    </row>
    <row r="364" spans="1:26" ht="18" customHeight="1">
      <c r="A364" s="3">
        <v>362</v>
      </c>
      <c r="B364" s="3">
        <v>6410106215</v>
      </c>
      <c r="C364" s="4" t="s">
        <v>29</v>
      </c>
      <c r="D364" s="4" t="s">
        <v>1009</v>
      </c>
      <c r="E364" s="4" t="s">
        <v>1010</v>
      </c>
      <c r="F364" s="4" t="s">
        <v>300</v>
      </c>
      <c r="G364" s="4" t="s">
        <v>999</v>
      </c>
      <c r="H364" s="4" t="s">
        <v>1000</v>
      </c>
      <c r="I364" s="3">
        <v>3</v>
      </c>
      <c r="J364" s="29" t="str">
        <f t="shared" si="45"/>
        <v>0</v>
      </c>
      <c r="K364" s="54">
        <v>1</v>
      </c>
      <c r="L364" s="69" t="str">
        <f t="shared" si="47"/>
        <v>1</v>
      </c>
      <c r="M364" s="74" t="str">
        <f t="shared" si="48"/>
        <v>0</v>
      </c>
      <c r="N364" s="29" t="str">
        <f t="shared" si="49"/>
        <v>1</v>
      </c>
      <c r="O364" s="61" t="str">
        <f t="shared" ca="1" si="52"/>
        <v>1</v>
      </c>
      <c r="P364" s="65" t="str">
        <f t="shared" si="53"/>
        <v>1</v>
      </c>
      <c r="Q364" s="46">
        <f t="shared" ca="1" si="51"/>
        <v>5</v>
      </c>
      <c r="R364" s="83" t="str">
        <f t="shared" ca="1" si="50"/>
        <v>ผ่าน</v>
      </c>
      <c r="S364" s="3" t="s">
        <v>28</v>
      </c>
      <c r="T364" s="32">
        <v>6410633104</v>
      </c>
      <c r="W364" s="36">
        <v>6412798107</v>
      </c>
      <c r="Y364" s="41">
        <f ca="1">IFERROR(__xludf.DUMMYFUNCTION("""COMPUTED_VALUE"""),6310488205)</f>
        <v>6310488205</v>
      </c>
    </row>
    <row r="365" spans="1:26" ht="18" customHeight="1">
      <c r="A365" s="3">
        <v>363</v>
      </c>
      <c r="B365" s="3">
        <v>6410106216</v>
      </c>
      <c r="C365" s="4" t="s">
        <v>29</v>
      </c>
      <c r="D365" s="4" t="s">
        <v>1011</v>
      </c>
      <c r="E365" s="4" t="s">
        <v>1012</v>
      </c>
      <c r="F365" s="4" t="s">
        <v>219</v>
      </c>
      <c r="G365" s="4" t="s">
        <v>999</v>
      </c>
      <c r="H365" s="4" t="s">
        <v>1000</v>
      </c>
      <c r="I365" s="3">
        <v>3</v>
      </c>
      <c r="J365" s="29" t="str">
        <f t="shared" si="45"/>
        <v>0</v>
      </c>
      <c r="K365" s="54">
        <v>1</v>
      </c>
      <c r="L365" s="69" t="str">
        <f t="shared" si="47"/>
        <v>0</v>
      </c>
      <c r="M365" s="74" t="str">
        <f t="shared" si="48"/>
        <v>1</v>
      </c>
      <c r="N365" s="29" t="str">
        <f t="shared" si="49"/>
        <v>0</v>
      </c>
      <c r="O365" s="61" t="str">
        <f t="shared" ca="1" si="52"/>
        <v>1</v>
      </c>
      <c r="P365" s="65" t="str">
        <f t="shared" si="53"/>
        <v>1</v>
      </c>
      <c r="Q365" s="46">
        <f t="shared" ca="1" si="51"/>
        <v>4</v>
      </c>
      <c r="R365" s="83" t="str">
        <f t="shared" ca="1" si="50"/>
        <v>ผ่าน</v>
      </c>
      <c r="S365" s="3" t="s">
        <v>28</v>
      </c>
      <c r="T365" s="32">
        <v>6510633107</v>
      </c>
      <c r="W365" s="36">
        <v>6310073105</v>
      </c>
      <c r="Y365" s="40">
        <f ca="1">IFERROR(__xludf.DUMMYFUNCTION("""COMPUTED_VALUE"""),6310488214)</f>
        <v>6310488214</v>
      </c>
    </row>
    <row r="366" spans="1:26" ht="18" customHeight="1">
      <c r="A366" s="3">
        <v>364</v>
      </c>
      <c r="B366" s="3">
        <v>6310106109</v>
      </c>
      <c r="C366" s="4" t="s">
        <v>29</v>
      </c>
      <c r="D366" s="4" t="s">
        <v>1013</v>
      </c>
      <c r="E366" s="4" t="s">
        <v>1014</v>
      </c>
      <c r="F366" s="4" t="s">
        <v>1015</v>
      </c>
      <c r="G366" s="4" t="s">
        <v>999</v>
      </c>
      <c r="H366" s="4" t="s">
        <v>1000</v>
      </c>
      <c r="I366" s="3">
        <v>4</v>
      </c>
      <c r="J366" s="29" t="str">
        <f t="shared" si="45"/>
        <v>1</v>
      </c>
      <c r="K366" s="54" t="str">
        <f t="shared" si="46"/>
        <v>1</v>
      </c>
      <c r="L366" s="69" t="str">
        <f t="shared" si="47"/>
        <v>0</v>
      </c>
      <c r="M366" s="74" t="str">
        <f t="shared" si="48"/>
        <v>1</v>
      </c>
      <c r="N366" s="29" t="str">
        <f t="shared" si="49"/>
        <v>0</v>
      </c>
      <c r="O366" s="61">
        <v>1</v>
      </c>
      <c r="P366" s="65">
        <v>1</v>
      </c>
      <c r="Q366" s="46">
        <f t="shared" si="51"/>
        <v>5</v>
      </c>
      <c r="R366" s="83" t="str">
        <f t="shared" si="50"/>
        <v>ผ่าน</v>
      </c>
      <c r="S366" s="3" t="s">
        <v>28</v>
      </c>
      <c r="T366" s="32">
        <v>6410633208</v>
      </c>
      <c r="W366" s="36">
        <v>6310633132</v>
      </c>
      <c r="Y366" s="41">
        <f ca="1">IFERROR(__xludf.DUMMYFUNCTION("""COMPUTED_VALUE"""),6310488231)</f>
        <v>6310488231</v>
      </c>
    </row>
    <row r="367" spans="1:26" ht="18" customHeight="1">
      <c r="A367" s="3">
        <v>365</v>
      </c>
      <c r="B367" s="3">
        <v>6310106204</v>
      </c>
      <c r="C367" s="4" t="s">
        <v>29</v>
      </c>
      <c r="D367" s="4" t="s">
        <v>1016</v>
      </c>
      <c r="E367" s="4" t="s">
        <v>1017</v>
      </c>
      <c r="F367" s="4" t="s">
        <v>193</v>
      </c>
      <c r="G367" s="4" t="s">
        <v>999</v>
      </c>
      <c r="H367" s="4" t="s">
        <v>1000</v>
      </c>
      <c r="I367" s="3">
        <v>4</v>
      </c>
      <c r="J367" s="29" t="str">
        <f t="shared" si="45"/>
        <v>1</v>
      </c>
      <c r="K367" s="54" t="str">
        <f t="shared" si="46"/>
        <v>1</v>
      </c>
      <c r="L367" s="69" t="str">
        <f t="shared" si="47"/>
        <v>0</v>
      </c>
      <c r="M367" s="74" t="str">
        <f t="shared" si="48"/>
        <v>1</v>
      </c>
      <c r="N367" s="29" t="str">
        <f t="shared" si="49"/>
        <v>0</v>
      </c>
      <c r="O367" s="61">
        <v>1</v>
      </c>
      <c r="P367" s="65">
        <v>1</v>
      </c>
      <c r="Q367" s="46">
        <f t="shared" si="51"/>
        <v>5</v>
      </c>
      <c r="R367" s="83" t="str">
        <f t="shared" si="50"/>
        <v>ผ่าน</v>
      </c>
      <c r="S367" s="3" t="s">
        <v>28</v>
      </c>
      <c r="T367" s="32">
        <v>6410633102</v>
      </c>
      <c r="W367" s="36">
        <v>6310633332</v>
      </c>
      <c r="Y367" s="40">
        <f ca="1">IFERROR(__xludf.DUMMYFUNCTION("""COMPUTED_VALUE"""),6312855110)</f>
        <v>6312855110</v>
      </c>
    </row>
    <row r="368" spans="1:26" ht="18" customHeight="1">
      <c r="A368" s="3">
        <v>366</v>
      </c>
      <c r="B368" s="3">
        <v>6310106216</v>
      </c>
      <c r="C368" s="4" t="s">
        <v>29</v>
      </c>
      <c r="D368" s="4" t="s">
        <v>1018</v>
      </c>
      <c r="E368" s="4" t="s">
        <v>1019</v>
      </c>
      <c r="F368" s="4" t="s">
        <v>1020</v>
      </c>
      <c r="G368" s="4" t="s">
        <v>999</v>
      </c>
      <c r="H368" s="4" t="s">
        <v>1000</v>
      </c>
      <c r="I368" s="3">
        <v>4</v>
      </c>
      <c r="J368" s="29" t="str">
        <f t="shared" si="45"/>
        <v>0</v>
      </c>
      <c r="K368" s="54">
        <v>1</v>
      </c>
      <c r="L368" s="69" t="str">
        <f t="shared" si="47"/>
        <v>0</v>
      </c>
      <c r="M368" s="74" t="str">
        <f t="shared" si="48"/>
        <v>1</v>
      </c>
      <c r="N368" s="29" t="str">
        <f t="shared" si="49"/>
        <v>0</v>
      </c>
      <c r="O368" s="61">
        <v>1</v>
      </c>
      <c r="P368" s="65">
        <v>1</v>
      </c>
      <c r="Q368" s="46">
        <f t="shared" si="51"/>
        <v>4</v>
      </c>
      <c r="R368" s="83" t="str">
        <f t="shared" si="50"/>
        <v>ผ่าน</v>
      </c>
      <c r="S368" s="3" t="s">
        <v>28</v>
      </c>
      <c r="T368" s="32">
        <v>6315964117</v>
      </c>
      <c r="W368" s="36">
        <v>6310633104</v>
      </c>
      <c r="Y368" s="41">
        <f ca="1">IFERROR(__xludf.DUMMYFUNCTION("""COMPUTED_VALUE"""),6312798207)</f>
        <v>6312798207</v>
      </c>
    </row>
    <row r="369" spans="1:25" ht="18" customHeight="1">
      <c r="A369" s="3">
        <v>367</v>
      </c>
      <c r="B369" s="3">
        <v>6510106120</v>
      </c>
      <c r="C369" s="4" t="s">
        <v>29</v>
      </c>
      <c r="D369" s="4" t="s">
        <v>1021</v>
      </c>
      <c r="E369" s="4" t="s">
        <v>1022</v>
      </c>
      <c r="F369" s="4" t="s">
        <v>1023</v>
      </c>
      <c r="G369" s="4" t="s">
        <v>999</v>
      </c>
      <c r="H369" s="4" t="s">
        <v>1024</v>
      </c>
      <c r="I369" s="3">
        <v>2</v>
      </c>
      <c r="J369" s="29" t="str">
        <f t="shared" si="45"/>
        <v>0</v>
      </c>
      <c r="K369" s="54" t="str">
        <f t="shared" si="46"/>
        <v>1</v>
      </c>
      <c r="L369" s="69" t="str">
        <f t="shared" si="47"/>
        <v>0</v>
      </c>
      <c r="M369" s="74" t="str">
        <f t="shared" si="48"/>
        <v>0</v>
      </c>
      <c r="N369" s="29" t="str">
        <f t="shared" si="49"/>
        <v>1</v>
      </c>
      <c r="O369" s="61" t="str">
        <f t="shared" ca="1" si="52"/>
        <v>1</v>
      </c>
      <c r="P369" s="65" t="str">
        <f t="shared" si="53"/>
        <v>1</v>
      </c>
      <c r="Q369" s="46">
        <f t="shared" ca="1" si="51"/>
        <v>4</v>
      </c>
      <c r="R369" s="83" t="str">
        <f t="shared" ca="1" si="50"/>
        <v>ผ่าน</v>
      </c>
      <c r="S369" s="3" t="s">
        <v>28</v>
      </c>
      <c r="T369" s="32">
        <v>6510633103</v>
      </c>
      <c r="W369" s="36">
        <v>6611506118</v>
      </c>
      <c r="Y369" s="40">
        <f ca="1">IFERROR(__xludf.DUMMYFUNCTION("""COMPUTED_VALUE"""),6312798208)</f>
        <v>6312798208</v>
      </c>
    </row>
    <row r="370" spans="1:25" ht="18" customHeight="1">
      <c r="A370" s="3">
        <v>368</v>
      </c>
      <c r="B370" s="3">
        <v>6410106104</v>
      </c>
      <c r="C370" s="4" t="s">
        <v>22</v>
      </c>
      <c r="D370" s="4" t="s">
        <v>1025</v>
      </c>
      <c r="E370" s="4" t="s">
        <v>1026</v>
      </c>
      <c r="F370" s="4" t="s">
        <v>1027</v>
      </c>
      <c r="G370" s="4" t="s">
        <v>999</v>
      </c>
      <c r="H370" s="4" t="s">
        <v>1024</v>
      </c>
      <c r="I370" s="3">
        <v>3</v>
      </c>
      <c r="J370" s="29" t="str">
        <f t="shared" si="45"/>
        <v>0</v>
      </c>
      <c r="K370" s="54">
        <v>1</v>
      </c>
      <c r="L370" s="69" t="str">
        <f t="shared" si="47"/>
        <v>0</v>
      </c>
      <c r="M370" s="74" t="str">
        <f t="shared" si="48"/>
        <v>0</v>
      </c>
      <c r="N370" s="29" t="str">
        <f t="shared" si="49"/>
        <v>1</v>
      </c>
      <c r="O370" s="61" t="str">
        <f t="shared" ca="1" si="52"/>
        <v>1</v>
      </c>
      <c r="P370" s="65" t="str">
        <f t="shared" si="53"/>
        <v>1</v>
      </c>
      <c r="Q370" s="46">
        <f t="shared" ca="1" si="51"/>
        <v>4</v>
      </c>
      <c r="R370" s="83" t="str">
        <f t="shared" ca="1" si="50"/>
        <v>ผ่าน</v>
      </c>
      <c r="S370" s="3" t="s">
        <v>28</v>
      </c>
      <c r="T370" s="32">
        <v>6410633209</v>
      </c>
      <c r="W370" s="36">
        <v>6310392217</v>
      </c>
      <c r="Y370" s="41">
        <f ca="1">IFERROR(__xludf.DUMMYFUNCTION("""COMPUTED_VALUE"""),6312798213)</f>
        <v>6312798213</v>
      </c>
    </row>
    <row r="371" spans="1:25" ht="18" customHeight="1">
      <c r="A371" s="3">
        <v>369</v>
      </c>
      <c r="B371" s="3">
        <v>6410106114</v>
      </c>
      <c r="C371" s="4" t="s">
        <v>29</v>
      </c>
      <c r="D371" s="4" t="s">
        <v>1028</v>
      </c>
      <c r="E371" s="4" t="s">
        <v>82</v>
      </c>
      <c r="F371" s="4" t="s">
        <v>300</v>
      </c>
      <c r="G371" s="4" t="s">
        <v>999</v>
      </c>
      <c r="H371" s="4" t="s">
        <v>1024</v>
      </c>
      <c r="I371" s="3">
        <v>3</v>
      </c>
      <c r="J371" s="29" t="str">
        <f t="shared" si="45"/>
        <v>0</v>
      </c>
      <c r="K371" s="54" t="str">
        <f t="shared" si="46"/>
        <v>1</v>
      </c>
      <c r="L371" s="69" t="str">
        <f t="shared" si="47"/>
        <v>0</v>
      </c>
      <c r="M371" s="74" t="str">
        <f t="shared" si="48"/>
        <v>1</v>
      </c>
      <c r="N371" s="29" t="str">
        <f t="shared" si="49"/>
        <v>0</v>
      </c>
      <c r="O371" s="61" t="str">
        <f t="shared" ca="1" si="52"/>
        <v>1</v>
      </c>
      <c r="P371" s="65" t="str">
        <f t="shared" si="53"/>
        <v>1</v>
      </c>
      <c r="Q371" s="46">
        <f t="shared" ca="1" si="51"/>
        <v>4</v>
      </c>
      <c r="R371" s="83" t="str">
        <f t="shared" ca="1" si="50"/>
        <v>ผ่าน</v>
      </c>
      <c r="S371" s="3" t="s">
        <v>28</v>
      </c>
      <c r="T371" s="32">
        <v>6610392104</v>
      </c>
      <c r="W371" s="36">
        <v>6511506226</v>
      </c>
      <c r="Y371" s="40">
        <f ca="1">IFERROR(__xludf.DUMMYFUNCTION("""COMPUTED_VALUE"""),6312743106)</f>
        <v>6312743106</v>
      </c>
    </row>
    <row r="372" spans="1:25" ht="18" customHeight="1">
      <c r="A372" s="3">
        <v>370</v>
      </c>
      <c r="B372" s="3">
        <v>6410106127</v>
      </c>
      <c r="C372" s="4" t="s">
        <v>29</v>
      </c>
      <c r="D372" s="4" t="s">
        <v>1029</v>
      </c>
      <c r="E372" s="4" t="s">
        <v>1030</v>
      </c>
      <c r="F372" s="4" t="s">
        <v>424</v>
      </c>
      <c r="G372" s="4" t="s">
        <v>999</v>
      </c>
      <c r="H372" s="4" t="s">
        <v>1024</v>
      </c>
      <c r="I372" s="3">
        <v>3</v>
      </c>
      <c r="J372" s="29" t="str">
        <f t="shared" si="45"/>
        <v>0</v>
      </c>
      <c r="K372" s="54">
        <v>1</v>
      </c>
      <c r="L372" s="69" t="str">
        <f t="shared" si="47"/>
        <v>0</v>
      </c>
      <c r="M372" s="74" t="str">
        <f t="shared" si="48"/>
        <v>1</v>
      </c>
      <c r="N372" s="29" t="str">
        <f t="shared" si="49"/>
        <v>0</v>
      </c>
      <c r="O372" s="61" t="str">
        <f t="shared" ca="1" si="52"/>
        <v>1</v>
      </c>
      <c r="P372" s="65" t="str">
        <f t="shared" si="53"/>
        <v>1</v>
      </c>
      <c r="Q372" s="46">
        <f t="shared" ca="1" si="51"/>
        <v>4</v>
      </c>
      <c r="R372" s="83" t="str">
        <f t="shared" ca="1" si="50"/>
        <v>ผ่าน</v>
      </c>
      <c r="S372" s="3" t="s">
        <v>28</v>
      </c>
      <c r="T372" s="32">
        <v>6512247224</v>
      </c>
      <c r="W372" s="36">
        <v>6410207226</v>
      </c>
      <c r="Y372" s="41">
        <f ca="1">IFERROR(__xludf.DUMMYFUNCTION("""COMPUTED_VALUE"""),6312743215)</f>
        <v>6312743215</v>
      </c>
    </row>
    <row r="373" spans="1:25" ht="18" customHeight="1">
      <c r="A373" s="3">
        <v>371</v>
      </c>
      <c r="B373" s="3">
        <v>6410106132</v>
      </c>
      <c r="C373" s="4" t="s">
        <v>29</v>
      </c>
      <c r="D373" s="4" t="s">
        <v>1031</v>
      </c>
      <c r="E373" s="4" t="s">
        <v>1032</v>
      </c>
      <c r="F373" s="4" t="s">
        <v>322</v>
      </c>
      <c r="G373" s="4" t="s">
        <v>999</v>
      </c>
      <c r="H373" s="4" t="s">
        <v>1024</v>
      </c>
      <c r="I373" s="3">
        <v>3</v>
      </c>
      <c r="J373" s="29" t="str">
        <f t="shared" si="45"/>
        <v>0</v>
      </c>
      <c r="K373" s="54">
        <v>1</v>
      </c>
      <c r="L373" s="69" t="str">
        <f t="shared" si="47"/>
        <v>0</v>
      </c>
      <c r="M373" s="74" t="str">
        <f t="shared" si="48"/>
        <v>1</v>
      </c>
      <c r="N373" s="29" t="str">
        <f t="shared" si="49"/>
        <v>0</v>
      </c>
      <c r="O373" s="61" t="str">
        <f t="shared" ca="1" si="52"/>
        <v>0</v>
      </c>
      <c r="P373" s="65" t="str">
        <f t="shared" si="53"/>
        <v>1</v>
      </c>
      <c r="Q373" s="46">
        <f t="shared" ca="1" si="51"/>
        <v>3</v>
      </c>
      <c r="R373" s="83" t="str">
        <f t="shared" ca="1" si="50"/>
        <v>ผ่าน</v>
      </c>
      <c r="S373" s="3" t="s">
        <v>28</v>
      </c>
      <c r="T373" s="32">
        <v>6315964110</v>
      </c>
      <c r="W373" s="36">
        <v>6410207225</v>
      </c>
      <c r="Y373" s="40">
        <f ca="1">IFERROR(__xludf.DUMMYFUNCTION("""COMPUTED_VALUE"""),6312743223)</f>
        <v>6312743223</v>
      </c>
    </row>
    <row r="374" spans="1:25" ht="18" customHeight="1">
      <c r="A374" s="3">
        <v>372</v>
      </c>
      <c r="B374" s="3">
        <v>6410106205</v>
      </c>
      <c r="C374" s="4" t="s">
        <v>29</v>
      </c>
      <c r="D374" s="4" t="s">
        <v>197</v>
      </c>
      <c r="E374" s="4" t="s">
        <v>1033</v>
      </c>
      <c r="F374" s="4" t="s">
        <v>1034</v>
      </c>
      <c r="G374" s="4" t="s">
        <v>999</v>
      </c>
      <c r="H374" s="4" t="s">
        <v>1024</v>
      </c>
      <c r="I374" s="3">
        <v>3</v>
      </c>
      <c r="J374" s="29" t="str">
        <f t="shared" si="45"/>
        <v>0</v>
      </c>
      <c r="K374" s="54" t="str">
        <f t="shared" si="46"/>
        <v>0</v>
      </c>
      <c r="L374" s="69" t="str">
        <f t="shared" si="47"/>
        <v>0</v>
      </c>
      <c r="M374" s="74" t="str">
        <f t="shared" si="48"/>
        <v>0</v>
      </c>
      <c r="N374" s="29" t="str">
        <f t="shared" si="49"/>
        <v>0</v>
      </c>
      <c r="O374" s="61" t="str">
        <f t="shared" ca="1" si="52"/>
        <v>0</v>
      </c>
      <c r="P374" s="65" t="str">
        <f t="shared" si="53"/>
        <v>0</v>
      </c>
      <c r="Q374" s="46">
        <f t="shared" ca="1" si="51"/>
        <v>0</v>
      </c>
      <c r="R374" s="3" t="str">
        <f t="shared" ca="1" si="50"/>
        <v>ไม่ผ่าน</v>
      </c>
      <c r="S374" s="3" t="s">
        <v>28</v>
      </c>
      <c r="T374" s="32">
        <v>6312325110</v>
      </c>
      <c r="W374" s="36">
        <v>6611506120</v>
      </c>
      <c r="Y374" s="41">
        <f ca="1">IFERROR(__xludf.DUMMYFUNCTION("""COMPUTED_VALUE"""),6312743237)</f>
        <v>6312743237</v>
      </c>
    </row>
    <row r="375" spans="1:25" ht="18" customHeight="1">
      <c r="A375" s="3">
        <v>373</v>
      </c>
      <c r="B375" s="3">
        <v>6410106210</v>
      </c>
      <c r="C375" s="4" t="s">
        <v>29</v>
      </c>
      <c r="D375" s="4" t="s">
        <v>1035</v>
      </c>
      <c r="E375" s="4" t="s">
        <v>1036</v>
      </c>
      <c r="F375" s="4" t="s">
        <v>236</v>
      </c>
      <c r="G375" s="4" t="s">
        <v>999</v>
      </c>
      <c r="H375" s="4" t="s">
        <v>1024</v>
      </c>
      <c r="I375" s="3">
        <v>3</v>
      </c>
      <c r="J375" s="29" t="str">
        <f t="shared" si="45"/>
        <v>0</v>
      </c>
      <c r="K375" s="54">
        <v>1</v>
      </c>
      <c r="L375" s="69" t="str">
        <f t="shared" si="47"/>
        <v>0</v>
      </c>
      <c r="M375" s="74" t="str">
        <f t="shared" si="48"/>
        <v>1</v>
      </c>
      <c r="N375" s="29" t="str">
        <f t="shared" si="49"/>
        <v>0</v>
      </c>
      <c r="O375" s="61" t="str">
        <f t="shared" ca="1" si="52"/>
        <v>1</v>
      </c>
      <c r="P375" s="65" t="str">
        <f t="shared" si="53"/>
        <v>1</v>
      </c>
      <c r="Q375" s="46">
        <f t="shared" ca="1" si="51"/>
        <v>4</v>
      </c>
      <c r="R375" s="83" t="str">
        <f t="shared" ca="1" si="50"/>
        <v>ผ่าน</v>
      </c>
      <c r="S375" s="3" t="s">
        <v>28</v>
      </c>
      <c r="T375" s="32">
        <v>6510014106</v>
      </c>
      <c r="W375" s="36">
        <v>6310392108</v>
      </c>
      <c r="Y375" s="40">
        <f ca="1">IFERROR(__xludf.DUMMYFUNCTION("""COMPUTED_VALUE"""),6312743239)</f>
        <v>6312743239</v>
      </c>
    </row>
    <row r="376" spans="1:25" ht="18" customHeight="1">
      <c r="A376" s="3">
        <v>374</v>
      </c>
      <c r="B376" s="3">
        <v>6410106219</v>
      </c>
      <c r="C376" s="4" t="s">
        <v>29</v>
      </c>
      <c r="D376" s="4" t="s">
        <v>1037</v>
      </c>
      <c r="E376" s="4" t="s">
        <v>1038</v>
      </c>
      <c r="F376" s="4" t="s">
        <v>104</v>
      </c>
      <c r="G376" s="4" t="s">
        <v>999</v>
      </c>
      <c r="H376" s="4" t="s">
        <v>1024</v>
      </c>
      <c r="I376" s="3">
        <v>3</v>
      </c>
      <c r="J376" s="29" t="str">
        <f t="shared" si="45"/>
        <v>0</v>
      </c>
      <c r="K376" s="54" t="str">
        <f t="shared" si="46"/>
        <v>1</v>
      </c>
      <c r="L376" s="69" t="str">
        <f t="shared" si="47"/>
        <v>0</v>
      </c>
      <c r="M376" s="74" t="str">
        <f t="shared" si="48"/>
        <v>1</v>
      </c>
      <c r="N376" s="29" t="str">
        <f t="shared" si="49"/>
        <v>0</v>
      </c>
      <c r="O376" s="61" t="str">
        <f t="shared" ca="1" si="52"/>
        <v>0</v>
      </c>
      <c r="P376" s="65" t="str">
        <f t="shared" si="53"/>
        <v>1</v>
      </c>
      <c r="Q376" s="46">
        <f t="shared" ca="1" si="51"/>
        <v>3</v>
      </c>
      <c r="R376" s="83" t="str">
        <f t="shared" ca="1" si="50"/>
        <v>ผ่าน</v>
      </c>
      <c r="S376" s="3" t="s">
        <v>28</v>
      </c>
      <c r="T376" s="32">
        <v>6411506137</v>
      </c>
      <c r="W376" s="36">
        <v>6410207205</v>
      </c>
      <c r="Y376" s="41">
        <f ca="1">IFERROR(__xludf.DUMMYFUNCTION("""COMPUTED_VALUE"""),6311506106)</f>
        <v>6311506106</v>
      </c>
    </row>
    <row r="377" spans="1:25" ht="18" customHeight="1">
      <c r="A377" s="3">
        <v>375</v>
      </c>
      <c r="B377" s="3">
        <v>6612855107</v>
      </c>
      <c r="C377" s="4" t="s">
        <v>22</v>
      </c>
      <c r="D377" s="4" t="s">
        <v>499</v>
      </c>
      <c r="E377" s="4" t="s">
        <v>1039</v>
      </c>
      <c r="F377" s="4" t="s">
        <v>1040</v>
      </c>
      <c r="G377" s="4" t="s">
        <v>999</v>
      </c>
      <c r="H377" s="4" t="s">
        <v>1041</v>
      </c>
      <c r="I377" s="3">
        <v>1</v>
      </c>
      <c r="J377" s="29" t="str">
        <f t="shared" si="45"/>
        <v>0</v>
      </c>
      <c r="K377" s="54" t="str">
        <f t="shared" si="46"/>
        <v>1</v>
      </c>
      <c r="L377" s="69" t="str">
        <f t="shared" si="47"/>
        <v>0</v>
      </c>
      <c r="M377" s="74" t="str">
        <f t="shared" si="48"/>
        <v>0</v>
      </c>
      <c r="N377" s="29" t="str">
        <f t="shared" si="49"/>
        <v>0</v>
      </c>
      <c r="O377" s="61" t="str">
        <f t="shared" ca="1" si="52"/>
        <v>0</v>
      </c>
      <c r="P377" s="65" t="str">
        <f t="shared" si="53"/>
        <v>0</v>
      </c>
      <c r="Q377" s="46">
        <f t="shared" ca="1" si="51"/>
        <v>1</v>
      </c>
      <c r="R377" s="3" t="str">
        <f t="shared" ca="1" si="50"/>
        <v>ไม่ผ่าน</v>
      </c>
      <c r="S377" s="3" t="s">
        <v>28</v>
      </c>
      <c r="T377" s="32">
        <v>6612314130</v>
      </c>
      <c r="W377" s="36">
        <v>6612798115</v>
      </c>
      <c r="Y377" s="40">
        <f ca="1">IFERROR(__xludf.DUMMYFUNCTION("""COMPUTED_VALUE"""),6311506117)</f>
        <v>6311506117</v>
      </c>
    </row>
    <row r="378" spans="1:25" ht="18" customHeight="1">
      <c r="A378" s="3">
        <v>376</v>
      </c>
      <c r="B378" s="3">
        <v>6512855106</v>
      </c>
      <c r="C378" s="4" t="s">
        <v>22</v>
      </c>
      <c r="D378" s="4" t="s">
        <v>544</v>
      </c>
      <c r="E378" s="4" t="s">
        <v>1042</v>
      </c>
      <c r="F378" s="4" t="s">
        <v>1043</v>
      </c>
      <c r="G378" s="4" t="s">
        <v>999</v>
      </c>
      <c r="H378" s="4" t="s">
        <v>1041</v>
      </c>
      <c r="I378" s="3">
        <v>2</v>
      </c>
      <c r="J378" s="29" t="str">
        <f t="shared" si="45"/>
        <v>1</v>
      </c>
      <c r="K378" s="54">
        <v>1</v>
      </c>
      <c r="L378" s="69" t="str">
        <f t="shared" si="47"/>
        <v>0</v>
      </c>
      <c r="M378" s="74" t="str">
        <f t="shared" si="48"/>
        <v>0</v>
      </c>
      <c r="N378" s="29" t="str">
        <f t="shared" si="49"/>
        <v>0</v>
      </c>
      <c r="O378" s="61" t="str">
        <f t="shared" ca="1" si="52"/>
        <v>0</v>
      </c>
      <c r="P378" s="65" t="str">
        <f t="shared" si="53"/>
        <v>0</v>
      </c>
      <c r="Q378" s="46">
        <f t="shared" ca="1" si="51"/>
        <v>2</v>
      </c>
      <c r="R378" s="3" t="str">
        <f t="shared" ca="1" si="50"/>
        <v>ไม่ผ่าน</v>
      </c>
      <c r="S378" s="3" t="s">
        <v>28</v>
      </c>
      <c r="T378" s="32">
        <v>6410106122</v>
      </c>
      <c r="W378" s="36">
        <v>6410048156</v>
      </c>
      <c r="Y378" s="41">
        <f ca="1">IFERROR(__xludf.DUMMYFUNCTION("""COMPUTED_VALUE"""),6310073101)</f>
        <v>6310073101</v>
      </c>
    </row>
    <row r="379" spans="1:25" ht="18" customHeight="1">
      <c r="A379" s="3">
        <v>377</v>
      </c>
      <c r="B379" s="3">
        <v>6312855110</v>
      </c>
      <c r="C379" s="4" t="s">
        <v>22</v>
      </c>
      <c r="D379" s="4" t="s">
        <v>1044</v>
      </c>
      <c r="E379" s="4" t="s">
        <v>1045</v>
      </c>
      <c r="F379" s="4" t="s">
        <v>1046</v>
      </c>
      <c r="G379" s="4" t="s">
        <v>999</v>
      </c>
      <c r="H379" s="4" t="s">
        <v>1041</v>
      </c>
      <c r="I379" s="3">
        <v>4</v>
      </c>
      <c r="J379" s="29" t="str">
        <f t="shared" si="45"/>
        <v>0</v>
      </c>
      <c r="K379" s="54">
        <v>1</v>
      </c>
      <c r="L379" s="69" t="str">
        <f t="shared" si="47"/>
        <v>0</v>
      </c>
      <c r="M379" s="74" t="str">
        <f t="shared" si="48"/>
        <v>0</v>
      </c>
      <c r="N379" s="29" t="str">
        <f t="shared" si="49"/>
        <v>0</v>
      </c>
      <c r="O379" s="61" t="str">
        <f t="shared" ca="1" si="52"/>
        <v>1</v>
      </c>
      <c r="P379" s="65">
        <v>1</v>
      </c>
      <c r="Q379" s="46">
        <f t="shared" ca="1" si="51"/>
        <v>3</v>
      </c>
      <c r="R379" s="83" t="str">
        <f t="shared" ca="1" si="50"/>
        <v>ผ่าน</v>
      </c>
      <c r="S379" s="3" t="s">
        <v>28</v>
      </c>
      <c r="T379" s="32">
        <v>6410633111</v>
      </c>
      <c r="W379" s="36">
        <v>6410488208</v>
      </c>
      <c r="Y379" s="40">
        <f ca="1">IFERROR(__xludf.DUMMYFUNCTION("""COMPUTED_VALUE"""),6310073102)</f>
        <v>6310073102</v>
      </c>
    </row>
    <row r="380" spans="1:25" ht="18" customHeight="1">
      <c r="A380" s="3">
        <v>378</v>
      </c>
      <c r="B380" s="3">
        <v>6410095107</v>
      </c>
      <c r="C380" s="4" t="s">
        <v>29</v>
      </c>
      <c r="D380" s="4" t="s">
        <v>1047</v>
      </c>
      <c r="E380" s="4" t="s">
        <v>1048</v>
      </c>
      <c r="F380" s="4" t="s">
        <v>1049</v>
      </c>
      <c r="G380" s="4" t="s">
        <v>999</v>
      </c>
      <c r="H380" s="4" t="s">
        <v>1050</v>
      </c>
      <c r="I380" s="3">
        <v>3</v>
      </c>
      <c r="J380" s="29" t="str">
        <f t="shared" si="45"/>
        <v>1</v>
      </c>
      <c r="K380" s="54" t="str">
        <f t="shared" si="46"/>
        <v>0</v>
      </c>
      <c r="L380" s="69" t="str">
        <f t="shared" si="47"/>
        <v>1</v>
      </c>
      <c r="M380" s="74" t="str">
        <f t="shared" si="48"/>
        <v>1</v>
      </c>
      <c r="N380" s="29" t="str">
        <f t="shared" si="49"/>
        <v>0</v>
      </c>
      <c r="O380" s="61" t="str">
        <f t="shared" ca="1" si="52"/>
        <v>1</v>
      </c>
      <c r="P380" s="65" t="str">
        <f t="shared" si="53"/>
        <v>1</v>
      </c>
      <c r="Q380" s="46">
        <f t="shared" ca="1" si="51"/>
        <v>5</v>
      </c>
      <c r="R380" s="83" t="str">
        <f t="shared" ca="1" si="50"/>
        <v>ผ่าน</v>
      </c>
      <c r="S380" s="3" t="s">
        <v>28</v>
      </c>
      <c r="T380" s="32">
        <v>6510079209</v>
      </c>
      <c r="W380" s="36">
        <v>6310633123</v>
      </c>
      <c r="Y380" s="41">
        <f ca="1">IFERROR(__xludf.DUMMYFUNCTION("""COMPUTED_VALUE"""),6310073105)</f>
        <v>6310073105</v>
      </c>
    </row>
    <row r="381" spans="1:25" ht="18" customHeight="1">
      <c r="A381" s="3">
        <v>379</v>
      </c>
      <c r="B381" s="3">
        <v>6612798102</v>
      </c>
      <c r="C381" s="4" t="s">
        <v>29</v>
      </c>
      <c r="D381" s="4" t="s">
        <v>1051</v>
      </c>
      <c r="E381" s="4" t="s">
        <v>1052</v>
      </c>
      <c r="F381" s="4" t="s">
        <v>1053</v>
      </c>
      <c r="G381" s="4" t="s">
        <v>999</v>
      </c>
      <c r="H381" s="4" t="s">
        <v>735</v>
      </c>
      <c r="I381" s="3">
        <v>1</v>
      </c>
      <c r="J381" s="29" t="str">
        <f t="shared" si="45"/>
        <v>0</v>
      </c>
      <c r="K381" s="54" t="str">
        <f t="shared" si="46"/>
        <v>1</v>
      </c>
      <c r="L381" s="69" t="str">
        <f t="shared" si="47"/>
        <v>0</v>
      </c>
      <c r="M381" s="74" t="str">
        <f t="shared" si="48"/>
        <v>0</v>
      </c>
      <c r="N381" s="29" t="str">
        <f t="shared" si="49"/>
        <v>0</v>
      </c>
      <c r="O381" s="61" t="str">
        <f t="shared" ca="1" si="52"/>
        <v>1</v>
      </c>
      <c r="P381" s="65" t="str">
        <f t="shared" si="53"/>
        <v>1</v>
      </c>
      <c r="Q381" s="46">
        <f t="shared" ca="1" si="51"/>
        <v>3</v>
      </c>
      <c r="R381" s="83" t="str">
        <f t="shared" ca="1" si="50"/>
        <v>ผ่าน</v>
      </c>
      <c r="S381" s="3" t="s">
        <v>28</v>
      </c>
      <c r="T381" s="32">
        <v>6410083110</v>
      </c>
      <c r="W381" s="36">
        <v>6310392104</v>
      </c>
      <c r="Y381" s="40">
        <f ca="1">IFERROR(__xludf.DUMMYFUNCTION("""COMPUTED_VALUE"""),6310073106)</f>
        <v>6310073106</v>
      </c>
    </row>
    <row r="382" spans="1:25" ht="18" customHeight="1">
      <c r="A382" s="3">
        <v>380</v>
      </c>
      <c r="B382" s="3">
        <v>6612798104</v>
      </c>
      <c r="C382" s="4" t="s">
        <v>29</v>
      </c>
      <c r="D382" s="4" t="s">
        <v>1054</v>
      </c>
      <c r="E382" s="4" t="s">
        <v>1055</v>
      </c>
      <c r="F382" s="4" t="s">
        <v>1056</v>
      </c>
      <c r="G382" s="4" t="s">
        <v>999</v>
      </c>
      <c r="H382" s="4" t="s">
        <v>735</v>
      </c>
      <c r="I382" s="3">
        <v>1</v>
      </c>
      <c r="J382" s="29" t="str">
        <f t="shared" si="45"/>
        <v>0</v>
      </c>
      <c r="K382" s="54" t="str">
        <f t="shared" si="46"/>
        <v>0</v>
      </c>
      <c r="L382" s="69" t="str">
        <f t="shared" si="47"/>
        <v>0</v>
      </c>
      <c r="M382" s="74" t="str">
        <f t="shared" si="48"/>
        <v>0</v>
      </c>
      <c r="N382" s="29" t="str">
        <f t="shared" si="49"/>
        <v>0</v>
      </c>
      <c r="O382" s="61" t="str">
        <f t="shared" ca="1" si="52"/>
        <v>0</v>
      </c>
      <c r="P382" s="65" t="str">
        <f t="shared" si="53"/>
        <v>0</v>
      </c>
      <c r="Q382" s="46">
        <f t="shared" ca="1" si="51"/>
        <v>0</v>
      </c>
      <c r="R382" s="3" t="str">
        <f t="shared" ca="1" si="50"/>
        <v>ไม่ผ่าน</v>
      </c>
      <c r="S382" s="3" t="s">
        <v>28</v>
      </c>
      <c r="W382" s="36">
        <v>6310414113</v>
      </c>
      <c r="Y382" s="41">
        <f ca="1">IFERROR(__xludf.DUMMYFUNCTION("""COMPUTED_VALUE"""),6310073107)</f>
        <v>6310073107</v>
      </c>
    </row>
    <row r="383" spans="1:25" ht="18" customHeight="1">
      <c r="A383" s="3">
        <v>381</v>
      </c>
      <c r="B383" s="3">
        <v>6612798107</v>
      </c>
      <c r="C383" s="4" t="s">
        <v>29</v>
      </c>
      <c r="D383" s="4" t="s">
        <v>1057</v>
      </c>
      <c r="E383" s="4" t="s">
        <v>1058</v>
      </c>
      <c r="F383" s="4" t="s">
        <v>1059</v>
      </c>
      <c r="G383" s="4" t="s">
        <v>999</v>
      </c>
      <c r="H383" s="4" t="s">
        <v>735</v>
      </c>
      <c r="I383" s="3">
        <v>1</v>
      </c>
      <c r="J383" s="29" t="str">
        <f t="shared" si="45"/>
        <v>0</v>
      </c>
      <c r="K383" s="54" t="str">
        <f t="shared" si="46"/>
        <v>1</v>
      </c>
      <c r="L383" s="69" t="str">
        <f t="shared" si="47"/>
        <v>0</v>
      </c>
      <c r="M383" s="74" t="str">
        <f t="shared" si="48"/>
        <v>1</v>
      </c>
      <c r="N383" s="29" t="str">
        <f t="shared" si="49"/>
        <v>0</v>
      </c>
      <c r="O383" s="61" t="str">
        <f t="shared" ca="1" si="52"/>
        <v>1</v>
      </c>
      <c r="P383" s="65" t="str">
        <f t="shared" si="53"/>
        <v>0</v>
      </c>
      <c r="Q383" s="46">
        <f t="shared" ca="1" si="51"/>
        <v>3</v>
      </c>
      <c r="R383" s="83" t="str">
        <f t="shared" ca="1" si="50"/>
        <v>ผ่าน</v>
      </c>
      <c r="S383" s="3" t="s">
        <v>28</v>
      </c>
      <c r="W383" s="36">
        <v>6310414116</v>
      </c>
      <c r="Y383" s="40">
        <f ca="1">IFERROR(__xludf.DUMMYFUNCTION("""COMPUTED_VALUE"""),6310073108)</f>
        <v>6310073108</v>
      </c>
    </row>
    <row r="384" spans="1:25" ht="18" customHeight="1">
      <c r="A384" s="3">
        <v>382</v>
      </c>
      <c r="B384" s="3">
        <v>6612798109</v>
      </c>
      <c r="C384" s="4" t="s">
        <v>29</v>
      </c>
      <c r="D384" s="4" t="s">
        <v>1060</v>
      </c>
      <c r="E384" s="4" t="s">
        <v>1061</v>
      </c>
      <c r="F384" s="4" t="s">
        <v>1062</v>
      </c>
      <c r="G384" s="4" t="s">
        <v>999</v>
      </c>
      <c r="H384" s="4" t="s">
        <v>735</v>
      </c>
      <c r="I384" s="3">
        <v>1</v>
      </c>
      <c r="J384" s="29" t="str">
        <f t="shared" si="45"/>
        <v>0</v>
      </c>
      <c r="K384" s="54" t="str">
        <f t="shared" si="46"/>
        <v>1</v>
      </c>
      <c r="L384" s="69" t="str">
        <f t="shared" si="47"/>
        <v>0</v>
      </c>
      <c r="M384" s="74" t="str">
        <f t="shared" si="48"/>
        <v>0</v>
      </c>
      <c r="N384" s="29" t="str">
        <f t="shared" si="49"/>
        <v>0</v>
      </c>
      <c r="O384" s="61" t="str">
        <f t="shared" ca="1" si="52"/>
        <v>1</v>
      </c>
      <c r="P384" s="65" t="str">
        <f t="shared" si="53"/>
        <v>1</v>
      </c>
      <c r="Q384" s="46">
        <f t="shared" ca="1" si="51"/>
        <v>3</v>
      </c>
      <c r="R384" s="83" t="str">
        <f t="shared" ca="1" si="50"/>
        <v>ผ่าน</v>
      </c>
      <c r="S384" s="3" t="s">
        <v>28</v>
      </c>
      <c r="W384" s="36">
        <v>6310084104</v>
      </c>
      <c r="Y384" s="41">
        <f ca="1">IFERROR(__xludf.DUMMYFUNCTION("""COMPUTED_VALUE"""),6310073109)</f>
        <v>6310073109</v>
      </c>
    </row>
    <row r="385" spans="1:25" ht="18" customHeight="1">
      <c r="A385" s="3">
        <v>383</v>
      </c>
      <c r="B385" s="3">
        <v>6612798114</v>
      </c>
      <c r="C385" s="4" t="s">
        <v>29</v>
      </c>
      <c r="D385" s="4" t="s">
        <v>125</v>
      </c>
      <c r="E385" s="4" t="s">
        <v>1063</v>
      </c>
      <c r="F385" s="4" t="s">
        <v>507</v>
      </c>
      <c r="G385" s="4" t="s">
        <v>999</v>
      </c>
      <c r="H385" s="4" t="s">
        <v>735</v>
      </c>
      <c r="I385" s="3">
        <v>1</v>
      </c>
      <c r="J385" s="29" t="str">
        <f t="shared" si="45"/>
        <v>0</v>
      </c>
      <c r="K385" s="54" t="str">
        <f t="shared" si="46"/>
        <v>1</v>
      </c>
      <c r="L385" s="69" t="str">
        <f t="shared" si="47"/>
        <v>0</v>
      </c>
      <c r="M385" s="74" t="str">
        <f t="shared" si="48"/>
        <v>1</v>
      </c>
      <c r="N385" s="29" t="str">
        <f t="shared" si="49"/>
        <v>0</v>
      </c>
      <c r="O385" s="61" t="str">
        <f t="shared" ca="1" si="52"/>
        <v>1</v>
      </c>
      <c r="P385" s="65" t="str">
        <f t="shared" si="53"/>
        <v>1</v>
      </c>
      <c r="Q385" s="46">
        <f t="shared" ca="1" si="51"/>
        <v>4</v>
      </c>
      <c r="R385" s="83" t="str">
        <f t="shared" ca="1" si="50"/>
        <v>ผ่าน</v>
      </c>
      <c r="S385" s="3" t="s">
        <v>28</v>
      </c>
      <c r="W385" s="36">
        <v>6310073108</v>
      </c>
      <c r="Y385" s="40">
        <f ca="1">IFERROR(__xludf.DUMMYFUNCTION("""COMPUTED_VALUE"""),6310073110)</f>
        <v>6310073110</v>
      </c>
    </row>
    <row r="386" spans="1:25" ht="18" customHeight="1">
      <c r="A386" s="3">
        <v>384</v>
      </c>
      <c r="B386" s="3">
        <v>6612798115</v>
      </c>
      <c r="C386" s="4" t="s">
        <v>29</v>
      </c>
      <c r="D386" s="4" t="s">
        <v>84</v>
      </c>
      <c r="E386" s="4" t="s">
        <v>1064</v>
      </c>
      <c r="F386" s="4" t="s">
        <v>1065</v>
      </c>
      <c r="G386" s="4" t="s">
        <v>999</v>
      </c>
      <c r="H386" s="4" t="s">
        <v>735</v>
      </c>
      <c r="I386" s="3">
        <v>1</v>
      </c>
      <c r="J386" s="29" t="str">
        <f t="shared" si="45"/>
        <v>0</v>
      </c>
      <c r="K386" s="54" t="str">
        <f t="shared" si="46"/>
        <v>1</v>
      </c>
      <c r="L386" s="69" t="str">
        <f t="shared" si="47"/>
        <v>0</v>
      </c>
      <c r="M386" s="74" t="str">
        <f t="shared" si="48"/>
        <v>1</v>
      </c>
      <c r="N386" s="29" t="str">
        <f t="shared" si="49"/>
        <v>0</v>
      </c>
      <c r="O386" s="61" t="str">
        <f t="shared" ca="1" si="52"/>
        <v>1</v>
      </c>
      <c r="P386" s="65" t="str">
        <f t="shared" si="53"/>
        <v>1</v>
      </c>
      <c r="Q386" s="46">
        <f t="shared" ca="1" si="51"/>
        <v>4</v>
      </c>
      <c r="R386" s="83" t="str">
        <f t="shared" ca="1" si="50"/>
        <v>ผ่าน</v>
      </c>
      <c r="S386" s="3" t="s">
        <v>28</v>
      </c>
      <c r="W386" s="36">
        <v>6610414229</v>
      </c>
      <c r="Y386" s="41">
        <f ca="1">IFERROR(__xludf.DUMMYFUNCTION("""COMPUTED_VALUE"""),6310084104)</f>
        <v>6310084104</v>
      </c>
    </row>
    <row r="387" spans="1:25" ht="18" customHeight="1">
      <c r="A387" s="3">
        <v>385</v>
      </c>
      <c r="B387" s="3">
        <v>6612798117</v>
      </c>
      <c r="C387" s="4" t="s">
        <v>29</v>
      </c>
      <c r="D387" s="4" t="s">
        <v>363</v>
      </c>
      <c r="E387" s="4" t="s">
        <v>1066</v>
      </c>
      <c r="F387" s="4" t="s">
        <v>1067</v>
      </c>
      <c r="G387" s="4" t="s">
        <v>999</v>
      </c>
      <c r="H387" s="4" t="s">
        <v>735</v>
      </c>
      <c r="I387" s="3">
        <v>1</v>
      </c>
      <c r="J387" s="29" t="str">
        <f t="shared" ref="J387:J450" si="54">IF(IFERROR(VLOOKUP(B387,DATA,1,FALSE),),"1","0")</f>
        <v>0</v>
      </c>
      <c r="K387" s="54" t="str">
        <f t="shared" ref="K387:K450" si="55">IF(IFERROR(VLOOKUP(B387,DATA8,1,FALSE),),"1","0")</f>
        <v>1</v>
      </c>
      <c r="L387" s="69" t="str">
        <f t="shared" ref="L387:L450" si="56">IF(IFERROR(VLOOKUP(B387,DATA7,1,FALSE),),"1","0")</f>
        <v>0</v>
      </c>
      <c r="M387" s="74" t="str">
        <f t="shared" ref="M387:M450" si="57">IF(IFERROR(VLOOKUP(B387,DATA9,1,FALSE),),"1","0")</f>
        <v>1</v>
      </c>
      <c r="N387" s="29" t="str">
        <f t="shared" ref="N387:N450" si="58">IF(IFERROR(VLOOKUP(B387,DATA10,1,FALSE),),"1","0")</f>
        <v>0</v>
      </c>
      <c r="O387" s="61" t="str">
        <f t="shared" ref="O387:O450" ca="1" si="59">IF(IFERROR(VLOOKUP(B387,DATA11,1,FALSE),),"1","0")</f>
        <v>1</v>
      </c>
      <c r="P387" s="65" t="str">
        <f t="shared" ref="P387:P450" si="60">IF(IFERROR(VLOOKUP(B387,DATA12,1,FALSE),),"1","0")</f>
        <v>0</v>
      </c>
      <c r="Q387" s="46">
        <f t="shared" ca="1" si="51"/>
        <v>3</v>
      </c>
      <c r="R387" s="83" t="str">
        <f t="shared" ref="R387:R450" ca="1" si="61">IF(Q387&gt;=3,"ผ่าน",IF(Q387&lt;3,"ไม่ผ่าน"))</f>
        <v>ผ่าน</v>
      </c>
      <c r="S387" s="3" t="s">
        <v>28</v>
      </c>
      <c r="W387" s="36">
        <v>6610414201</v>
      </c>
      <c r="Y387" s="40">
        <f ca="1">IFERROR(__xludf.DUMMYFUNCTION("""COMPUTED_VALUE"""),6310084105)</f>
        <v>6310084105</v>
      </c>
    </row>
    <row r="388" spans="1:25" ht="18" customHeight="1">
      <c r="A388" s="3">
        <v>386</v>
      </c>
      <c r="B388" s="3">
        <v>6612798118</v>
      </c>
      <c r="C388" s="4" t="s">
        <v>29</v>
      </c>
      <c r="D388" s="4" t="s">
        <v>1068</v>
      </c>
      <c r="E388" s="4" t="s">
        <v>1069</v>
      </c>
      <c r="F388" s="4" t="s">
        <v>1070</v>
      </c>
      <c r="G388" s="4" t="s">
        <v>999</v>
      </c>
      <c r="H388" s="4" t="s">
        <v>735</v>
      </c>
      <c r="I388" s="3">
        <v>1</v>
      </c>
      <c r="J388" s="29" t="str">
        <f t="shared" si="54"/>
        <v>0</v>
      </c>
      <c r="K388" s="54" t="str">
        <f t="shared" si="55"/>
        <v>1</v>
      </c>
      <c r="L388" s="69" t="str">
        <f t="shared" si="56"/>
        <v>0</v>
      </c>
      <c r="M388" s="74" t="str">
        <f t="shared" si="57"/>
        <v>0</v>
      </c>
      <c r="N388" s="29" t="str">
        <f t="shared" si="58"/>
        <v>0</v>
      </c>
      <c r="O388" s="61" t="str">
        <f t="shared" ca="1" si="59"/>
        <v>1</v>
      </c>
      <c r="P388" s="65" t="str">
        <f t="shared" si="60"/>
        <v>1</v>
      </c>
      <c r="Q388" s="46">
        <f t="shared" ref="Q388:Q451" ca="1" si="62">J388+K388+L388+M388+N388+O388+P388</f>
        <v>3</v>
      </c>
      <c r="R388" s="83" t="str">
        <f t="shared" ca="1" si="61"/>
        <v>ผ่าน</v>
      </c>
      <c r="S388" s="3" t="s">
        <v>28</v>
      </c>
      <c r="W388" s="36">
        <v>6610488129</v>
      </c>
      <c r="Y388" s="41">
        <f ca="1">IFERROR(__xludf.DUMMYFUNCTION("""COMPUTED_VALUE"""),6310084108)</f>
        <v>6310084108</v>
      </c>
    </row>
    <row r="389" spans="1:25" ht="18" customHeight="1">
      <c r="A389" s="3">
        <v>387</v>
      </c>
      <c r="B389" s="3">
        <v>6512798102</v>
      </c>
      <c r="C389" s="4" t="s">
        <v>22</v>
      </c>
      <c r="D389" s="4" t="s">
        <v>1071</v>
      </c>
      <c r="E389" s="4" t="s">
        <v>1072</v>
      </c>
      <c r="F389" s="4" t="s">
        <v>1073</v>
      </c>
      <c r="G389" s="4" t="s">
        <v>999</v>
      </c>
      <c r="H389" s="4" t="s">
        <v>735</v>
      </c>
      <c r="I389" s="3">
        <v>2</v>
      </c>
      <c r="J389" s="29" t="str">
        <f t="shared" si="54"/>
        <v>1</v>
      </c>
      <c r="K389" s="54" t="str">
        <f t="shared" si="55"/>
        <v>1</v>
      </c>
      <c r="L389" s="69" t="str">
        <f t="shared" si="56"/>
        <v>0</v>
      </c>
      <c r="M389" s="74" t="str">
        <f t="shared" si="57"/>
        <v>1</v>
      </c>
      <c r="N389" s="29" t="str">
        <f t="shared" si="58"/>
        <v>0</v>
      </c>
      <c r="O389" s="61" t="str">
        <f t="shared" ca="1" si="59"/>
        <v>1</v>
      </c>
      <c r="P389" s="65" t="str">
        <f t="shared" si="60"/>
        <v>1</v>
      </c>
      <c r="Q389" s="46">
        <f t="shared" ca="1" si="62"/>
        <v>5</v>
      </c>
      <c r="R389" s="83" t="str">
        <f t="shared" ca="1" si="61"/>
        <v>ผ่าน</v>
      </c>
      <c r="S389" s="3" t="s">
        <v>28</v>
      </c>
      <c r="W389" s="36">
        <v>6310106202</v>
      </c>
      <c r="Y389" s="40">
        <f ca="1">IFERROR(__xludf.DUMMYFUNCTION("""COMPUTED_VALUE"""),6310084109)</f>
        <v>6310084109</v>
      </c>
    </row>
    <row r="390" spans="1:25" ht="18" customHeight="1">
      <c r="A390" s="3">
        <v>388</v>
      </c>
      <c r="B390" s="3">
        <v>6512798103</v>
      </c>
      <c r="C390" s="4" t="s">
        <v>22</v>
      </c>
      <c r="D390" s="4" t="s">
        <v>1074</v>
      </c>
      <c r="E390" s="4" t="s">
        <v>1075</v>
      </c>
      <c r="F390" s="4" t="s">
        <v>1076</v>
      </c>
      <c r="G390" s="4" t="s">
        <v>999</v>
      </c>
      <c r="H390" s="4" t="s">
        <v>735</v>
      </c>
      <c r="I390" s="3">
        <v>2</v>
      </c>
      <c r="J390" s="29" t="str">
        <f t="shared" si="54"/>
        <v>1</v>
      </c>
      <c r="K390" s="54" t="str">
        <f t="shared" si="55"/>
        <v>1</v>
      </c>
      <c r="L390" s="69" t="str">
        <f t="shared" si="56"/>
        <v>0</v>
      </c>
      <c r="M390" s="74" t="str">
        <f t="shared" si="57"/>
        <v>1</v>
      </c>
      <c r="N390" s="29" t="str">
        <f t="shared" si="58"/>
        <v>0</v>
      </c>
      <c r="O390" s="61" t="str">
        <f t="shared" ca="1" si="59"/>
        <v>1</v>
      </c>
      <c r="P390" s="65" t="str">
        <f t="shared" si="60"/>
        <v>1</v>
      </c>
      <c r="Q390" s="46">
        <f t="shared" ca="1" si="62"/>
        <v>5</v>
      </c>
      <c r="R390" s="83" t="str">
        <f t="shared" ca="1" si="61"/>
        <v>ผ่าน</v>
      </c>
      <c r="S390" s="3" t="s">
        <v>28</v>
      </c>
      <c r="W390" s="36">
        <v>6410048160</v>
      </c>
      <c r="Y390" s="41">
        <f ca="1">IFERROR(__xludf.DUMMYFUNCTION("""COMPUTED_VALUE"""),6315964119)</f>
        <v>6315964119</v>
      </c>
    </row>
    <row r="391" spans="1:25" ht="18" customHeight="1">
      <c r="A391" s="3">
        <v>389</v>
      </c>
      <c r="B391" s="3">
        <v>6512798105</v>
      </c>
      <c r="C391" s="4" t="s">
        <v>22</v>
      </c>
      <c r="D391" s="4" t="s">
        <v>280</v>
      </c>
      <c r="E391" s="4" t="s">
        <v>1077</v>
      </c>
      <c r="F391" s="4" t="s">
        <v>1078</v>
      </c>
      <c r="G391" s="4" t="s">
        <v>999</v>
      </c>
      <c r="H391" s="4" t="s">
        <v>735</v>
      </c>
      <c r="I391" s="3">
        <v>2</v>
      </c>
      <c r="J391" s="29" t="str">
        <f t="shared" si="54"/>
        <v>0</v>
      </c>
      <c r="K391" s="54">
        <v>1</v>
      </c>
      <c r="L391" s="69" t="str">
        <f t="shared" si="56"/>
        <v>0</v>
      </c>
      <c r="M391" s="74" t="str">
        <f t="shared" si="57"/>
        <v>1</v>
      </c>
      <c r="N391" s="29" t="str">
        <f t="shared" si="58"/>
        <v>0</v>
      </c>
      <c r="O391" s="61" t="str">
        <f t="shared" ca="1" si="59"/>
        <v>1</v>
      </c>
      <c r="P391" s="65" t="str">
        <f t="shared" si="60"/>
        <v>1</v>
      </c>
      <c r="Q391" s="46">
        <f t="shared" ca="1" si="62"/>
        <v>4</v>
      </c>
      <c r="R391" s="83" t="str">
        <f t="shared" ca="1" si="61"/>
        <v>ผ่าน</v>
      </c>
      <c r="S391" s="3" t="s">
        <v>28</v>
      </c>
      <c r="W391" s="36">
        <v>6510392111</v>
      </c>
      <c r="Y391" s="36">
        <v>6610633111</v>
      </c>
    </row>
    <row r="392" spans="1:25" ht="18" customHeight="1">
      <c r="A392" s="3">
        <v>390</v>
      </c>
      <c r="B392" s="3">
        <v>6512798107</v>
      </c>
      <c r="C392" s="4" t="s">
        <v>29</v>
      </c>
      <c r="D392" s="4" t="s">
        <v>1079</v>
      </c>
      <c r="E392" s="4" t="s">
        <v>1080</v>
      </c>
      <c r="F392" s="4" t="s">
        <v>1081</v>
      </c>
      <c r="G392" s="4" t="s">
        <v>999</v>
      </c>
      <c r="H392" s="4" t="s">
        <v>735</v>
      </c>
      <c r="I392" s="3">
        <v>2</v>
      </c>
      <c r="J392" s="29" t="str">
        <f t="shared" si="54"/>
        <v>1</v>
      </c>
      <c r="K392" s="54" t="str">
        <f t="shared" si="55"/>
        <v>1</v>
      </c>
      <c r="L392" s="69" t="str">
        <f t="shared" si="56"/>
        <v>0</v>
      </c>
      <c r="M392" s="74" t="str">
        <f t="shared" si="57"/>
        <v>1</v>
      </c>
      <c r="N392" s="29" t="str">
        <f t="shared" si="58"/>
        <v>0</v>
      </c>
      <c r="O392" s="61" t="str">
        <f t="shared" ca="1" si="59"/>
        <v>1</v>
      </c>
      <c r="P392" s="65" t="str">
        <f t="shared" si="60"/>
        <v>1</v>
      </c>
      <c r="Q392" s="46">
        <f t="shared" ca="1" si="62"/>
        <v>5</v>
      </c>
      <c r="R392" s="83" t="str">
        <f t="shared" ca="1" si="61"/>
        <v>ผ่าน</v>
      </c>
      <c r="S392" s="3" t="s">
        <v>28</v>
      </c>
      <c r="W392" s="36">
        <v>6315964112</v>
      </c>
      <c r="Y392" s="36">
        <v>6610633123</v>
      </c>
    </row>
    <row r="393" spans="1:25" ht="18" customHeight="1">
      <c r="A393" s="3">
        <v>391</v>
      </c>
      <c r="B393" s="3">
        <v>6512798109</v>
      </c>
      <c r="C393" s="4" t="s">
        <v>29</v>
      </c>
      <c r="D393" s="4" t="s">
        <v>1082</v>
      </c>
      <c r="E393" s="4" t="s">
        <v>1083</v>
      </c>
      <c r="F393" s="4" t="s">
        <v>1084</v>
      </c>
      <c r="G393" s="4" t="s">
        <v>999</v>
      </c>
      <c r="H393" s="4" t="s">
        <v>735</v>
      </c>
      <c r="I393" s="3">
        <v>2</v>
      </c>
      <c r="J393" s="29" t="str">
        <f t="shared" si="54"/>
        <v>1</v>
      </c>
      <c r="K393" s="54" t="str">
        <f t="shared" si="55"/>
        <v>1</v>
      </c>
      <c r="L393" s="69" t="str">
        <f t="shared" si="56"/>
        <v>0</v>
      </c>
      <c r="M393" s="74" t="str">
        <f t="shared" si="57"/>
        <v>1</v>
      </c>
      <c r="N393" s="29" t="str">
        <f t="shared" si="58"/>
        <v>0</v>
      </c>
      <c r="O393" s="61" t="str">
        <f t="shared" ca="1" si="59"/>
        <v>1</v>
      </c>
      <c r="P393" s="65" t="str">
        <f t="shared" si="60"/>
        <v>1</v>
      </c>
      <c r="Q393" s="46">
        <f t="shared" ca="1" si="62"/>
        <v>5</v>
      </c>
      <c r="R393" s="83" t="str">
        <f t="shared" ca="1" si="61"/>
        <v>ผ่าน</v>
      </c>
      <c r="S393" s="3" t="s">
        <v>28</v>
      </c>
      <c r="W393" s="36">
        <v>6412314102</v>
      </c>
      <c r="Y393" s="36">
        <v>6312213121</v>
      </c>
    </row>
    <row r="394" spans="1:25" ht="18" customHeight="1">
      <c r="A394" s="3">
        <v>392</v>
      </c>
      <c r="B394" s="3">
        <v>6512798112</v>
      </c>
      <c r="C394" s="4" t="s">
        <v>29</v>
      </c>
      <c r="D394" s="4" t="s">
        <v>1085</v>
      </c>
      <c r="E394" s="4" t="s">
        <v>1086</v>
      </c>
      <c r="F394" s="4" t="s">
        <v>1087</v>
      </c>
      <c r="G394" s="4" t="s">
        <v>999</v>
      </c>
      <c r="H394" s="4" t="s">
        <v>735</v>
      </c>
      <c r="I394" s="3">
        <v>2</v>
      </c>
      <c r="J394" s="29" t="str">
        <f t="shared" si="54"/>
        <v>1</v>
      </c>
      <c r="K394" s="54" t="str">
        <f t="shared" si="55"/>
        <v>1</v>
      </c>
      <c r="L394" s="69" t="str">
        <f t="shared" si="56"/>
        <v>0</v>
      </c>
      <c r="M394" s="74" t="str">
        <f t="shared" si="57"/>
        <v>1</v>
      </c>
      <c r="N394" s="29" t="str">
        <f t="shared" si="58"/>
        <v>0</v>
      </c>
      <c r="O394" s="61" t="str">
        <f t="shared" ca="1" si="59"/>
        <v>1</v>
      </c>
      <c r="P394" s="65" t="str">
        <f t="shared" si="60"/>
        <v>1</v>
      </c>
      <c r="Q394" s="46">
        <f t="shared" ca="1" si="62"/>
        <v>5</v>
      </c>
      <c r="R394" s="83" t="str">
        <f t="shared" ca="1" si="61"/>
        <v>ผ่าน</v>
      </c>
      <c r="S394" s="3" t="s">
        <v>28</v>
      </c>
      <c r="W394" s="36">
        <v>6412313105</v>
      </c>
      <c r="Y394" s="42">
        <v>6512258120</v>
      </c>
    </row>
    <row r="395" spans="1:25" ht="18" customHeight="1">
      <c r="A395" s="3">
        <v>393</v>
      </c>
      <c r="B395" s="3">
        <v>6512798113</v>
      </c>
      <c r="C395" s="4" t="s">
        <v>29</v>
      </c>
      <c r="D395" s="4" t="s">
        <v>1088</v>
      </c>
      <c r="E395" s="4" t="s">
        <v>1089</v>
      </c>
      <c r="F395" s="4" t="s">
        <v>1090</v>
      </c>
      <c r="G395" s="4" t="s">
        <v>999</v>
      </c>
      <c r="H395" s="4" t="s">
        <v>735</v>
      </c>
      <c r="I395" s="3">
        <v>2</v>
      </c>
      <c r="J395" s="29" t="str">
        <f t="shared" si="54"/>
        <v>1</v>
      </c>
      <c r="K395" s="54" t="str">
        <f t="shared" si="55"/>
        <v>1</v>
      </c>
      <c r="L395" s="69" t="str">
        <f t="shared" si="56"/>
        <v>0</v>
      </c>
      <c r="M395" s="74" t="str">
        <f t="shared" si="57"/>
        <v>1</v>
      </c>
      <c r="N395" s="29" t="str">
        <f t="shared" si="58"/>
        <v>0</v>
      </c>
      <c r="O395" s="61" t="str">
        <f t="shared" ca="1" si="59"/>
        <v>1</v>
      </c>
      <c r="P395" s="65" t="str">
        <f t="shared" si="60"/>
        <v>1</v>
      </c>
      <c r="Q395" s="46">
        <f t="shared" ca="1" si="62"/>
        <v>5</v>
      </c>
      <c r="R395" s="83" t="str">
        <f t="shared" ca="1" si="61"/>
        <v>ผ่าน</v>
      </c>
      <c r="S395" s="3" t="s">
        <v>28</v>
      </c>
      <c r="W395" s="36">
        <v>6510392128</v>
      </c>
      <c r="Y395" s="42">
        <v>6410488201</v>
      </c>
    </row>
    <row r="396" spans="1:25" ht="18" customHeight="1">
      <c r="A396" s="3">
        <v>394</v>
      </c>
      <c r="B396" s="3">
        <v>6512798114</v>
      </c>
      <c r="C396" s="4" t="s">
        <v>29</v>
      </c>
      <c r="D396" s="4" t="s">
        <v>1091</v>
      </c>
      <c r="E396" s="4" t="s">
        <v>1092</v>
      </c>
      <c r="F396" s="4" t="s">
        <v>157</v>
      </c>
      <c r="G396" s="4" t="s">
        <v>999</v>
      </c>
      <c r="H396" s="4" t="s">
        <v>735</v>
      </c>
      <c r="I396" s="3">
        <v>2</v>
      </c>
      <c r="J396" s="29" t="str">
        <f t="shared" si="54"/>
        <v>1</v>
      </c>
      <c r="K396" s="54">
        <v>1</v>
      </c>
      <c r="L396" s="69" t="str">
        <f t="shared" si="56"/>
        <v>0</v>
      </c>
      <c r="M396" s="74" t="str">
        <f t="shared" si="57"/>
        <v>1</v>
      </c>
      <c r="N396" s="29" t="str">
        <f t="shared" si="58"/>
        <v>0</v>
      </c>
      <c r="O396" s="61" t="str">
        <f t="shared" ca="1" si="59"/>
        <v>1</v>
      </c>
      <c r="P396" s="65" t="str">
        <f t="shared" si="60"/>
        <v>1</v>
      </c>
      <c r="Q396" s="46">
        <f t="shared" ca="1" si="62"/>
        <v>5</v>
      </c>
      <c r="R396" s="83" t="str">
        <f t="shared" ca="1" si="61"/>
        <v>ผ่าน</v>
      </c>
      <c r="S396" s="3" t="s">
        <v>28</v>
      </c>
      <c r="W396" s="36">
        <v>6510392117</v>
      </c>
      <c r="Y396" s="42">
        <v>6610403305</v>
      </c>
    </row>
    <row r="397" spans="1:25" ht="18" customHeight="1">
      <c r="A397" s="3">
        <v>395</v>
      </c>
      <c r="B397" s="3">
        <v>6512798118</v>
      </c>
      <c r="C397" s="4" t="s">
        <v>29</v>
      </c>
      <c r="D397" s="4" t="s">
        <v>1093</v>
      </c>
      <c r="E397" s="4" t="s">
        <v>1094</v>
      </c>
      <c r="F397" s="4" t="s">
        <v>391</v>
      </c>
      <c r="G397" s="4" t="s">
        <v>999</v>
      </c>
      <c r="H397" s="4" t="s">
        <v>735</v>
      </c>
      <c r="I397" s="3">
        <v>2</v>
      </c>
      <c r="J397" s="29" t="str">
        <f t="shared" si="54"/>
        <v>1</v>
      </c>
      <c r="K397" s="54" t="str">
        <f t="shared" si="55"/>
        <v>1</v>
      </c>
      <c r="L397" s="69" t="str">
        <f t="shared" si="56"/>
        <v>0</v>
      </c>
      <c r="M397" s="74" t="str">
        <f t="shared" si="57"/>
        <v>1</v>
      </c>
      <c r="N397" s="29" t="str">
        <f t="shared" si="58"/>
        <v>0</v>
      </c>
      <c r="O397" s="61" t="str">
        <f t="shared" ca="1" si="59"/>
        <v>1</v>
      </c>
      <c r="P397" s="65" t="str">
        <f t="shared" si="60"/>
        <v>1</v>
      </c>
      <c r="Q397" s="46">
        <f t="shared" ca="1" si="62"/>
        <v>5</v>
      </c>
      <c r="R397" s="83" t="str">
        <f t="shared" ca="1" si="61"/>
        <v>ผ่าน</v>
      </c>
      <c r="S397" s="3" t="s">
        <v>28</v>
      </c>
      <c r="W397" s="36">
        <v>6510633216</v>
      </c>
      <c r="Y397" s="42">
        <v>6510059103</v>
      </c>
    </row>
    <row r="398" spans="1:25" ht="18" customHeight="1">
      <c r="A398" s="3">
        <v>396</v>
      </c>
      <c r="B398" s="3">
        <v>6512798123</v>
      </c>
      <c r="C398" s="4" t="s">
        <v>29</v>
      </c>
      <c r="D398" s="4" t="s">
        <v>957</v>
      </c>
      <c r="E398" s="4" t="s">
        <v>1095</v>
      </c>
      <c r="F398" s="4" t="s">
        <v>1096</v>
      </c>
      <c r="G398" s="4" t="s">
        <v>999</v>
      </c>
      <c r="H398" s="4" t="s">
        <v>735</v>
      </c>
      <c r="I398" s="3">
        <v>2</v>
      </c>
      <c r="J398" s="29" t="str">
        <f t="shared" si="54"/>
        <v>1</v>
      </c>
      <c r="K398" s="54" t="str">
        <f t="shared" si="55"/>
        <v>1</v>
      </c>
      <c r="L398" s="69" t="str">
        <f t="shared" si="56"/>
        <v>0</v>
      </c>
      <c r="M398" s="74" t="str">
        <f t="shared" si="57"/>
        <v>1</v>
      </c>
      <c r="N398" s="29" t="str">
        <f t="shared" si="58"/>
        <v>0</v>
      </c>
      <c r="O398" s="61" t="str">
        <f t="shared" ca="1" si="59"/>
        <v>1</v>
      </c>
      <c r="P398" s="65" t="str">
        <f t="shared" si="60"/>
        <v>1</v>
      </c>
      <c r="Q398" s="46">
        <f t="shared" ca="1" si="62"/>
        <v>5</v>
      </c>
      <c r="R398" s="83" t="str">
        <f t="shared" ca="1" si="61"/>
        <v>ผ่าน</v>
      </c>
      <c r="S398" s="3" t="s">
        <v>28</v>
      </c>
      <c r="W398" s="36">
        <v>6412236231</v>
      </c>
      <c r="Y398" s="42">
        <v>6610633204</v>
      </c>
    </row>
    <row r="399" spans="1:25" ht="18" customHeight="1">
      <c r="A399" s="3">
        <v>397</v>
      </c>
      <c r="B399" s="3">
        <v>6512798132</v>
      </c>
      <c r="C399" s="4" t="s">
        <v>29</v>
      </c>
      <c r="D399" s="4" t="s">
        <v>1097</v>
      </c>
      <c r="E399" s="4" t="s">
        <v>1098</v>
      </c>
      <c r="F399" s="4" t="s">
        <v>41</v>
      </c>
      <c r="G399" s="4" t="s">
        <v>999</v>
      </c>
      <c r="H399" s="4" t="s">
        <v>735</v>
      </c>
      <c r="I399" s="3">
        <v>2</v>
      </c>
      <c r="J399" s="29" t="str">
        <f t="shared" si="54"/>
        <v>1</v>
      </c>
      <c r="K399" s="54">
        <v>1</v>
      </c>
      <c r="L399" s="69" t="str">
        <f t="shared" si="56"/>
        <v>0</v>
      </c>
      <c r="M399" s="74" t="str">
        <f t="shared" si="57"/>
        <v>1</v>
      </c>
      <c r="N399" s="29" t="str">
        <f t="shared" si="58"/>
        <v>0</v>
      </c>
      <c r="O399" s="61" t="str">
        <f t="shared" ca="1" si="59"/>
        <v>1</v>
      </c>
      <c r="P399" s="65" t="str">
        <f t="shared" si="60"/>
        <v>1</v>
      </c>
      <c r="Q399" s="46">
        <f t="shared" ca="1" si="62"/>
        <v>5</v>
      </c>
      <c r="R399" s="83" t="str">
        <f t="shared" ca="1" si="61"/>
        <v>ผ่าน</v>
      </c>
      <c r="S399" s="3" t="s">
        <v>28</v>
      </c>
      <c r="W399" s="36">
        <v>6310226205</v>
      </c>
      <c r="Y399" s="36">
        <v>6610633107</v>
      </c>
    </row>
    <row r="400" spans="1:25" ht="18" customHeight="1">
      <c r="A400" s="3">
        <v>398</v>
      </c>
      <c r="B400" s="3">
        <v>6512798138</v>
      </c>
      <c r="C400" s="4" t="s">
        <v>29</v>
      </c>
      <c r="D400" s="4" t="s">
        <v>1099</v>
      </c>
      <c r="E400" s="4" t="s">
        <v>1100</v>
      </c>
      <c r="F400" s="4" t="s">
        <v>370</v>
      </c>
      <c r="G400" s="4" t="s">
        <v>999</v>
      </c>
      <c r="H400" s="4" t="s">
        <v>735</v>
      </c>
      <c r="I400" s="3">
        <v>2</v>
      </c>
      <c r="J400" s="29" t="str">
        <f t="shared" si="54"/>
        <v>0</v>
      </c>
      <c r="K400" s="54">
        <v>1</v>
      </c>
      <c r="L400" s="69" t="str">
        <f t="shared" si="56"/>
        <v>0</v>
      </c>
      <c r="M400" s="74" t="str">
        <f t="shared" si="57"/>
        <v>1</v>
      </c>
      <c r="N400" s="29" t="str">
        <f t="shared" si="58"/>
        <v>0</v>
      </c>
      <c r="O400" s="61" t="str">
        <f t="shared" ca="1" si="59"/>
        <v>1</v>
      </c>
      <c r="P400" s="65" t="str">
        <f t="shared" si="60"/>
        <v>1</v>
      </c>
      <c r="Q400" s="46">
        <f t="shared" ca="1" si="62"/>
        <v>4</v>
      </c>
      <c r="R400" s="83" t="str">
        <f t="shared" ca="1" si="61"/>
        <v>ผ่าน</v>
      </c>
      <c r="S400" s="3" t="s">
        <v>28</v>
      </c>
      <c r="W400" s="36">
        <v>6312798213</v>
      </c>
      <c r="Y400" s="36">
        <v>6510633120</v>
      </c>
    </row>
    <row r="401" spans="1:25" ht="18" customHeight="1">
      <c r="A401" s="3">
        <v>399</v>
      </c>
      <c r="B401" s="3">
        <v>6512798152</v>
      </c>
      <c r="C401" s="4" t="s">
        <v>29</v>
      </c>
      <c r="D401" s="4" t="s">
        <v>1101</v>
      </c>
      <c r="E401" s="4" t="s">
        <v>1102</v>
      </c>
      <c r="F401" s="4" t="s">
        <v>1103</v>
      </c>
      <c r="G401" s="4" t="s">
        <v>999</v>
      </c>
      <c r="H401" s="4" t="s">
        <v>735</v>
      </c>
      <c r="I401" s="3">
        <v>2</v>
      </c>
      <c r="J401" s="29" t="str">
        <f t="shared" si="54"/>
        <v>1</v>
      </c>
      <c r="K401" s="54" t="str">
        <f t="shared" si="55"/>
        <v>1</v>
      </c>
      <c r="L401" s="69" t="str">
        <f t="shared" si="56"/>
        <v>0</v>
      </c>
      <c r="M401" s="74" t="str">
        <f t="shared" si="57"/>
        <v>1</v>
      </c>
      <c r="N401" s="29" t="str">
        <f t="shared" si="58"/>
        <v>0</v>
      </c>
      <c r="O401" s="61" t="str">
        <f t="shared" ca="1" si="59"/>
        <v>1</v>
      </c>
      <c r="P401" s="65" t="str">
        <f t="shared" si="60"/>
        <v>1</v>
      </c>
      <c r="Q401" s="46">
        <f t="shared" ca="1" si="62"/>
        <v>5</v>
      </c>
      <c r="R401" s="83" t="str">
        <f t="shared" ca="1" si="61"/>
        <v>ผ่าน</v>
      </c>
      <c r="S401" s="3" t="s">
        <v>28</v>
      </c>
      <c r="W401" s="36">
        <v>6511506215</v>
      </c>
      <c r="Y401" s="36">
        <v>6512258120</v>
      </c>
    </row>
    <row r="402" spans="1:25" ht="18" customHeight="1">
      <c r="A402" s="3">
        <v>400</v>
      </c>
      <c r="B402" s="3">
        <v>6412798104</v>
      </c>
      <c r="C402" s="4" t="s">
        <v>22</v>
      </c>
      <c r="D402" s="4" t="s">
        <v>1104</v>
      </c>
      <c r="E402" s="4" t="s">
        <v>1105</v>
      </c>
      <c r="F402" s="4" t="s">
        <v>1106</v>
      </c>
      <c r="G402" s="4" t="s">
        <v>999</v>
      </c>
      <c r="H402" s="4" t="s">
        <v>735</v>
      </c>
      <c r="I402" s="3">
        <v>3</v>
      </c>
      <c r="J402" s="29" t="str">
        <f t="shared" si="54"/>
        <v>1</v>
      </c>
      <c r="K402" s="54" t="str">
        <f t="shared" si="55"/>
        <v>1</v>
      </c>
      <c r="L402" s="69" t="str">
        <f t="shared" si="56"/>
        <v>0</v>
      </c>
      <c r="M402" s="74" t="str">
        <f t="shared" si="57"/>
        <v>1</v>
      </c>
      <c r="N402" s="29" t="str">
        <f t="shared" si="58"/>
        <v>0</v>
      </c>
      <c r="O402" s="61" t="str">
        <f t="shared" ca="1" si="59"/>
        <v>0</v>
      </c>
      <c r="P402" s="65" t="str">
        <f t="shared" si="60"/>
        <v>1</v>
      </c>
      <c r="Q402" s="46">
        <f t="shared" ca="1" si="62"/>
        <v>4</v>
      </c>
      <c r="R402" s="83" t="str">
        <f t="shared" ca="1" si="61"/>
        <v>ผ่าน</v>
      </c>
      <c r="S402" s="3" t="s">
        <v>28</v>
      </c>
      <c r="W402" s="36">
        <v>6512743215</v>
      </c>
      <c r="Y402" s="36">
        <v>6510633227</v>
      </c>
    </row>
    <row r="403" spans="1:25" ht="18" customHeight="1">
      <c r="A403" s="3">
        <v>401</v>
      </c>
      <c r="B403" s="3">
        <v>6412798105</v>
      </c>
      <c r="C403" s="4" t="s">
        <v>22</v>
      </c>
      <c r="D403" s="4" t="s">
        <v>1107</v>
      </c>
      <c r="E403" s="4" t="s">
        <v>1108</v>
      </c>
      <c r="F403" s="4" t="s">
        <v>365</v>
      </c>
      <c r="G403" s="4" t="s">
        <v>999</v>
      </c>
      <c r="H403" s="4" t="s">
        <v>735</v>
      </c>
      <c r="I403" s="3">
        <v>3</v>
      </c>
      <c r="J403" s="29" t="str">
        <f t="shared" si="54"/>
        <v>1</v>
      </c>
      <c r="K403" s="54" t="str">
        <f t="shared" si="55"/>
        <v>1</v>
      </c>
      <c r="L403" s="69" t="str">
        <f t="shared" si="56"/>
        <v>0</v>
      </c>
      <c r="M403" s="74" t="str">
        <f t="shared" si="57"/>
        <v>1</v>
      </c>
      <c r="N403" s="29" t="str">
        <f t="shared" si="58"/>
        <v>0</v>
      </c>
      <c r="O403" s="61" t="str">
        <f t="shared" ca="1" si="59"/>
        <v>1</v>
      </c>
      <c r="P403" s="65" t="str">
        <f t="shared" si="60"/>
        <v>1</v>
      </c>
      <c r="Q403" s="46">
        <f t="shared" ca="1" si="62"/>
        <v>5</v>
      </c>
      <c r="R403" s="83" t="str">
        <f t="shared" ca="1" si="61"/>
        <v>ผ่าน</v>
      </c>
      <c r="S403" s="3" t="s">
        <v>28</v>
      </c>
      <c r="W403" s="36">
        <v>6410073101</v>
      </c>
      <c r="Y403" s="36">
        <v>6510633111</v>
      </c>
    </row>
    <row r="404" spans="1:25" ht="18" customHeight="1">
      <c r="A404" s="3">
        <v>402</v>
      </c>
      <c r="B404" s="3">
        <v>6412798106</v>
      </c>
      <c r="C404" s="4" t="s">
        <v>22</v>
      </c>
      <c r="D404" s="4" t="s">
        <v>1109</v>
      </c>
      <c r="E404" s="4" t="s">
        <v>852</v>
      </c>
      <c r="F404" s="4" t="s">
        <v>1110</v>
      </c>
      <c r="G404" s="4" t="s">
        <v>999</v>
      </c>
      <c r="H404" s="4" t="s">
        <v>735</v>
      </c>
      <c r="I404" s="3">
        <v>3</v>
      </c>
      <c r="J404" s="29" t="str">
        <f t="shared" si="54"/>
        <v>1</v>
      </c>
      <c r="K404" s="54">
        <v>1</v>
      </c>
      <c r="L404" s="69" t="str">
        <f t="shared" si="56"/>
        <v>0</v>
      </c>
      <c r="M404" s="74" t="str">
        <f t="shared" si="57"/>
        <v>0</v>
      </c>
      <c r="N404" s="29" t="str">
        <f t="shared" si="58"/>
        <v>1</v>
      </c>
      <c r="O404" s="61" t="str">
        <f t="shared" ca="1" si="59"/>
        <v>0</v>
      </c>
      <c r="P404" s="65" t="str">
        <f t="shared" si="60"/>
        <v>1</v>
      </c>
      <c r="Q404" s="46">
        <f t="shared" ca="1" si="62"/>
        <v>4</v>
      </c>
      <c r="R404" s="83" t="str">
        <f t="shared" ca="1" si="61"/>
        <v>ผ่าน</v>
      </c>
      <c r="S404" s="3" t="s">
        <v>28</v>
      </c>
      <c r="W404" s="36">
        <v>6512743124</v>
      </c>
      <c r="Y404" s="36">
        <v>6510633122</v>
      </c>
    </row>
    <row r="405" spans="1:25" ht="18" customHeight="1">
      <c r="A405" s="3">
        <v>403</v>
      </c>
      <c r="B405" s="3">
        <v>6412798107</v>
      </c>
      <c r="C405" s="4" t="s">
        <v>29</v>
      </c>
      <c r="D405" s="4" t="s">
        <v>1111</v>
      </c>
      <c r="E405" s="4" t="s">
        <v>1112</v>
      </c>
      <c r="F405" s="4" t="s">
        <v>530</v>
      </c>
      <c r="G405" s="4" t="s">
        <v>999</v>
      </c>
      <c r="H405" s="4" t="s">
        <v>735</v>
      </c>
      <c r="I405" s="3">
        <v>3</v>
      </c>
      <c r="J405" s="29" t="str">
        <f t="shared" si="54"/>
        <v>1</v>
      </c>
      <c r="K405" s="54" t="str">
        <f t="shared" si="55"/>
        <v>1</v>
      </c>
      <c r="L405" s="69" t="str">
        <f t="shared" si="56"/>
        <v>0</v>
      </c>
      <c r="M405" s="74" t="str">
        <f t="shared" si="57"/>
        <v>1</v>
      </c>
      <c r="N405" s="29" t="str">
        <f t="shared" si="58"/>
        <v>0</v>
      </c>
      <c r="O405" s="61" t="str">
        <f t="shared" ca="1" si="59"/>
        <v>1</v>
      </c>
      <c r="P405" s="65" t="str">
        <f t="shared" si="60"/>
        <v>1</v>
      </c>
      <c r="Q405" s="46">
        <f t="shared" ca="1" si="62"/>
        <v>5</v>
      </c>
      <c r="R405" s="83" t="str">
        <f t="shared" ca="1" si="61"/>
        <v>ผ่าน</v>
      </c>
      <c r="S405" s="3" t="s">
        <v>28</v>
      </c>
      <c r="W405" s="36">
        <v>6310207112</v>
      </c>
      <c r="Y405" s="36">
        <v>6510633108</v>
      </c>
    </row>
    <row r="406" spans="1:25" ht="18" customHeight="1">
      <c r="A406" s="3">
        <v>404</v>
      </c>
      <c r="B406" s="3">
        <v>6412798114</v>
      </c>
      <c r="C406" s="4" t="s">
        <v>29</v>
      </c>
      <c r="D406" s="4" t="s">
        <v>1113</v>
      </c>
      <c r="E406" s="4" t="s">
        <v>1114</v>
      </c>
      <c r="F406" s="4" t="s">
        <v>1115</v>
      </c>
      <c r="G406" s="4" t="s">
        <v>999</v>
      </c>
      <c r="H406" s="4" t="s">
        <v>735</v>
      </c>
      <c r="I406" s="3">
        <v>3</v>
      </c>
      <c r="J406" s="29" t="str">
        <f t="shared" si="54"/>
        <v>1</v>
      </c>
      <c r="K406" s="54" t="str">
        <f t="shared" si="55"/>
        <v>0</v>
      </c>
      <c r="L406" s="69" t="str">
        <f t="shared" si="56"/>
        <v>1</v>
      </c>
      <c r="M406" s="74" t="str">
        <f t="shared" si="57"/>
        <v>0</v>
      </c>
      <c r="N406" s="29" t="str">
        <f t="shared" si="58"/>
        <v>1</v>
      </c>
      <c r="O406" s="61" t="str">
        <f t="shared" ca="1" si="59"/>
        <v>0</v>
      </c>
      <c r="P406" s="65" t="str">
        <f t="shared" si="60"/>
        <v>1</v>
      </c>
      <c r="Q406" s="46">
        <f t="shared" ca="1" si="62"/>
        <v>4</v>
      </c>
      <c r="R406" s="83" t="str">
        <f t="shared" ca="1" si="61"/>
        <v>ผ่าน</v>
      </c>
      <c r="S406" s="3" t="s">
        <v>28</v>
      </c>
      <c r="W406">
        <v>6510403230</v>
      </c>
      <c r="Y406" s="36">
        <v>6412743133</v>
      </c>
    </row>
    <row r="407" spans="1:25" ht="18" customHeight="1">
      <c r="A407" s="3">
        <v>405</v>
      </c>
      <c r="B407" s="3">
        <v>6412798115</v>
      </c>
      <c r="C407" s="4" t="s">
        <v>29</v>
      </c>
      <c r="D407" s="4" t="s">
        <v>1116</v>
      </c>
      <c r="E407" s="4" t="s">
        <v>1117</v>
      </c>
      <c r="F407" s="4" t="s">
        <v>161</v>
      </c>
      <c r="G407" s="4" t="s">
        <v>999</v>
      </c>
      <c r="H407" s="4" t="s">
        <v>735</v>
      </c>
      <c r="I407" s="3">
        <v>3</v>
      </c>
      <c r="J407" s="29" t="str">
        <f t="shared" si="54"/>
        <v>0</v>
      </c>
      <c r="K407" s="54" t="str">
        <f t="shared" si="55"/>
        <v>0</v>
      </c>
      <c r="L407" s="69" t="str">
        <f t="shared" si="56"/>
        <v>0</v>
      </c>
      <c r="M407" s="74" t="str">
        <f t="shared" si="57"/>
        <v>0</v>
      </c>
      <c r="N407" s="29" t="str">
        <f t="shared" si="58"/>
        <v>0</v>
      </c>
      <c r="O407" s="61" t="str">
        <f t="shared" ca="1" si="59"/>
        <v>0</v>
      </c>
      <c r="P407" s="65" t="str">
        <f t="shared" si="60"/>
        <v>0</v>
      </c>
      <c r="Q407" s="46">
        <f t="shared" ca="1" si="62"/>
        <v>0</v>
      </c>
      <c r="R407" s="3" t="str">
        <f t="shared" ca="1" si="61"/>
        <v>ไม่ผ่าน</v>
      </c>
      <c r="S407" s="3" t="s">
        <v>28</v>
      </c>
      <c r="W407" s="36">
        <v>6510403226</v>
      </c>
      <c r="Y407" s="36">
        <v>6410083108</v>
      </c>
    </row>
    <row r="408" spans="1:25" ht="18" customHeight="1">
      <c r="A408" s="3">
        <v>406</v>
      </c>
      <c r="B408" s="3">
        <v>6412798116</v>
      </c>
      <c r="C408" s="4" t="s">
        <v>29</v>
      </c>
      <c r="D408" s="4" t="s">
        <v>1118</v>
      </c>
      <c r="E408" s="4" t="s">
        <v>1119</v>
      </c>
      <c r="F408" s="4" t="s">
        <v>1120</v>
      </c>
      <c r="G408" s="4" t="s">
        <v>999</v>
      </c>
      <c r="H408" s="4" t="s">
        <v>735</v>
      </c>
      <c r="I408" s="3">
        <v>3</v>
      </c>
      <c r="J408" s="29" t="str">
        <f t="shared" si="54"/>
        <v>1</v>
      </c>
      <c r="K408" s="54" t="str">
        <f t="shared" si="55"/>
        <v>1</v>
      </c>
      <c r="L408" s="69" t="str">
        <f t="shared" si="56"/>
        <v>0</v>
      </c>
      <c r="M408" s="74" t="str">
        <f t="shared" si="57"/>
        <v>0</v>
      </c>
      <c r="N408" s="29" t="str">
        <f t="shared" si="58"/>
        <v>1</v>
      </c>
      <c r="O408" s="61" t="str">
        <f t="shared" ca="1" si="59"/>
        <v>0</v>
      </c>
      <c r="P408" s="65" t="str">
        <f t="shared" si="60"/>
        <v>1</v>
      </c>
      <c r="Q408" s="46">
        <f t="shared" ca="1" si="62"/>
        <v>4</v>
      </c>
      <c r="R408" s="83" t="str">
        <f t="shared" ca="1" si="61"/>
        <v>ผ่าน</v>
      </c>
      <c r="S408" s="3" t="s">
        <v>28</v>
      </c>
      <c r="Y408" s="36">
        <v>6410403224</v>
      </c>
    </row>
    <row r="409" spans="1:25" ht="18" customHeight="1">
      <c r="A409" s="3">
        <v>407</v>
      </c>
      <c r="B409" s="3">
        <v>6412798117</v>
      </c>
      <c r="C409" s="4" t="s">
        <v>29</v>
      </c>
      <c r="D409" s="4" t="s">
        <v>1121</v>
      </c>
      <c r="E409" s="4" t="s">
        <v>470</v>
      </c>
      <c r="F409" s="4" t="s">
        <v>233</v>
      </c>
      <c r="G409" s="4" t="s">
        <v>999</v>
      </c>
      <c r="H409" s="4" t="s">
        <v>735</v>
      </c>
      <c r="I409" s="3">
        <v>3</v>
      </c>
      <c r="J409" s="29" t="str">
        <f t="shared" si="54"/>
        <v>1</v>
      </c>
      <c r="K409" s="54" t="str">
        <f t="shared" si="55"/>
        <v>1</v>
      </c>
      <c r="L409" s="69" t="str">
        <f t="shared" si="56"/>
        <v>0</v>
      </c>
      <c r="M409" s="74" t="str">
        <f t="shared" si="57"/>
        <v>1</v>
      </c>
      <c r="N409" s="29" t="str">
        <f t="shared" si="58"/>
        <v>0</v>
      </c>
      <c r="O409" s="61" t="str">
        <f t="shared" ca="1" si="59"/>
        <v>0</v>
      </c>
      <c r="P409" s="65" t="str">
        <f t="shared" si="60"/>
        <v>1</v>
      </c>
      <c r="Q409" s="46">
        <f t="shared" ca="1" si="62"/>
        <v>4</v>
      </c>
      <c r="R409" s="83" t="str">
        <f t="shared" ca="1" si="61"/>
        <v>ผ่าน</v>
      </c>
      <c r="S409" s="3" t="s">
        <v>28</v>
      </c>
      <c r="Y409" s="36">
        <v>6610633104</v>
      </c>
    </row>
    <row r="410" spans="1:25" ht="18" customHeight="1">
      <c r="A410" s="3">
        <v>408</v>
      </c>
      <c r="B410" s="3">
        <v>6412798118</v>
      </c>
      <c r="C410" s="4" t="s">
        <v>29</v>
      </c>
      <c r="D410" s="4"/>
      <c r="E410" s="4" t="s">
        <v>1122</v>
      </c>
      <c r="F410" s="4" t="s">
        <v>210</v>
      </c>
      <c r="G410" s="4" t="s">
        <v>999</v>
      </c>
      <c r="H410" s="4" t="s">
        <v>735</v>
      </c>
      <c r="I410" s="3">
        <v>3</v>
      </c>
      <c r="J410" s="29" t="str">
        <f t="shared" si="54"/>
        <v>1</v>
      </c>
      <c r="K410" s="54" t="str">
        <f t="shared" si="55"/>
        <v>0</v>
      </c>
      <c r="L410" s="69" t="str">
        <f t="shared" si="56"/>
        <v>1</v>
      </c>
      <c r="M410" s="74" t="str">
        <f t="shared" si="57"/>
        <v>0</v>
      </c>
      <c r="N410" s="29" t="str">
        <f t="shared" si="58"/>
        <v>1</v>
      </c>
      <c r="O410" s="61" t="str">
        <f t="shared" ca="1" si="59"/>
        <v>0</v>
      </c>
      <c r="P410" s="65" t="str">
        <f t="shared" si="60"/>
        <v>1</v>
      </c>
      <c r="Q410" s="46">
        <f t="shared" ca="1" si="62"/>
        <v>4</v>
      </c>
      <c r="R410" s="83" t="str">
        <f t="shared" ca="1" si="61"/>
        <v>ผ่าน</v>
      </c>
      <c r="S410" s="3" t="s">
        <v>28</v>
      </c>
      <c r="Y410" s="36">
        <v>6512798114</v>
      </c>
    </row>
    <row r="411" spans="1:25" ht="18" customHeight="1">
      <c r="A411" s="3">
        <v>409</v>
      </c>
      <c r="B411" s="3">
        <v>6412798123</v>
      </c>
      <c r="C411" s="4" t="s">
        <v>29</v>
      </c>
      <c r="D411" s="4" t="s">
        <v>1099</v>
      </c>
      <c r="E411" s="4" t="s">
        <v>1123</v>
      </c>
      <c r="F411" s="4" t="s">
        <v>78</v>
      </c>
      <c r="G411" s="4" t="s">
        <v>999</v>
      </c>
      <c r="H411" s="4" t="s">
        <v>735</v>
      </c>
      <c r="I411" s="3">
        <v>3</v>
      </c>
      <c r="J411" s="29" t="str">
        <f t="shared" si="54"/>
        <v>1</v>
      </c>
      <c r="K411" s="54">
        <v>1</v>
      </c>
      <c r="L411" s="69" t="str">
        <f t="shared" si="56"/>
        <v>0</v>
      </c>
      <c r="M411" s="74" t="str">
        <f t="shared" si="57"/>
        <v>1</v>
      </c>
      <c r="N411" s="29" t="str">
        <f t="shared" si="58"/>
        <v>0</v>
      </c>
      <c r="O411" s="61" t="str">
        <f t="shared" ca="1" si="59"/>
        <v>0</v>
      </c>
      <c r="P411" s="65" t="str">
        <f t="shared" si="60"/>
        <v>1</v>
      </c>
      <c r="Q411" s="46">
        <f t="shared" ca="1" si="62"/>
        <v>4</v>
      </c>
      <c r="R411" s="83" t="str">
        <f t="shared" ca="1" si="61"/>
        <v>ผ่าน</v>
      </c>
      <c r="S411" s="3" t="s">
        <v>28</v>
      </c>
      <c r="Y411" s="36">
        <v>6512798105</v>
      </c>
    </row>
    <row r="412" spans="1:25" ht="18" customHeight="1">
      <c r="A412" s="3">
        <v>410</v>
      </c>
      <c r="B412" s="3">
        <v>6412798125</v>
      </c>
      <c r="C412" s="4" t="s">
        <v>29</v>
      </c>
      <c r="D412" s="4" t="s">
        <v>205</v>
      </c>
      <c r="E412" s="4" t="s">
        <v>1124</v>
      </c>
      <c r="F412" s="4" t="s">
        <v>1125</v>
      </c>
      <c r="G412" s="4" t="s">
        <v>999</v>
      </c>
      <c r="H412" s="4" t="s">
        <v>735</v>
      </c>
      <c r="I412" s="3">
        <v>3</v>
      </c>
      <c r="J412" s="29" t="str">
        <f t="shared" si="54"/>
        <v>1</v>
      </c>
      <c r="K412" s="54" t="str">
        <f t="shared" si="55"/>
        <v>0</v>
      </c>
      <c r="L412" s="69" t="str">
        <f t="shared" si="56"/>
        <v>1</v>
      </c>
      <c r="M412" s="74" t="str">
        <f t="shared" si="57"/>
        <v>0</v>
      </c>
      <c r="N412" s="29" t="str">
        <f t="shared" si="58"/>
        <v>1</v>
      </c>
      <c r="O412" s="61" t="str">
        <f t="shared" ca="1" si="59"/>
        <v>1</v>
      </c>
      <c r="P412" s="65" t="str">
        <f t="shared" si="60"/>
        <v>0</v>
      </c>
      <c r="Q412" s="46">
        <f t="shared" ca="1" si="62"/>
        <v>4</v>
      </c>
      <c r="R412" s="83" t="str">
        <f t="shared" ca="1" si="61"/>
        <v>ผ่าน</v>
      </c>
      <c r="S412" s="3" t="s">
        <v>28</v>
      </c>
      <c r="Y412" s="36">
        <v>6412258116</v>
      </c>
    </row>
    <row r="413" spans="1:25" ht="18" customHeight="1">
      <c r="A413" s="3">
        <v>411</v>
      </c>
      <c r="B413" s="3">
        <v>6412798127</v>
      </c>
      <c r="C413" s="4" t="s">
        <v>29</v>
      </c>
      <c r="D413" s="4" t="s">
        <v>1126</v>
      </c>
      <c r="E413" s="4" t="s">
        <v>1127</v>
      </c>
      <c r="F413" s="4" t="s">
        <v>1128</v>
      </c>
      <c r="G413" s="4" t="s">
        <v>999</v>
      </c>
      <c r="H413" s="4" t="s">
        <v>735</v>
      </c>
      <c r="I413" s="3">
        <v>3</v>
      </c>
      <c r="J413" s="29" t="str">
        <f t="shared" si="54"/>
        <v>1</v>
      </c>
      <c r="K413" s="54" t="str">
        <f t="shared" si="55"/>
        <v>0</v>
      </c>
      <c r="L413" s="69" t="str">
        <f t="shared" si="56"/>
        <v>1</v>
      </c>
      <c r="M413" s="74" t="str">
        <f t="shared" si="57"/>
        <v>0</v>
      </c>
      <c r="N413" s="29" t="str">
        <f t="shared" si="58"/>
        <v>1</v>
      </c>
      <c r="O413" s="61" t="str">
        <f t="shared" ca="1" si="59"/>
        <v>0</v>
      </c>
      <c r="P413" s="65" t="str">
        <f t="shared" si="60"/>
        <v>0</v>
      </c>
      <c r="Q413" s="46">
        <f t="shared" ca="1" si="62"/>
        <v>3</v>
      </c>
      <c r="R413" s="83" t="str">
        <f t="shared" ca="1" si="61"/>
        <v>ผ่าน</v>
      </c>
      <c r="S413" s="3" t="s">
        <v>28</v>
      </c>
      <c r="Y413" s="36">
        <v>6610633106</v>
      </c>
    </row>
    <row r="414" spans="1:25" ht="18" customHeight="1">
      <c r="A414" s="3">
        <v>412</v>
      </c>
      <c r="B414" s="3">
        <v>6412798131</v>
      </c>
      <c r="C414" s="4" t="s">
        <v>29</v>
      </c>
      <c r="D414" s="4" t="s">
        <v>252</v>
      </c>
      <c r="E414" s="4" t="s">
        <v>1129</v>
      </c>
      <c r="F414" s="4" t="s">
        <v>1130</v>
      </c>
      <c r="G414" s="4" t="s">
        <v>999</v>
      </c>
      <c r="H414" s="4" t="s">
        <v>735</v>
      </c>
      <c r="I414" s="3">
        <v>3</v>
      </c>
      <c r="J414" s="29" t="str">
        <f t="shared" si="54"/>
        <v>1</v>
      </c>
      <c r="K414" s="54" t="str">
        <f t="shared" si="55"/>
        <v>0</v>
      </c>
      <c r="L414" s="69" t="str">
        <f t="shared" si="56"/>
        <v>1</v>
      </c>
      <c r="M414" s="74" t="str">
        <f t="shared" si="57"/>
        <v>0</v>
      </c>
      <c r="N414" s="29" t="str">
        <f t="shared" si="58"/>
        <v>1</v>
      </c>
      <c r="O414" s="61" t="str">
        <f t="shared" ca="1" si="59"/>
        <v>0</v>
      </c>
      <c r="P414" s="65" t="str">
        <f t="shared" si="60"/>
        <v>1</v>
      </c>
      <c r="Q414" s="46">
        <f t="shared" ca="1" si="62"/>
        <v>4</v>
      </c>
      <c r="R414" s="83" t="str">
        <f t="shared" ca="1" si="61"/>
        <v>ผ่าน</v>
      </c>
      <c r="S414" s="3" t="s">
        <v>28</v>
      </c>
      <c r="Y414" s="36">
        <v>6410403225</v>
      </c>
    </row>
    <row r="415" spans="1:25" ht="18" customHeight="1">
      <c r="A415" s="3">
        <v>413</v>
      </c>
      <c r="B415" s="3">
        <v>6312798105</v>
      </c>
      <c r="C415" s="4" t="s">
        <v>29</v>
      </c>
      <c r="D415" s="4" t="s">
        <v>314</v>
      </c>
      <c r="E415" s="4" t="s">
        <v>1131</v>
      </c>
      <c r="F415" s="4" t="s">
        <v>1132</v>
      </c>
      <c r="G415" s="4" t="s">
        <v>999</v>
      </c>
      <c r="H415" s="4" t="s">
        <v>735</v>
      </c>
      <c r="I415" s="3">
        <v>4</v>
      </c>
      <c r="J415" s="29" t="str">
        <f t="shared" si="54"/>
        <v>0</v>
      </c>
      <c r="K415" s="54" t="str">
        <f t="shared" si="55"/>
        <v>1</v>
      </c>
      <c r="L415" s="69" t="str">
        <f t="shared" si="56"/>
        <v>0</v>
      </c>
      <c r="M415" s="74" t="str">
        <f t="shared" si="57"/>
        <v>0</v>
      </c>
      <c r="N415" s="29" t="str">
        <f t="shared" si="58"/>
        <v>0</v>
      </c>
      <c r="O415" s="61">
        <v>1</v>
      </c>
      <c r="P415" s="65">
        <v>1</v>
      </c>
      <c r="Q415" s="46">
        <f t="shared" si="62"/>
        <v>3</v>
      </c>
      <c r="R415" s="83" t="str">
        <f t="shared" si="61"/>
        <v>ผ่าน</v>
      </c>
      <c r="S415" s="3" t="s">
        <v>28</v>
      </c>
      <c r="Y415" s="36">
        <v>6410083101</v>
      </c>
    </row>
    <row r="416" spans="1:25" ht="18" customHeight="1">
      <c r="A416" s="3">
        <v>414</v>
      </c>
      <c r="B416" s="3">
        <v>6312798206</v>
      </c>
      <c r="C416" s="4" t="s">
        <v>29</v>
      </c>
      <c r="D416" s="4" t="s">
        <v>444</v>
      </c>
      <c r="E416" s="4" t="s">
        <v>1133</v>
      </c>
      <c r="F416" s="4" t="s">
        <v>362</v>
      </c>
      <c r="G416" s="4" t="s">
        <v>999</v>
      </c>
      <c r="H416" s="4" t="s">
        <v>735</v>
      </c>
      <c r="I416" s="3">
        <v>4</v>
      </c>
      <c r="J416" s="29" t="str">
        <f t="shared" si="54"/>
        <v>0</v>
      </c>
      <c r="K416" s="54" t="str">
        <f t="shared" si="55"/>
        <v>0</v>
      </c>
      <c r="L416" s="69" t="str">
        <f t="shared" si="56"/>
        <v>0</v>
      </c>
      <c r="M416" s="74" t="str">
        <f t="shared" si="57"/>
        <v>0</v>
      </c>
      <c r="N416" s="29" t="str">
        <f t="shared" si="58"/>
        <v>0</v>
      </c>
      <c r="O416" s="61">
        <v>1</v>
      </c>
      <c r="P416" s="65">
        <v>1</v>
      </c>
      <c r="Q416" s="46">
        <f t="shared" si="62"/>
        <v>2</v>
      </c>
      <c r="R416" s="3" t="str">
        <f t="shared" si="61"/>
        <v>ไม่ผ่าน</v>
      </c>
      <c r="S416" s="3" t="s">
        <v>28</v>
      </c>
      <c r="Y416" s="36">
        <v>6412743137</v>
      </c>
    </row>
    <row r="417" spans="1:25" ht="18" customHeight="1">
      <c r="A417" s="3">
        <v>415</v>
      </c>
      <c r="B417" s="3">
        <v>6312798208</v>
      </c>
      <c r="C417" s="4" t="s">
        <v>29</v>
      </c>
      <c r="D417" s="4" t="s">
        <v>1134</v>
      </c>
      <c r="E417" s="4" t="s">
        <v>440</v>
      </c>
      <c r="F417" s="4" t="s">
        <v>32</v>
      </c>
      <c r="G417" s="4" t="s">
        <v>999</v>
      </c>
      <c r="H417" s="4" t="s">
        <v>735</v>
      </c>
      <c r="I417" s="3">
        <v>4</v>
      </c>
      <c r="J417" s="29" t="str">
        <f t="shared" si="54"/>
        <v>1</v>
      </c>
      <c r="K417" s="54">
        <v>1</v>
      </c>
      <c r="L417" s="69" t="str">
        <f t="shared" si="56"/>
        <v>0</v>
      </c>
      <c r="M417" s="74" t="str">
        <f t="shared" si="57"/>
        <v>1</v>
      </c>
      <c r="N417" s="29" t="str">
        <f t="shared" si="58"/>
        <v>0</v>
      </c>
      <c r="O417" s="61">
        <v>1</v>
      </c>
      <c r="P417" s="65">
        <v>1</v>
      </c>
      <c r="Q417" s="46">
        <f t="shared" si="62"/>
        <v>5</v>
      </c>
      <c r="R417" s="83" t="str">
        <f t="shared" si="61"/>
        <v>ผ่าน</v>
      </c>
      <c r="S417" s="3" t="s">
        <v>28</v>
      </c>
      <c r="Y417" s="36">
        <v>6412743138</v>
      </c>
    </row>
    <row r="418" spans="1:25" ht="18" customHeight="1">
      <c r="A418" s="3">
        <v>416</v>
      </c>
      <c r="B418" s="3">
        <v>6312798209</v>
      </c>
      <c r="C418" s="4" t="s">
        <v>29</v>
      </c>
      <c r="D418" s="4" t="s">
        <v>1135</v>
      </c>
      <c r="E418" s="4" t="s">
        <v>1136</v>
      </c>
      <c r="F418" s="4" t="s">
        <v>869</v>
      </c>
      <c r="G418" s="4" t="s">
        <v>999</v>
      </c>
      <c r="H418" s="4" t="s">
        <v>735</v>
      </c>
      <c r="I418" s="3">
        <v>4</v>
      </c>
      <c r="J418" s="29" t="str">
        <f t="shared" si="54"/>
        <v>0</v>
      </c>
      <c r="K418" s="54" t="str">
        <f t="shared" si="55"/>
        <v>0</v>
      </c>
      <c r="L418" s="69" t="str">
        <f t="shared" si="56"/>
        <v>0</v>
      </c>
      <c r="M418" s="74" t="str">
        <f t="shared" si="57"/>
        <v>0</v>
      </c>
      <c r="N418" s="29" t="str">
        <f t="shared" si="58"/>
        <v>0</v>
      </c>
      <c r="O418" s="61">
        <v>1</v>
      </c>
      <c r="P418" s="65">
        <v>1</v>
      </c>
      <c r="Q418" s="46">
        <f t="shared" si="62"/>
        <v>2</v>
      </c>
      <c r="R418" s="3" t="str">
        <f t="shared" si="61"/>
        <v>ไม่ผ่าน</v>
      </c>
      <c r="S418" s="3" t="s">
        <v>28</v>
      </c>
      <c r="Y418" s="36">
        <v>6412743150</v>
      </c>
    </row>
    <row r="419" spans="1:25" ht="18" customHeight="1">
      <c r="A419" s="3">
        <v>417</v>
      </c>
      <c r="B419" s="3">
        <v>6312798213</v>
      </c>
      <c r="C419" s="4" t="s">
        <v>29</v>
      </c>
      <c r="D419" s="4" t="s">
        <v>1137</v>
      </c>
      <c r="E419" s="4" t="s">
        <v>1138</v>
      </c>
      <c r="F419" s="4" t="s">
        <v>193</v>
      </c>
      <c r="G419" s="4" t="s">
        <v>999</v>
      </c>
      <c r="H419" s="4" t="s">
        <v>735</v>
      </c>
      <c r="I419" s="3">
        <v>4</v>
      </c>
      <c r="J419" s="29" t="str">
        <f t="shared" si="54"/>
        <v>1</v>
      </c>
      <c r="K419" s="54">
        <v>1</v>
      </c>
      <c r="L419" s="69" t="str">
        <f t="shared" si="56"/>
        <v>0</v>
      </c>
      <c r="M419" s="74" t="str">
        <f t="shared" si="57"/>
        <v>1</v>
      </c>
      <c r="N419" s="29" t="str">
        <f t="shared" si="58"/>
        <v>0</v>
      </c>
      <c r="O419" s="61">
        <v>1</v>
      </c>
      <c r="P419" s="65">
        <v>1</v>
      </c>
      <c r="Q419" s="46">
        <f t="shared" si="62"/>
        <v>5</v>
      </c>
      <c r="R419" s="83" t="str">
        <f t="shared" si="61"/>
        <v>ผ่าน</v>
      </c>
      <c r="S419" s="3" t="s">
        <v>28</v>
      </c>
      <c r="Y419" s="36">
        <v>6412743207</v>
      </c>
    </row>
    <row r="420" spans="1:25" ht="18" customHeight="1">
      <c r="A420" s="3">
        <v>418</v>
      </c>
      <c r="B420" s="3">
        <v>6312898207</v>
      </c>
      <c r="C420" s="4" t="s">
        <v>29</v>
      </c>
      <c r="D420" s="4" t="s">
        <v>557</v>
      </c>
      <c r="E420" s="4" t="s">
        <v>1139</v>
      </c>
      <c r="F420" s="4" t="s">
        <v>401</v>
      </c>
      <c r="G420" s="4" t="s">
        <v>999</v>
      </c>
      <c r="H420" s="4" t="s">
        <v>735</v>
      </c>
      <c r="I420" s="3">
        <v>4</v>
      </c>
      <c r="J420" s="29" t="str">
        <f t="shared" si="54"/>
        <v>0</v>
      </c>
      <c r="K420" s="54" t="str">
        <f t="shared" si="55"/>
        <v>0</v>
      </c>
      <c r="L420" s="69" t="str">
        <f t="shared" si="56"/>
        <v>0</v>
      </c>
      <c r="M420" s="74" t="str">
        <f t="shared" si="57"/>
        <v>0</v>
      </c>
      <c r="N420" s="29" t="str">
        <f t="shared" si="58"/>
        <v>0</v>
      </c>
      <c r="O420" s="61">
        <v>1</v>
      </c>
      <c r="P420" s="65">
        <v>1</v>
      </c>
      <c r="Q420" s="46">
        <f t="shared" si="62"/>
        <v>2</v>
      </c>
      <c r="R420" s="3" t="str">
        <f t="shared" si="61"/>
        <v>ไม่ผ่าน</v>
      </c>
      <c r="S420" s="3" t="s">
        <v>28</v>
      </c>
      <c r="Y420" s="36">
        <v>6410403105</v>
      </c>
    </row>
    <row r="421" spans="1:25" ht="18" customHeight="1">
      <c r="A421" s="3">
        <v>419</v>
      </c>
      <c r="B421" s="3">
        <v>6510106101</v>
      </c>
      <c r="C421" s="4" t="s">
        <v>22</v>
      </c>
      <c r="D421" s="4" t="s">
        <v>1140</v>
      </c>
      <c r="E421" s="4" t="s">
        <v>1141</v>
      </c>
      <c r="F421" s="4" t="s">
        <v>1142</v>
      </c>
      <c r="G421" s="4" t="s">
        <v>999</v>
      </c>
      <c r="H421" s="4" t="s">
        <v>1143</v>
      </c>
      <c r="I421" s="3">
        <v>2</v>
      </c>
      <c r="J421" s="29" t="str">
        <f t="shared" si="54"/>
        <v>1</v>
      </c>
      <c r="K421" s="54" t="str">
        <f t="shared" si="55"/>
        <v>1</v>
      </c>
      <c r="L421" s="69" t="str">
        <f t="shared" si="56"/>
        <v>0</v>
      </c>
      <c r="M421" s="74" t="str">
        <f t="shared" si="57"/>
        <v>1</v>
      </c>
      <c r="N421" s="29" t="str">
        <f t="shared" si="58"/>
        <v>0</v>
      </c>
      <c r="O421" s="61" t="str">
        <f t="shared" ca="1" si="59"/>
        <v>0</v>
      </c>
      <c r="P421" s="65" t="str">
        <f t="shared" si="60"/>
        <v>0</v>
      </c>
      <c r="Q421" s="46">
        <f t="shared" ca="1" si="62"/>
        <v>3</v>
      </c>
      <c r="R421" s="83" t="str">
        <f t="shared" ca="1" si="61"/>
        <v>ผ่าน</v>
      </c>
      <c r="S421" s="3" t="s">
        <v>28</v>
      </c>
      <c r="Y421" s="36">
        <v>6410083104</v>
      </c>
    </row>
    <row r="422" spans="1:25" ht="18" customHeight="1">
      <c r="A422" s="3">
        <v>420</v>
      </c>
      <c r="B422" s="3">
        <v>6510106102</v>
      </c>
      <c r="C422" s="4" t="s">
        <v>22</v>
      </c>
      <c r="D422" s="4" t="s">
        <v>1144</v>
      </c>
      <c r="E422" s="4" t="s">
        <v>1145</v>
      </c>
      <c r="F422" s="4" t="s">
        <v>704</v>
      </c>
      <c r="G422" s="4" t="s">
        <v>999</v>
      </c>
      <c r="H422" s="4" t="s">
        <v>1143</v>
      </c>
      <c r="I422" s="3">
        <v>2</v>
      </c>
      <c r="J422" s="29" t="str">
        <f t="shared" si="54"/>
        <v>1</v>
      </c>
      <c r="K422" s="54" t="str">
        <f t="shared" si="55"/>
        <v>1</v>
      </c>
      <c r="L422" s="69" t="str">
        <f t="shared" si="56"/>
        <v>0</v>
      </c>
      <c r="M422" s="74" t="str">
        <f t="shared" si="57"/>
        <v>1</v>
      </c>
      <c r="N422" s="29" t="str">
        <f t="shared" si="58"/>
        <v>0</v>
      </c>
      <c r="O422" s="61" t="str">
        <f t="shared" ca="1" si="59"/>
        <v>0</v>
      </c>
      <c r="P422" s="65" t="str">
        <f t="shared" si="60"/>
        <v>0</v>
      </c>
      <c r="Q422" s="46">
        <f t="shared" ca="1" si="62"/>
        <v>3</v>
      </c>
      <c r="R422" s="83" t="str">
        <f t="shared" ca="1" si="61"/>
        <v>ผ่าน</v>
      </c>
      <c r="S422" s="3" t="s">
        <v>28</v>
      </c>
      <c r="Y422" s="36">
        <v>6410083103</v>
      </c>
    </row>
    <row r="423" spans="1:25" ht="18" customHeight="1">
      <c r="A423" s="3">
        <v>421</v>
      </c>
      <c r="B423" s="3">
        <v>6510106136</v>
      </c>
      <c r="C423" s="4" t="s">
        <v>29</v>
      </c>
      <c r="D423" s="4" t="s">
        <v>1101</v>
      </c>
      <c r="E423" s="4" t="s">
        <v>1146</v>
      </c>
      <c r="F423" s="4" t="s">
        <v>1147</v>
      </c>
      <c r="G423" s="4" t="s">
        <v>999</v>
      </c>
      <c r="H423" s="4" t="s">
        <v>1143</v>
      </c>
      <c r="I423" s="3">
        <v>2</v>
      </c>
      <c r="J423" s="29" t="str">
        <f t="shared" si="54"/>
        <v>1</v>
      </c>
      <c r="K423" s="54" t="str">
        <f t="shared" si="55"/>
        <v>1</v>
      </c>
      <c r="L423" s="69" t="str">
        <f t="shared" si="56"/>
        <v>0</v>
      </c>
      <c r="M423" s="74" t="str">
        <f t="shared" si="57"/>
        <v>1</v>
      </c>
      <c r="N423" s="29" t="str">
        <f t="shared" si="58"/>
        <v>0</v>
      </c>
      <c r="O423" s="61" t="str">
        <f t="shared" ca="1" si="59"/>
        <v>1</v>
      </c>
      <c r="P423" s="65" t="str">
        <f t="shared" si="60"/>
        <v>1</v>
      </c>
      <c r="Q423" s="46">
        <f t="shared" ca="1" si="62"/>
        <v>5</v>
      </c>
      <c r="R423" s="83" t="str">
        <f t="shared" ca="1" si="61"/>
        <v>ผ่าน</v>
      </c>
      <c r="S423" s="3" t="s">
        <v>28</v>
      </c>
      <c r="Y423" s="36">
        <v>6512798103</v>
      </c>
    </row>
    <row r="424" spans="1:25" ht="18" customHeight="1">
      <c r="A424" s="3">
        <v>422</v>
      </c>
      <c r="B424" s="3">
        <v>6410106107</v>
      </c>
      <c r="C424" s="4" t="s">
        <v>29</v>
      </c>
      <c r="D424" s="4" t="s">
        <v>859</v>
      </c>
      <c r="E424" s="4" t="s">
        <v>1148</v>
      </c>
      <c r="F424" s="4" t="s">
        <v>943</v>
      </c>
      <c r="G424" s="4" t="s">
        <v>999</v>
      </c>
      <c r="H424" s="4" t="s">
        <v>1143</v>
      </c>
      <c r="I424" s="3">
        <v>3</v>
      </c>
      <c r="J424" s="29" t="str">
        <f t="shared" si="54"/>
        <v>0</v>
      </c>
      <c r="K424" s="54">
        <v>1</v>
      </c>
      <c r="L424" s="69" t="str">
        <f t="shared" si="56"/>
        <v>0</v>
      </c>
      <c r="M424" s="74" t="str">
        <f t="shared" si="57"/>
        <v>0</v>
      </c>
      <c r="N424" s="29" t="str">
        <f t="shared" si="58"/>
        <v>1</v>
      </c>
      <c r="O424" s="61" t="str">
        <f t="shared" ca="1" si="59"/>
        <v>1</v>
      </c>
      <c r="P424" s="65" t="str">
        <f t="shared" si="60"/>
        <v>1</v>
      </c>
      <c r="Q424" s="46">
        <f t="shared" ca="1" si="62"/>
        <v>4</v>
      </c>
      <c r="R424" s="83" t="str">
        <f t="shared" ca="1" si="61"/>
        <v>ผ่าน</v>
      </c>
      <c r="S424" s="3" t="s">
        <v>28</v>
      </c>
      <c r="Y424" s="36">
        <v>6410073114</v>
      </c>
    </row>
    <row r="425" spans="1:25" ht="18" customHeight="1">
      <c r="A425" s="3">
        <v>423</v>
      </c>
      <c r="B425" s="3">
        <v>6410106119</v>
      </c>
      <c r="C425" s="4" t="s">
        <v>29</v>
      </c>
      <c r="D425" s="4" t="s">
        <v>1149</v>
      </c>
      <c r="E425" s="4" t="s">
        <v>1150</v>
      </c>
      <c r="F425" s="4" t="s">
        <v>1151</v>
      </c>
      <c r="G425" s="4" t="s">
        <v>999</v>
      </c>
      <c r="H425" s="4" t="s">
        <v>1143</v>
      </c>
      <c r="I425" s="3">
        <v>3</v>
      </c>
      <c r="J425" s="29" t="str">
        <f t="shared" si="54"/>
        <v>0</v>
      </c>
      <c r="K425" s="54" t="str">
        <f t="shared" si="55"/>
        <v>0</v>
      </c>
      <c r="L425" s="69" t="str">
        <f t="shared" si="56"/>
        <v>1</v>
      </c>
      <c r="M425" s="74" t="str">
        <f t="shared" si="57"/>
        <v>0</v>
      </c>
      <c r="N425" s="29" t="str">
        <f t="shared" si="58"/>
        <v>1</v>
      </c>
      <c r="O425" s="61" t="str">
        <f t="shared" ca="1" si="59"/>
        <v>1</v>
      </c>
      <c r="P425" s="65" t="str">
        <f t="shared" si="60"/>
        <v>1</v>
      </c>
      <c r="Q425" s="46">
        <f t="shared" ca="1" si="62"/>
        <v>4</v>
      </c>
      <c r="R425" s="83" t="str">
        <f t="shared" ca="1" si="61"/>
        <v>ผ่าน</v>
      </c>
      <c r="S425" s="3" t="s">
        <v>28</v>
      </c>
      <c r="Y425" s="36">
        <v>6410083105</v>
      </c>
    </row>
    <row r="426" spans="1:25" ht="18" customHeight="1">
      <c r="A426" s="3">
        <v>424</v>
      </c>
      <c r="B426" s="3">
        <v>6410106121</v>
      </c>
      <c r="C426" s="4" t="s">
        <v>29</v>
      </c>
      <c r="D426" s="4" t="s">
        <v>1152</v>
      </c>
      <c r="E426" s="4" t="s">
        <v>1153</v>
      </c>
      <c r="F426" s="4" t="s">
        <v>1154</v>
      </c>
      <c r="G426" s="4" t="s">
        <v>999</v>
      </c>
      <c r="H426" s="4" t="s">
        <v>1143</v>
      </c>
      <c r="I426" s="3">
        <v>3</v>
      </c>
      <c r="J426" s="29" t="str">
        <f t="shared" si="54"/>
        <v>1</v>
      </c>
      <c r="K426" s="54" t="str">
        <f t="shared" si="55"/>
        <v>1</v>
      </c>
      <c r="L426" s="69" t="str">
        <f t="shared" si="56"/>
        <v>0</v>
      </c>
      <c r="M426" s="74" t="str">
        <f t="shared" si="57"/>
        <v>1</v>
      </c>
      <c r="N426" s="29" t="str">
        <f t="shared" si="58"/>
        <v>0</v>
      </c>
      <c r="O426" s="61" t="str">
        <f t="shared" ca="1" si="59"/>
        <v>1</v>
      </c>
      <c r="P426" s="65" t="str">
        <f t="shared" si="60"/>
        <v>1</v>
      </c>
      <c r="Q426" s="46">
        <f t="shared" ca="1" si="62"/>
        <v>5</v>
      </c>
      <c r="R426" s="83" t="str">
        <f t="shared" ca="1" si="61"/>
        <v>ผ่าน</v>
      </c>
      <c r="S426" s="3" t="s">
        <v>28</v>
      </c>
      <c r="Y426" s="36">
        <v>6410073117</v>
      </c>
    </row>
    <row r="427" spans="1:25" ht="18" customHeight="1">
      <c r="A427" s="3">
        <v>425</v>
      </c>
      <c r="B427" s="3">
        <v>6410106130</v>
      </c>
      <c r="C427" s="4" t="s">
        <v>29</v>
      </c>
      <c r="D427" s="4" t="s">
        <v>378</v>
      </c>
      <c r="E427" s="4" t="s">
        <v>1155</v>
      </c>
      <c r="F427" s="4" t="s">
        <v>115</v>
      </c>
      <c r="G427" s="4" t="s">
        <v>999</v>
      </c>
      <c r="H427" s="4" t="s">
        <v>1143</v>
      </c>
      <c r="I427" s="3">
        <v>3</v>
      </c>
      <c r="J427" s="29" t="str">
        <f t="shared" si="54"/>
        <v>1</v>
      </c>
      <c r="K427" s="54" t="str">
        <f t="shared" si="55"/>
        <v>1</v>
      </c>
      <c r="L427" s="69" t="str">
        <f t="shared" si="56"/>
        <v>0</v>
      </c>
      <c r="M427" s="74" t="str">
        <f t="shared" si="57"/>
        <v>1</v>
      </c>
      <c r="N427" s="29" t="str">
        <f t="shared" si="58"/>
        <v>0</v>
      </c>
      <c r="O427" s="61" t="str">
        <f t="shared" ca="1" si="59"/>
        <v>1</v>
      </c>
      <c r="P427" s="65" t="str">
        <f t="shared" si="60"/>
        <v>1</v>
      </c>
      <c r="Q427" s="46">
        <f t="shared" ca="1" si="62"/>
        <v>5</v>
      </c>
      <c r="R427" s="83" t="str">
        <f t="shared" ca="1" si="61"/>
        <v>ผ่าน</v>
      </c>
      <c r="S427" s="3" t="s">
        <v>28</v>
      </c>
      <c r="Y427" s="36">
        <v>6512798102</v>
      </c>
    </row>
    <row r="428" spans="1:25" ht="18" customHeight="1">
      <c r="A428" s="3">
        <v>426</v>
      </c>
      <c r="B428" s="3">
        <v>6410106213</v>
      </c>
      <c r="C428" s="4" t="s">
        <v>29</v>
      </c>
      <c r="D428" s="4" t="s">
        <v>1156</v>
      </c>
      <c r="E428" s="4" t="s">
        <v>1157</v>
      </c>
      <c r="F428" s="4" t="s">
        <v>157</v>
      </c>
      <c r="G428" s="4" t="s">
        <v>999</v>
      </c>
      <c r="H428" s="4" t="s">
        <v>1143</v>
      </c>
      <c r="I428" s="3">
        <v>3</v>
      </c>
      <c r="J428" s="29" t="str">
        <f t="shared" si="54"/>
        <v>0</v>
      </c>
      <c r="K428" s="54">
        <v>1</v>
      </c>
      <c r="L428" s="69" t="str">
        <f t="shared" si="56"/>
        <v>0</v>
      </c>
      <c r="M428" s="74" t="str">
        <f t="shared" si="57"/>
        <v>1</v>
      </c>
      <c r="N428" s="29" t="str">
        <f t="shared" si="58"/>
        <v>0</v>
      </c>
      <c r="O428" s="61" t="str">
        <f t="shared" ca="1" si="59"/>
        <v>1</v>
      </c>
      <c r="P428" s="65" t="str">
        <f t="shared" si="60"/>
        <v>1</v>
      </c>
      <c r="Q428" s="46">
        <f t="shared" ca="1" si="62"/>
        <v>4</v>
      </c>
      <c r="R428" s="83" t="str">
        <f t="shared" ca="1" si="61"/>
        <v>ผ่าน</v>
      </c>
      <c r="S428" s="3" t="s">
        <v>28</v>
      </c>
      <c r="Y428" s="36">
        <v>6512798138</v>
      </c>
    </row>
    <row r="429" spans="1:25" ht="18" customHeight="1">
      <c r="A429" s="3">
        <v>427</v>
      </c>
      <c r="B429" s="3">
        <v>6410106218</v>
      </c>
      <c r="C429" s="4" t="s">
        <v>29</v>
      </c>
      <c r="D429" s="4" t="s">
        <v>557</v>
      </c>
      <c r="E429" s="4" t="s">
        <v>1158</v>
      </c>
      <c r="F429" s="4" t="s">
        <v>1115</v>
      </c>
      <c r="G429" s="4" t="s">
        <v>999</v>
      </c>
      <c r="H429" s="4" t="s">
        <v>1143</v>
      </c>
      <c r="I429" s="3">
        <v>3</v>
      </c>
      <c r="J429" s="29" t="str">
        <f t="shared" si="54"/>
        <v>0</v>
      </c>
      <c r="K429" s="54">
        <v>1</v>
      </c>
      <c r="L429" s="69" t="str">
        <f t="shared" si="56"/>
        <v>0</v>
      </c>
      <c r="M429" s="74" t="str">
        <f t="shared" si="57"/>
        <v>1</v>
      </c>
      <c r="N429" s="29" t="str">
        <f t="shared" si="58"/>
        <v>0</v>
      </c>
      <c r="O429" s="61" t="str">
        <f t="shared" ca="1" si="59"/>
        <v>1</v>
      </c>
      <c r="P429" s="65" t="str">
        <f t="shared" si="60"/>
        <v>1</v>
      </c>
      <c r="Q429" s="46">
        <f t="shared" ca="1" si="62"/>
        <v>4</v>
      </c>
      <c r="R429" s="83" t="str">
        <f t="shared" ca="1" si="61"/>
        <v>ผ่าน</v>
      </c>
      <c r="S429" s="3" t="s">
        <v>28</v>
      </c>
      <c r="Y429" s="36">
        <v>6512798123</v>
      </c>
    </row>
    <row r="430" spans="1:25" ht="18" customHeight="1">
      <c r="A430" s="3">
        <v>428</v>
      </c>
      <c r="B430" s="3">
        <v>6410106225</v>
      </c>
      <c r="C430" s="4" t="s">
        <v>29</v>
      </c>
      <c r="D430" s="4" t="s">
        <v>324</v>
      </c>
      <c r="E430" s="4" t="s">
        <v>1159</v>
      </c>
      <c r="F430" s="4" t="s">
        <v>324</v>
      </c>
      <c r="G430" s="4" t="s">
        <v>999</v>
      </c>
      <c r="H430" s="4" t="s">
        <v>1143</v>
      </c>
      <c r="I430" s="3">
        <v>3</v>
      </c>
      <c r="J430" s="29" t="str">
        <f t="shared" si="54"/>
        <v>0</v>
      </c>
      <c r="K430" s="54">
        <v>1</v>
      </c>
      <c r="L430" s="69" t="str">
        <f t="shared" si="56"/>
        <v>0</v>
      </c>
      <c r="M430" s="74" t="str">
        <f t="shared" si="57"/>
        <v>1</v>
      </c>
      <c r="N430" s="29" t="str">
        <f t="shared" si="58"/>
        <v>0</v>
      </c>
      <c r="O430" s="61" t="str">
        <f t="shared" ca="1" si="59"/>
        <v>1</v>
      </c>
      <c r="P430" s="65" t="str">
        <f t="shared" si="60"/>
        <v>1</v>
      </c>
      <c r="Q430" s="46">
        <f t="shared" ca="1" si="62"/>
        <v>4</v>
      </c>
      <c r="R430" s="83" t="str">
        <f t="shared" ca="1" si="61"/>
        <v>ผ่าน</v>
      </c>
      <c r="S430" s="3" t="s">
        <v>28</v>
      </c>
      <c r="Y430" s="36">
        <v>6415964119</v>
      </c>
    </row>
    <row r="431" spans="1:25" ht="18" customHeight="1">
      <c r="A431" s="3">
        <v>429</v>
      </c>
      <c r="B431" s="3">
        <v>6310106105</v>
      </c>
      <c r="C431" s="4" t="s">
        <v>29</v>
      </c>
      <c r="D431" s="4" t="s">
        <v>469</v>
      </c>
      <c r="E431" s="4" t="s">
        <v>1160</v>
      </c>
      <c r="F431" s="4" t="s">
        <v>356</v>
      </c>
      <c r="G431" s="4" t="s">
        <v>999</v>
      </c>
      <c r="H431" s="4" t="s">
        <v>1143</v>
      </c>
      <c r="I431" s="3">
        <v>4</v>
      </c>
      <c r="J431" s="29" t="str">
        <f t="shared" si="54"/>
        <v>1</v>
      </c>
      <c r="K431" s="54" t="str">
        <f t="shared" si="55"/>
        <v>1</v>
      </c>
      <c r="L431" s="69" t="str">
        <f t="shared" si="56"/>
        <v>0</v>
      </c>
      <c r="M431" s="74" t="str">
        <f t="shared" si="57"/>
        <v>1</v>
      </c>
      <c r="N431" s="29" t="str">
        <f t="shared" si="58"/>
        <v>0</v>
      </c>
      <c r="O431" s="61">
        <v>1</v>
      </c>
      <c r="P431" s="65">
        <v>1</v>
      </c>
      <c r="Q431" s="46">
        <f t="shared" si="62"/>
        <v>5</v>
      </c>
      <c r="R431" s="83" t="str">
        <f t="shared" si="61"/>
        <v>ผ่าน</v>
      </c>
      <c r="S431" s="3" t="s">
        <v>28</v>
      </c>
      <c r="Y431" s="36">
        <v>6410488124</v>
      </c>
    </row>
    <row r="432" spans="1:25" ht="18" customHeight="1">
      <c r="A432" s="3">
        <v>430</v>
      </c>
      <c r="B432" s="3">
        <v>6310106114</v>
      </c>
      <c r="C432" s="4" t="s">
        <v>29</v>
      </c>
      <c r="D432" s="4" t="s">
        <v>1161</v>
      </c>
      <c r="E432" s="4" t="s">
        <v>1162</v>
      </c>
      <c r="F432" s="4" t="s">
        <v>130</v>
      </c>
      <c r="G432" s="4" t="s">
        <v>999</v>
      </c>
      <c r="H432" s="4" t="s">
        <v>1143</v>
      </c>
      <c r="I432" s="3">
        <v>4</v>
      </c>
      <c r="J432" s="29" t="str">
        <f t="shared" si="54"/>
        <v>1</v>
      </c>
      <c r="K432" s="54" t="str">
        <f t="shared" si="55"/>
        <v>0</v>
      </c>
      <c r="L432" s="69" t="str">
        <f t="shared" si="56"/>
        <v>0</v>
      </c>
      <c r="M432" s="74" t="str">
        <f t="shared" si="57"/>
        <v>1</v>
      </c>
      <c r="N432" s="29" t="str">
        <f t="shared" si="58"/>
        <v>0</v>
      </c>
      <c r="O432" s="61">
        <v>1</v>
      </c>
      <c r="P432" s="65">
        <v>1</v>
      </c>
      <c r="Q432" s="46">
        <f t="shared" si="62"/>
        <v>4</v>
      </c>
      <c r="R432" s="83" t="str">
        <f t="shared" si="61"/>
        <v>ผ่าน</v>
      </c>
      <c r="S432" s="3" t="s">
        <v>28</v>
      </c>
      <c r="Y432" s="36">
        <v>6512798109</v>
      </c>
    </row>
    <row r="433" spans="1:25" ht="18" customHeight="1">
      <c r="A433" s="3">
        <v>431</v>
      </c>
      <c r="B433" s="3">
        <v>6310106202</v>
      </c>
      <c r="C433" s="4" t="s">
        <v>22</v>
      </c>
      <c r="D433" s="4" t="s">
        <v>845</v>
      </c>
      <c r="E433" s="4" t="s">
        <v>1163</v>
      </c>
      <c r="F433" s="4" t="s">
        <v>1164</v>
      </c>
      <c r="G433" s="4" t="s">
        <v>999</v>
      </c>
      <c r="H433" s="4" t="s">
        <v>1143</v>
      </c>
      <c r="I433" s="3">
        <v>4</v>
      </c>
      <c r="J433" s="29" t="str">
        <f t="shared" si="54"/>
        <v>0</v>
      </c>
      <c r="K433" s="54">
        <v>1</v>
      </c>
      <c r="L433" s="69" t="str">
        <f t="shared" si="56"/>
        <v>0</v>
      </c>
      <c r="M433" s="74" t="str">
        <f t="shared" si="57"/>
        <v>1</v>
      </c>
      <c r="N433" s="29" t="str">
        <f t="shared" si="58"/>
        <v>0</v>
      </c>
      <c r="O433" s="61">
        <v>1</v>
      </c>
      <c r="P433" s="65">
        <v>1</v>
      </c>
      <c r="Q433" s="46">
        <f t="shared" si="62"/>
        <v>4</v>
      </c>
      <c r="R433" s="83" t="str">
        <f t="shared" si="61"/>
        <v>ผ่าน</v>
      </c>
      <c r="S433" s="3" t="s">
        <v>28</v>
      </c>
      <c r="Y433" s="36">
        <v>6512888117</v>
      </c>
    </row>
    <row r="434" spans="1:25" ht="18" customHeight="1">
      <c r="A434" s="3">
        <v>432</v>
      </c>
      <c r="B434" s="3">
        <v>6310106214</v>
      </c>
      <c r="C434" s="4" t="s">
        <v>29</v>
      </c>
      <c r="D434" s="4" t="s">
        <v>1165</v>
      </c>
      <c r="E434" s="4" t="s">
        <v>1166</v>
      </c>
      <c r="F434" s="4" t="s">
        <v>453</v>
      </c>
      <c r="G434" s="4" t="s">
        <v>999</v>
      </c>
      <c r="H434" s="4" t="s">
        <v>1143</v>
      </c>
      <c r="I434" s="3">
        <v>4</v>
      </c>
      <c r="J434" s="29" t="str">
        <f t="shared" si="54"/>
        <v>0</v>
      </c>
      <c r="K434" s="54">
        <v>1</v>
      </c>
      <c r="L434" s="69" t="str">
        <f t="shared" si="56"/>
        <v>0</v>
      </c>
      <c r="M434" s="74" t="str">
        <f t="shared" si="57"/>
        <v>1</v>
      </c>
      <c r="N434" s="29" t="str">
        <f t="shared" si="58"/>
        <v>0</v>
      </c>
      <c r="O434" s="61">
        <v>1</v>
      </c>
      <c r="P434" s="65">
        <v>1</v>
      </c>
      <c r="Q434" s="46">
        <f t="shared" si="62"/>
        <v>4</v>
      </c>
      <c r="R434" s="83" t="str">
        <f t="shared" si="61"/>
        <v>ผ่าน</v>
      </c>
      <c r="S434" s="3" t="s">
        <v>28</v>
      </c>
      <c r="Y434" s="36">
        <v>6512798107</v>
      </c>
    </row>
    <row r="435" spans="1:25" ht="18" customHeight="1">
      <c r="A435" s="3">
        <v>433</v>
      </c>
      <c r="B435" s="3">
        <v>6310106203</v>
      </c>
      <c r="C435" s="4" t="s">
        <v>29</v>
      </c>
      <c r="D435" s="4" t="s">
        <v>1167</v>
      </c>
      <c r="E435" s="4" t="s">
        <v>724</v>
      </c>
      <c r="F435" s="4" t="s">
        <v>1168</v>
      </c>
      <c r="G435" s="4" t="s">
        <v>999</v>
      </c>
      <c r="H435" s="4" t="s">
        <v>1169</v>
      </c>
      <c r="I435" s="3">
        <v>4</v>
      </c>
      <c r="J435" s="29" t="str">
        <f t="shared" si="54"/>
        <v>1</v>
      </c>
      <c r="K435" s="54" t="str">
        <f t="shared" si="55"/>
        <v>1</v>
      </c>
      <c r="L435" s="69" t="str">
        <f t="shared" si="56"/>
        <v>0</v>
      </c>
      <c r="M435" s="74" t="str">
        <f t="shared" si="57"/>
        <v>1</v>
      </c>
      <c r="N435" s="29" t="str">
        <f t="shared" si="58"/>
        <v>0</v>
      </c>
      <c r="O435" s="61">
        <v>1</v>
      </c>
      <c r="P435" s="65">
        <v>1</v>
      </c>
      <c r="Q435" s="46">
        <f t="shared" si="62"/>
        <v>5</v>
      </c>
      <c r="R435" s="83" t="str">
        <f t="shared" si="61"/>
        <v>ผ่าน</v>
      </c>
      <c r="S435" s="3" t="s">
        <v>28</v>
      </c>
      <c r="Y435" s="36">
        <v>6512798118</v>
      </c>
    </row>
    <row r="436" spans="1:25" ht="18" customHeight="1">
      <c r="A436" s="3">
        <v>434</v>
      </c>
      <c r="B436" s="3">
        <v>6312743106</v>
      </c>
      <c r="C436" s="4" t="s">
        <v>29</v>
      </c>
      <c r="D436" s="4" t="s">
        <v>1170</v>
      </c>
      <c r="E436" s="4" t="s">
        <v>1171</v>
      </c>
      <c r="F436" s="4" t="s">
        <v>1172</v>
      </c>
      <c r="G436" s="4" t="s">
        <v>999</v>
      </c>
      <c r="H436" s="4" t="s">
        <v>761</v>
      </c>
      <c r="I436" s="3">
        <v>4</v>
      </c>
      <c r="J436" s="29" t="str">
        <f t="shared" si="54"/>
        <v>0</v>
      </c>
      <c r="K436" s="54" t="str">
        <f t="shared" si="55"/>
        <v>1</v>
      </c>
      <c r="L436" s="69" t="str">
        <f t="shared" si="56"/>
        <v>0</v>
      </c>
      <c r="M436" s="74" t="str">
        <f t="shared" si="57"/>
        <v>1</v>
      </c>
      <c r="N436" s="29" t="str">
        <f t="shared" si="58"/>
        <v>0</v>
      </c>
      <c r="O436" s="61">
        <v>1</v>
      </c>
      <c r="P436" s="65">
        <v>1</v>
      </c>
      <c r="Q436" s="46">
        <f t="shared" si="62"/>
        <v>4</v>
      </c>
      <c r="R436" s="83" t="str">
        <f t="shared" si="61"/>
        <v>ผ่าน</v>
      </c>
      <c r="S436" s="3" t="s">
        <v>28</v>
      </c>
      <c r="Y436" s="36">
        <v>6612314132</v>
      </c>
    </row>
    <row r="437" spans="1:25" ht="18" customHeight="1">
      <c r="A437" s="3">
        <v>435</v>
      </c>
      <c r="B437" s="3">
        <v>6612743113</v>
      </c>
      <c r="C437" s="4" t="s">
        <v>29</v>
      </c>
      <c r="D437" s="4" t="s">
        <v>1173</v>
      </c>
      <c r="E437" s="4" t="s">
        <v>1174</v>
      </c>
      <c r="F437" s="4" t="s">
        <v>332</v>
      </c>
      <c r="G437" s="4" t="s">
        <v>999</v>
      </c>
      <c r="H437" s="4" t="s">
        <v>1175</v>
      </c>
      <c r="I437" s="3">
        <v>1</v>
      </c>
      <c r="J437" s="29" t="str">
        <f t="shared" si="54"/>
        <v>0</v>
      </c>
      <c r="K437" s="54" t="str">
        <f t="shared" si="55"/>
        <v>1</v>
      </c>
      <c r="L437" s="69" t="str">
        <f t="shared" si="56"/>
        <v>0</v>
      </c>
      <c r="M437" s="74" t="str">
        <f t="shared" si="57"/>
        <v>0</v>
      </c>
      <c r="N437" s="29" t="str">
        <f t="shared" si="58"/>
        <v>0</v>
      </c>
      <c r="O437" s="61" t="str">
        <f t="shared" ca="1" si="59"/>
        <v>0</v>
      </c>
      <c r="P437" s="65" t="str">
        <f t="shared" si="60"/>
        <v>0</v>
      </c>
      <c r="Q437" s="46">
        <f t="shared" ca="1" si="62"/>
        <v>1</v>
      </c>
      <c r="R437" s="3" t="str">
        <f t="shared" ca="1" si="61"/>
        <v>ไม่ผ่าน</v>
      </c>
      <c r="S437" s="3" t="s">
        <v>28</v>
      </c>
      <c r="Y437" s="36">
        <v>6512798112</v>
      </c>
    </row>
    <row r="438" spans="1:25" ht="18" customHeight="1">
      <c r="A438" s="3">
        <v>436</v>
      </c>
      <c r="B438" s="3">
        <v>6612743120</v>
      </c>
      <c r="C438" s="4" t="s">
        <v>29</v>
      </c>
      <c r="D438" s="4" t="s">
        <v>1176</v>
      </c>
      <c r="E438" s="4" t="s">
        <v>1177</v>
      </c>
      <c r="F438" s="4" t="s">
        <v>59</v>
      </c>
      <c r="G438" s="4" t="s">
        <v>999</v>
      </c>
      <c r="H438" s="4" t="s">
        <v>1175</v>
      </c>
      <c r="I438" s="3">
        <v>1</v>
      </c>
      <c r="J438" s="29" t="str">
        <f t="shared" si="54"/>
        <v>0</v>
      </c>
      <c r="K438" s="54" t="str">
        <f t="shared" si="55"/>
        <v>0</v>
      </c>
      <c r="L438" s="69" t="str">
        <f t="shared" si="56"/>
        <v>0</v>
      </c>
      <c r="M438" s="74" t="str">
        <f t="shared" si="57"/>
        <v>0</v>
      </c>
      <c r="N438" s="29" t="str">
        <f t="shared" si="58"/>
        <v>0</v>
      </c>
      <c r="O438" s="61" t="str">
        <f t="shared" ca="1" si="59"/>
        <v>0</v>
      </c>
      <c r="P438" s="65" t="str">
        <f t="shared" si="60"/>
        <v>0</v>
      </c>
      <c r="Q438" s="46">
        <f t="shared" ca="1" si="62"/>
        <v>0</v>
      </c>
      <c r="R438" s="3" t="str">
        <f t="shared" ca="1" si="61"/>
        <v>ไม่ผ่าน</v>
      </c>
      <c r="S438" s="3" t="s">
        <v>28</v>
      </c>
      <c r="Y438" s="36">
        <v>6415964123</v>
      </c>
    </row>
    <row r="439" spans="1:25" ht="18" customHeight="1">
      <c r="A439" s="3">
        <v>437</v>
      </c>
      <c r="B439" s="3">
        <v>6612743212</v>
      </c>
      <c r="C439" s="4" t="s">
        <v>29</v>
      </c>
      <c r="D439" s="4" t="s">
        <v>1028</v>
      </c>
      <c r="E439" s="4" t="s">
        <v>1178</v>
      </c>
      <c r="F439" s="4" t="s">
        <v>594</v>
      </c>
      <c r="G439" s="4" t="s">
        <v>999</v>
      </c>
      <c r="H439" s="4" t="s">
        <v>1175</v>
      </c>
      <c r="I439" s="3">
        <v>1</v>
      </c>
      <c r="J439" s="29" t="str">
        <f t="shared" si="54"/>
        <v>0</v>
      </c>
      <c r="K439" s="54" t="str">
        <f t="shared" si="55"/>
        <v>0</v>
      </c>
      <c r="L439" s="69" t="str">
        <f t="shared" si="56"/>
        <v>0</v>
      </c>
      <c r="M439" s="74" t="str">
        <f t="shared" si="57"/>
        <v>0</v>
      </c>
      <c r="N439" s="29" t="str">
        <f t="shared" si="58"/>
        <v>0</v>
      </c>
      <c r="O439" s="61" t="str">
        <f t="shared" ca="1" si="59"/>
        <v>1</v>
      </c>
      <c r="P439" s="65" t="str">
        <f t="shared" si="60"/>
        <v>1</v>
      </c>
      <c r="Q439" s="46">
        <f t="shared" ca="1" si="62"/>
        <v>2</v>
      </c>
      <c r="R439" s="3" t="str">
        <f t="shared" ca="1" si="61"/>
        <v>ไม่ผ่าน</v>
      </c>
      <c r="S439" s="3" t="s">
        <v>28</v>
      </c>
      <c r="Y439" s="36">
        <v>6410414203</v>
      </c>
    </row>
    <row r="440" spans="1:25" ht="18" customHeight="1">
      <c r="A440" s="3">
        <v>438</v>
      </c>
      <c r="B440" s="3">
        <v>6612743223</v>
      </c>
      <c r="C440" s="4" t="s">
        <v>29</v>
      </c>
      <c r="D440" s="4" t="s">
        <v>1179</v>
      </c>
      <c r="E440" s="4" t="s">
        <v>1180</v>
      </c>
      <c r="F440" s="4" t="s">
        <v>507</v>
      </c>
      <c r="G440" s="4" t="s">
        <v>999</v>
      </c>
      <c r="H440" s="4" t="s">
        <v>1175</v>
      </c>
      <c r="I440" s="3">
        <v>1</v>
      </c>
      <c r="J440" s="29" t="str">
        <f t="shared" si="54"/>
        <v>0</v>
      </c>
      <c r="K440" s="54" t="str">
        <f t="shared" si="55"/>
        <v>1</v>
      </c>
      <c r="L440" s="69" t="str">
        <f t="shared" si="56"/>
        <v>0</v>
      </c>
      <c r="M440" s="74" t="str">
        <f t="shared" si="57"/>
        <v>0</v>
      </c>
      <c r="N440" s="29" t="str">
        <f t="shared" si="58"/>
        <v>0</v>
      </c>
      <c r="O440" s="61" t="str">
        <f t="shared" ca="1" si="59"/>
        <v>1</v>
      </c>
      <c r="P440" s="65" t="str">
        <f t="shared" si="60"/>
        <v>1</v>
      </c>
      <c r="Q440" s="46">
        <f t="shared" ca="1" si="62"/>
        <v>3</v>
      </c>
      <c r="R440" s="83" t="str">
        <f t="shared" ca="1" si="61"/>
        <v>ผ่าน</v>
      </c>
      <c r="S440" s="3" t="s">
        <v>28</v>
      </c>
      <c r="Y440" s="36">
        <v>6410106125</v>
      </c>
    </row>
    <row r="441" spans="1:25" ht="18" customHeight="1">
      <c r="A441" s="3">
        <v>439</v>
      </c>
      <c r="B441" s="3">
        <v>6412743109</v>
      </c>
      <c r="C441" s="4" t="s">
        <v>22</v>
      </c>
      <c r="D441" s="4" t="s">
        <v>1181</v>
      </c>
      <c r="E441" s="4"/>
      <c r="F441" s="4" t="s">
        <v>1182</v>
      </c>
      <c r="G441" s="4" t="s">
        <v>999</v>
      </c>
      <c r="H441" s="4" t="s">
        <v>1175</v>
      </c>
      <c r="I441" s="3">
        <v>2</v>
      </c>
      <c r="J441" s="29" t="str">
        <f t="shared" si="54"/>
        <v>0</v>
      </c>
      <c r="K441" s="54" t="str">
        <f t="shared" si="55"/>
        <v>0</v>
      </c>
      <c r="L441" s="69" t="str">
        <f t="shared" si="56"/>
        <v>0</v>
      </c>
      <c r="M441" s="74" t="str">
        <f t="shared" si="57"/>
        <v>0</v>
      </c>
      <c r="N441" s="29" t="str">
        <f t="shared" si="58"/>
        <v>0</v>
      </c>
      <c r="O441" s="61" t="str">
        <f t="shared" ca="1" si="59"/>
        <v>0</v>
      </c>
      <c r="P441" s="65" t="str">
        <f t="shared" si="60"/>
        <v>0</v>
      </c>
      <c r="Q441" s="46">
        <f t="shared" ca="1" si="62"/>
        <v>0</v>
      </c>
      <c r="R441" s="3" t="str">
        <f t="shared" ca="1" si="61"/>
        <v>ไม่ผ่าน</v>
      </c>
      <c r="S441" s="3" t="s">
        <v>28</v>
      </c>
      <c r="Y441" s="36">
        <v>6512798132</v>
      </c>
    </row>
    <row r="442" spans="1:25" ht="18" customHeight="1">
      <c r="A442" s="3">
        <v>440</v>
      </c>
      <c r="B442" s="5">
        <v>6512743110</v>
      </c>
      <c r="C442" s="6" t="s">
        <v>22</v>
      </c>
      <c r="D442" s="6" t="s">
        <v>1183</v>
      </c>
      <c r="E442" s="4" t="s">
        <v>1184</v>
      </c>
      <c r="F442" s="6" t="s">
        <v>588</v>
      </c>
      <c r="G442" s="6" t="s">
        <v>999</v>
      </c>
      <c r="H442" s="6" t="s">
        <v>1175</v>
      </c>
      <c r="I442" s="5">
        <v>2</v>
      </c>
      <c r="J442" s="29" t="str">
        <f t="shared" si="54"/>
        <v>0</v>
      </c>
      <c r="K442" s="54" t="str">
        <f t="shared" si="55"/>
        <v>0</v>
      </c>
      <c r="L442" s="69" t="str">
        <f t="shared" si="56"/>
        <v>0</v>
      </c>
      <c r="M442" s="74" t="str">
        <f t="shared" si="57"/>
        <v>0</v>
      </c>
      <c r="N442" s="29" t="str">
        <f t="shared" si="58"/>
        <v>0</v>
      </c>
      <c r="O442" s="61" t="str">
        <f t="shared" ca="1" si="59"/>
        <v>0</v>
      </c>
      <c r="P442" s="65" t="str">
        <f t="shared" si="60"/>
        <v>0</v>
      </c>
      <c r="Q442" s="46">
        <f t="shared" ca="1" si="62"/>
        <v>0</v>
      </c>
      <c r="R442" s="3" t="str">
        <f t="shared" ca="1" si="61"/>
        <v>ไม่ผ่าน</v>
      </c>
      <c r="S442" s="3" t="s">
        <v>28</v>
      </c>
      <c r="Y442" s="36">
        <v>6410488224</v>
      </c>
    </row>
    <row r="443" spans="1:25" ht="18" customHeight="1">
      <c r="A443" s="3">
        <v>441</v>
      </c>
      <c r="B443" s="3">
        <v>6512743124</v>
      </c>
      <c r="C443" s="4" t="s">
        <v>29</v>
      </c>
      <c r="D443" s="4" t="s">
        <v>1185</v>
      </c>
      <c r="E443" s="4" t="s">
        <v>1186</v>
      </c>
      <c r="F443" s="4" t="s">
        <v>1187</v>
      </c>
      <c r="G443" s="4" t="s">
        <v>999</v>
      </c>
      <c r="H443" s="4" t="s">
        <v>1175</v>
      </c>
      <c r="I443" s="3">
        <v>2</v>
      </c>
      <c r="J443" s="29" t="str">
        <f t="shared" si="54"/>
        <v>0</v>
      </c>
      <c r="K443" s="54" t="str">
        <f t="shared" si="55"/>
        <v>0</v>
      </c>
      <c r="L443" s="69" t="str">
        <f t="shared" si="56"/>
        <v>0</v>
      </c>
      <c r="M443" s="74" t="str">
        <f t="shared" si="57"/>
        <v>1</v>
      </c>
      <c r="N443" s="29" t="str">
        <f t="shared" si="58"/>
        <v>0</v>
      </c>
      <c r="O443" s="61" t="str">
        <f t="shared" ca="1" si="59"/>
        <v>1</v>
      </c>
      <c r="P443" s="65" t="str">
        <f t="shared" si="60"/>
        <v>1</v>
      </c>
      <c r="Q443" s="46">
        <f t="shared" ca="1" si="62"/>
        <v>3</v>
      </c>
      <c r="R443" s="83" t="str">
        <f t="shared" ca="1" si="61"/>
        <v>ผ่าน</v>
      </c>
      <c r="S443" s="3" t="s">
        <v>28</v>
      </c>
      <c r="Y443" s="36">
        <v>6410106114</v>
      </c>
    </row>
    <row r="444" spans="1:25" ht="18" customHeight="1">
      <c r="A444" s="3">
        <v>442</v>
      </c>
      <c r="B444" s="3">
        <v>6512743215</v>
      </c>
      <c r="C444" s="4" t="s">
        <v>29</v>
      </c>
      <c r="D444" s="4" t="s">
        <v>1188</v>
      </c>
      <c r="E444" s="4" t="s">
        <v>1189</v>
      </c>
      <c r="F444" s="4" t="s">
        <v>216</v>
      </c>
      <c r="G444" s="4" t="s">
        <v>999</v>
      </c>
      <c r="H444" s="4" t="s">
        <v>1175</v>
      </c>
      <c r="I444" s="3">
        <v>2</v>
      </c>
      <c r="J444" s="29" t="str">
        <f t="shared" si="54"/>
        <v>1</v>
      </c>
      <c r="K444" s="54" t="str">
        <f t="shared" si="55"/>
        <v>1</v>
      </c>
      <c r="L444" s="69" t="str">
        <f t="shared" si="56"/>
        <v>0</v>
      </c>
      <c r="M444" s="74" t="str">
        <f t="shared" si="57"/>
        <v>1</v>
      </c>
      <c r="N444" s="29" t="str">
        <f t="shared" si="58"/>
        <v>0</v>
      </c>
      <c r="O444" s="61" t="str">
        <f t="shared" ca="1" si="59"/>
        <v>1</v>
      </c>
      <c r="P444" s="65" t="str">
        <f t="shared" si="60"/>
        <v>1</v>
      </c>
      <c r="Q444" s="46">
        <f t="shared" ca="1" si="62"/>
        <v>5</v>
      </c>
      <c r="R444" s="83" t="str">
        <f t="shared" ca="1" si="61"/>
        <v>ผ่าน</v>
      </c>
      <c r="S444" s="3" t="s">
        <v>28</v>
      </c>
      <c r="Y444" s="36">
        <v>6410106127</v>
      </c>
    </row>
    <row r="445" spans="1:25" ht="18" customHeight="1">
      <c r="A445" s="3">
        <v>443</v>
      </c>
      <c r="B445" s="3">
        <v>6512743224</v>
      </c>
      <c r="C445" s="4" t="s">
        <v>29</v>
      </c>
      <c r="D445" s="4" t="s">
        <v>1190</v>
      </c>
      <c r="E445" s="4" t="s">
        <v>1191</v>
      </c>
      <c r="F445" s="4" t="s">
        <v>1192</v>
      </c>
      <c r="G445" s="4" t="s">
        <v>999</v>
      </c>
      <c r="H445" s="4" t="s">
        <v>1175</v>
      </c>
      <c r="I445" s="3">
        <v>2</v>
      </c>
      <c r="J445" s="29" t="str">
        <f t="shared" si="54"/>
        <v>1</v>
      </c>
      <c r="K445" s="54" t="str">
        <f t="shared" si="55"/>
        <v>1</v>
      </c>
      <c r="L445" s="69" t="str">
        <f t="shared" si="56"/>
        <v>0</v>
      </c>
      <c r="M445" s="74" t="str">
        <f t="shared" si="57"/>
        <v>0</v>
      </c>
      <c r="N445" s="29" t="str">
        <f t="shared" si="58"/>
        <v>1</v>
      </c>
      <c r="O445" s="61" t="str">
        <f t="shared" ca="1" si="59"/>
        <v>1</v>
      </c>
      <c r="P445" s="65" t="str">
        <f t="shared" si="60"/>
        <v>1</v>
      </c>
      <c r="Q445" s="46">
        <f t="shared" ca="1" si="62"/>
        <v>5</v>
      </c>
      <c r="R445" s="83" t="str">
        <f t="shared" ca="1" si="61"/>
        <v>ผ่าน</v>
      </c>
      <c r="S445" s="3" t="s">
        <v>28</v>
      </c>
      <c r="Y445" s="36">
        <v>6410488118</v>
      </c>
    </row>
    <row r="446" spans="1:25" ht="18" customHeight="1">
      <c r="A446" s="3">
        <v>444</v>
      </c>
      <c r="B446" s="3">
        <v>6512743226</v>
      </c>
      <c r="C446" s="4" t="s">
        <v>29</v>
      </c>
      <c r="D446" s="4" t="s">
        <v>1126</v>
      </c>
      <c r="E446" s="4" t="s">
        <v>1193</v>
      </c>
      <c r="F446" s="4" t="s">
        <v>784</v>
      </c>
      <c r="G446" s="4" t="s">
        <v>999</v>
      </c>
      <c r="H446" s="4" t="s">
        <v>1175</v>
      </c>
      <c r="I446" s="3">
        <v>2</v>
      </c>
      <c r="J446" s="29" t="str">
        <f t="shared" si="54"/>
        <v>1</v>
      </c>
      <c r="K446" s="54" t="str">
        <f t="shared" si="55"/>
        <v>1</v>
      </c>
      <c r="L446" s="69" t="str">
        <f t="shared" si="56"/>
        <v>0</v>
      </c>
      <c r="M446" s="74" t="str">
        <f t="shared" si="57"/>
        <v>0</v>
      </c>
      <c r="N446" s="29" t="str">
        <f t="shared" si="58"/>
        <v>1</v>
      </c>
      <c r="O446" s="61" t="str">
        <f t="shared" ca="1" si="59"/>
        <v>1</v>
      </c>
      <c r="P446" s="65" t="str">
        <f t="shared" si="60"/>
        <v>1</v>
      </c>
      <c r="Q446" s="46">
        <f t="shared" ca="1" si="62"/>
        <v>5</v>
      </c>
      <c r="R446" s="83" t="str">
        <f t="shared" ca="1" si="61"/>
        <v>ผ่าน</v>
      </c>
      <c r="S446" s="3" t="s">
        <v>28</v>
      </c>
      <c r="Y446" s="36">
        <v>6410414122</v>
      </c>
    </row>
    <row r="447" spans="1:25" ht="18" customHeight="1">
      <c r="A447" s="3">
        <v>445</v>
      </c>
      <c r="B447" s="3">
        <v>6412743112</v>
      </c>
      <c r="C447" s="4" t="s">
        <v>29</v>
      </c>
      <c r="D447" s="4" t="s">
        <v>1194</v>
      </c>
      <c r="E447" s="4" t="s">
        <v>1195</v>
      </c>
      <c r="F447" s="4" t="s">
        <v>1196</v>
      </c>
      <c r="G447" s="4" t="s">
        <v>999</v>
      </c>
      <c r="H447" s="4" t="s">
        <v>1175</v>
      </c>
      <c r="I447" s="3">
        <v>3</v>
      </c>
      <c r="J447" s="29" t="str">
        <f t="shared" si="54"/>
        <v>1</v>
      </c>
      <c r="K447" s="54" t="str">
        <f t="shared" si="55"/>
        <v>0</v>
      </c>
      <c r="L447" s="69" t="str">
        <f t="shared" si="56"/>
        <v>1</v>
      </c>
      <c r="M447" s="74" t="str">
        <f t="shared" si="57"/>
        <v>1</v>
      </c>
      <c r="N447" s="29" t="str">
        <f t="shared" si="58"/>
        <v>0</v>
      </c>
      <c r="O447" s="61" t="str">
        <f t="shared" ca="1" si="59"/>
        <v>1</v>
      </c>
      <c r="P447" s="65" t="str">
        <f t="shared" si="60"/>
        <v>1</v>
      </c>
      <c r="Q447" s="46">
        <f t="shared" ca="1" si="62"/>
        <v>5</v>
      </c>
      <c r="R447" s="83" t="str">
        <f t="shared" ca="1" si="61"/>
        <v>ผ่าน</v>
      </c>
      <c r="S447" s="3" t="s">
        <v>28</v>
      </c>
      <c r="Y447" s="36">
        <v>6412743206</v>
      </c>
    </row>
    <row r="448" spans="1:25" ht="18" customHeight="1">
      <c r="A448" s="3">
        <v>446</v>
      </c>
      <c r="B448" s="3">
        <v>6412743113</v>
      </c>
      <c r="C448" s="4" t="s">
        <v>29</v>
      </c>
      <c r="D448" s="4" t="s">
        <v>1197</v>
      </c>
      <c r="E448" s="4" t="s">
        <v>1198</v>
      </c>
      <c r="F448" s="4" t="s">
        <v>1132</v>
      </c>
      <c r="G448" s="4" t="s">
        <v>999</v>
      </c>
      <c r="H448" s="4" t="s">
        <v>1175</v>
      </c>
      <c r="I448" s="3">
        <v>3</v>
      </c>
      <c r="J448" s="29" t="str">
        <f t="shared" si="54"/>
        <v>0</v>
      </c>
      <c r="K448" s="54">
        <v>1</v>
      </c>
      <c r="L448" s="69" t="str">
        <f t="shared" si="56"/>
        <v>0</v>
      </c>
      <c r="M448" s="74" t="str">
        <f t="shared" si="57"/>
        <v>1</v>
      </c>
      <c r="N448" s="29" t="str">
        <f t="shared" si="58"/>
        <v>0</v>
      </c>
      <c r="O448" s="61" t="str">
        <f t="shared" ca="1" si="59"/>
        <v>1</v>
      </c>
      <c r="P448" s="65" t="str">
        <f t="shared" si="60"/>
        <v>1</v>
      </c>
      <c r="Q448" s="46">
        <f t="shared" ca="1" si="62"/>
        <v>4</v>
      </c>
      <c r="R448" s="83" t="str">
        <f t="shared" ca="1" si="61"/>
        <v>ผ่าน</v>
      </c>
      <c r="S448" s="3" t="s">
        <v>28</v>
      </c>
      <c r="Y448" s="36">
        <v>6410414227</v>
      </c>
    </row>
    <row r="449" spans="1:25" ht="18" customHeight="1">
      <c r="A449" s="3">
        <v>447</v>
      </c>
      <c r="B449" s="3">
        <v>6412743122</v>
      </c>
      <c r="C449" s="4" t="s">
        <v>29</v>
      </c>
      <c r="D449" s="4" t="s">
        <v>1199</v>
      </c>
      <c r="E449" s="4" t="s">
        <v>1200</v>
      </c>
      <c r="F449" s="4" t="s">
        <v>1201</v>
      </c>
      <c r="G449" s="4" t="s">
        <v>999</v>
      </c>
      <c r="H449" s="4" t="s">
        <v>1175</v>
      </c>
      <c r="I449" s="3">
        <v>3</v>
      </c>
      <c r="J449" s="29" t="str">
        <f t="shared" si="54"/>
        <v>1</v>
      </c>
      <c r="K449" s="54" t="str">
        <f t="shared" si="55"/>
        <v>1</v>
      </c>
      <c r="L449" s="69" t="str">
        <f t="shared" si="56"/>
        <v>0</v>
      </c>
      <c r="M449" s="74" t="str">
        <f t="shared" si="57"/>
        <v>1</v>
      </c>
      <c r="N449" s="29" t="str">
        <f t="shared" si="58"/>
        <v>0</v>
      </c>
      <c r="O449" s="61" t="str">
        <f t="shared" ca="1" si="59"/>
        <v>1</v>
      </c>
      <c r="P449" s="65" t="str">
        <f t="shared" si="60"/>
        <v>1</v>
      </c>
      <c r="Q449" s="46">
        <f t="shared" ca="1" si="62"/>
        <v>5</v>
      </c>
      <c r="R449" s="83" t="str">
        <f t="shared" ca="1" si="61"/>
        <v>ผ่าน</v>
      </c>
      <c r="S449" s="3" t="s">
        <v>28</v>
      </c>
      <c r="Y449" s="36">
        <v>6410106209</v>
      </c>
    </row>
    <row r="450" spans="1:25" ht="18" customHeight="1">
      <c r="A450" s="3">
        <v>448</v>
      </c>
      <c r="B450" s="3">
        <v>6412743126</v>
      </c>
      <c r="C450" s="4" t="s">
        <v>29</v>
      </c>
      <c r="D450" s="4" t="s">
        <v>1202</v>
      </c>
      <c r="E450" s="4" t="s">
        <v>1203</v>
      </c>
      <c r="F450" s="4" t="s">
        <v>1204</v>
      </c>
      <c r="G450" s="4" t="s">
        <v>999</v>
      </c>
      <c r="H450" s="4" t="s">
        <v>1175</v>
      </c>
      <c r="I450" s="3">
        <v>3</v>
      </c>
      <c r="J450" s="29" t="str">
        <f t="shared" si="54"/>
        <v>0</v>
      </c>
      <c r="K450" s="54">
        <v>1</v>
      </c>
      <c r="L450" s="69" t="str">
        <f t="shared" si="56"/>
        <v>0</v>
      </c>
      <c r="M450" s="74" t="str">
        <f t="shared" si="57"/>
        <v>1</v>
      </c>
      <c r="N450" s="29" t="str">
        <f t="shared" si="58"/>
        <v>0</v>
      </c>
      <c r="O450" s="61" t="str">
        <f t="shared" ca="1" si="59"/>
        <v>1</v>
      </c>
      <c r="P450" s="65" t="str">
        <f t="shared" si="60"/>
        <v>1</v>
      </c>
      <c r="Q450" s="46">
        <f t="shared" ca="1" si="62"/>
        <v>4</v>
      </c>
      <c r="R450" s="83" t="str">
        <f t="shared" ca="1" si="61"/>
        <v>ผ่าน</v>
      </c>
      <c r="S450" s="3" t="s">
        <v>28</v>
      </c>
      <c r="Y450" s="36">
        <v>6410414211</v>
      </c>
    </row>
    <row r="451" spans="1:25" ht="18" customHeight="1">
      <c r="A451" s="3">
        <v>449</v>
      </c>
      <c r="B451" s="3">
        <v>6412743131</v>
      </c>
      <c r="C451" s="4" t="s">
        <v>29</v>
      </c>
      <c r="D451" s="4" t="s">
        <v>1205</v>
      </c>
      <c r="E451" s="4" t="s">
        <v>1206</v>
      </c>
      <c r="F451" s="4" t="s">
        <v>190</v>
      </c>
      <c r="G451" s="4" t="s">
        <v>999</v>
      </c>
      <c r="H451" s="4" t="s">
        <v>1175</v>
      </c>
      <c r="I451" s="3">
        <v>3</v>
      </c>
      <c r="J451" s="29" t="str">
        <f t="shared" ref="J451:J514" si="63">IF(IFERROR(VLOOKUP(B451,DATA,1,FALSE),),"1","0")</f>
        <v>1</v>
      </c>
      <c r="K451" s="54" t="str">
        <f t="shared" ref="K451:K514" si="64">IF(IFERROR(VLOOKUP(B451,DATA8,1,FALSE),),"1","0")</f>
        <v>1</v>
      </c>
      <c r="L451" s="69" t="str">
        <f t="shared" ref="L451:L463" si="65">IF(IFERROR(VLOOKUP(B451,DATA7,1,FALSE),),"1","0")</f>
        <v>0</v>
      </c>
      <c r="M451" s="74" t="str">
        <f t="shared" ref="M451:M514" si="66">IF(IFERROR(VLOOKUP(B451,DATA9,1,FALSE),),"1","0")</f>
        <v>1</v>
      </c>
      <c r="N451" s="29" t="str">
        <f t="shared" ref="N451:N514" si="67">IF(IFERROR(VLOOKUP(B451,DATA10,1,FALSE),),"1","0")</f>
        <v>0</v>
      </c>
      <c r="O451" s="61" t="str">
        <f t="shared" ref="O451:O514" ca="1" si="68">IF(IFERROR(VLOOKUP(B451,DATA11,1,FALSE),),"1","0")</f>
        <v>1</v>
      </c>
      <c r="P451" s="65" t="str">
        <f t="shared" ref="P451:P514" si="69">IF(IFERROR(VLOOKUP(B451,DATA12,1,FALSE),),"1","0")</f>
        <v>1</v>
      </c>
      <c r="Q451" s="46">
        <f t="shared" ca="1" si="62"/>
        <v>5</v>
      </c>
      <c r="R451" s="83" t="str">
        <f t="shared" ref="R451:R514" ca="1" si="70">IF(Q451&gt;=3,"ผ่าน",IF(Q451&lt;3,"ไม่ผ่าน"))</f>
        <v>ผ่าน</v>
      </c>
      <c r="S451" s="3" t="s">
        <v>28</v>
      </c>
      <c r="Y451" s="36">
        <v>6512798152</v>
      </c>
    </row>
    <row r="452" spans="1:25" ht="18" customHeight="1">
      <c r="A452" s="3">
        <v>450</v>
      </c>
      <c r="B452" s="3">
        <v>6412743133</v>
      </c>
      <c r="C452" s="4" t="s">
        <v>29</v>
      </c>
      <c r="D452" s="4" t="s">
        <v>1207</v>
      </c>
      <c r="E452" s="4" t="s">
        <v>1208</v>
      </c>
      <c r="F452" s="4" t="s">
        <v>190</v>
      </c>
      <c r="G452" s="4" t="s">
        <v>999</v>
      </c>
      <c r="H452" s="4" t="s">
        <v>1175</v>
      </c>
      <c r="I452" s="3">
        <v>3</v>
      </c>
      <c r="J452" s="29" t="str">
        <f t="shared" si="63"/>
        <v>1</v>
      </c>
      <c r="K452" s="54">
        <v>1</v>
      </c>
      <c r="L452" s="69" t="str">
        <f t="shared" si="65"/>
        <v>0</v>
      </c>
      <c r="M452" s="74" t="str">
        <f t="shared" si="66"/>
        <v>1</v>
      </c>
      <c r="N452" s="29" t="str">
        <f t="shared" si="67"/>
        <v>0</v>
      </c>
      <c r="O452" s="61" t="str">
        <f t="shared" ca="1" si="68"/>
        <v>1</v>
      </c>
      <c r="P452" s="65" t="str">
        <f t="shared" si="69"/>
        <v>1</v>
      </c>
      <c r="Q452" s="46">
        <f t="shared" ref="Q452:Q515" ca="1" si="71">J452+K452+L452+M452+N452+O452+P452</f>
        <v>5</v>
      </c>
      <c r="R452" s="83" t="str">
        <f t="shared" ca="1" si="70"/>
        <v>ผ่าน</v>
      </c>
      <c r="S452" s="3" t="s">
        <v>28</v>
      </c>
      <c r="Y452" s="36">
        <v>6412743220</v>
      </c>
    </row>
    <row r="453" spans="1:25" ht="18" customHeight="1">
      <c r="A453" s="3">
        <v>451</v>
      </c>
      <c r="B453" s="3">
        <v>6412743137</v>
      </c>
      <c r="C453" s="4" t="s">
        <v>29</v>
      </c>
      <c r="D453" s="4" t="s">
        <v>1165</v>
      </c>
      <c r="E453" s="4" t="s">
        <v>1209</v>
      </c>
      <c r="F453" s="4" t="s">
        <v>1210</v>
      </c>
      <c r="G453" s="4" t="s">
        <v>999</v>
      </c>
      <c r="H453" s="4" t="s">
        <v>1175</v>
      </c>
      <c r="I453" s="3">
        <v>3</v>
      </c>
      <c r="J453" s="29" t="str">
        <f t="shared" si="63"/>
        <v>0</v>
      </c>
      <c r="K453" s="54">
        <v>1</v>
      </c>
      <c r="L453" s="69" t="str">
        <f t="shared" si="65"/>
        <v>0</v>
      </c>
      <c r="M453" s="74" t="str">
        <f t="shared" si="66"/>
        <v>0</v>
      </c>
      <c r="N453" s="29" t="str">
        <f t="shared" si="67"/>
        <v>0</v>
      </c>
      <c r="O453" s="61" t="str">
        <f t="shared" ca="1" si="68"/>
        <v>1</v>
      </c>
      <c r="P453" s="65" t="str">
        <f t="shared" si="69"/>
        <v>1</v>
      </c>
      <c r="Q453" s="46">
        <f t="shared" ca="1" si="71"/>
        <v>3</v>
      </c>
      <c r="R453" s="83" t="str">
        <f t="shared" ca="1" si="70"/>
        <v>ผ่าน</v>
      </c>
      <c r="S453" s="3" t="s">
        <v>28</v>
      </c>
      <c r="Y453" s="36">
        <v>6412743229</v>
      </c>
    </row>
    <row r="454" spans="1:25" ht="18" customHeight="1">
      <c r="A454" s="3">
        <v>452</v>
      </c>
      <c r="B454" s="3">
        <v>6412743138</v>
      </c>
      <c r="C454" s="4" t="s">
        <v>29</v>
      </c>
      <c r="D454" s="4" t="s">
        <v>217</v>
      </c>
      <c r="E454" s="4" t="s">
        <v>1211</v>
      </c>
      <c r="F454" s="4" t="s">
        <v>938</v>
      </c>
      <c r="G454" s="4" t="s">
        <v>999</v>
      </c>
      <c r="H454" s="4" t="s">
        <v>1175</v>
      </c>
      <c r="I454" s="3">
        <v>3</v>
      </c>
      <c r="J454" s="29" t="str">
        <f t="shared" si="63"/>
        <v>0</v>
      </c>
      <c r="K454" s="54">
        <v>1</v>
      </c>
      <c r="L454" s="69" t="str">
        <f t="shared" si="65"/>
        <v>0</v>
      </c>
      <c r="M454" s="74" t="str">
        <f t="shared" si="66"/>
        <v>0</v>
      </c>
      <c r="N454" s="29" t="str">
        <f t="shared" si="67"/>
        <v>0</v>
      </c>
      <c r="O454" s="61" t="str">
        <f t="shared" ca="1" si="68"/>
        <v>1</v>
      </c>
      <c r="P454" s="65" t="str">
        <f t="shared" si="69"/>
        <v>1</v>
      </c>
      <c r="Q454" s="46">
        <f t="shared" ca="1" si="71"/>
        <v>3</v>
      </c>
      <c r="R454" s="83" t="str">
        <f t="shared" ca="1" si="70"/>
        <v>ผ่าน</v>
      </c>
      <c r="S454" s="3" t="s">
        <v>28</v>
      </c>
      <c r="Y454" s="36">
        <v>6410073119</v>
      </c>
    </row>
    <row r="455" spans="1:25" ht="18" customHeight="1">
      <c r="A455" s="3">
        <v>453</v>
      </c>
      <c r="B455" s="3">
        <v>6412743142</v>
      </c>
      <c r="C455" s="4" t="s">
        <v>29</v>
      </c>
      <c r="D455" s="4" t="s">
        <v>1212</v>
      </c>
      <c r="E455" s="4" t="s">
        <v>1213</v>
      </c>
      <c r="F455" s="4" t="s">
        <v>1214</v>
      </c>
      <c r="G455" s="4" t="s">
        <v>999</v>
      </c>
      <c r="H455" s="4" t="s">
        <v>1175</v>
      </c>
      <c r="I455" s="3">
        <v>3</v>
      </c>
      <c r="J455" s="29" t="str">
        <f t="shared" si="63"/>
        <v>1</v>
      </c>
      <c r="K455" s="54" t="str">
        <f t="shared" si="64"/>
        <v>0</v>
      </c>
      <c r="L455" s="69" t="str">
        <f t="shared" si="65"/>
        <v>1</v>
      </c>
      <c r="M455" s="74" t="str">
        <f t="shared" si="66"/>
        <v>1</v>
      </c>
      <c r="N455" s="29" t="str">
        <f t="shared" si="67"/>
        <v>0</v>
      </c>
      <c r="O455" s="61" t="str">
        <f t="shared" ca="1" si="68"/>
        <v>1</v>
      </c>
      <c r="P455" s="65" t="str">
        <f t="shared" si="69"/>
        <v>1</v>
      </c>
      <c r="Q455" s="46">
        <f t="shared" ca="1" si="71"/>
        <v>5</v>
      </c>
      <c r="R455" s="83" t="str">
        <f t="shared" ca="1" si="70"/>
        <v>ผ่าน</v>
      </c>
      <c r="S455" s="3" t="s">
        <v>28</v>
      </c>
      <c r="Y455" s="36">
        <v>6410207225</v>
      </c>
    </row>
    <row r="456" spans="1:25" ht="18" customHeight="1">
      <c r="A456" s="3">
        <v>454</v>
      </c>
      <c r="B456" s="3">
        <v>6412743149</v>
      </c>
      <c r="C456" s="4" t="s">
        <v>29</v>
      </c>
      <c r="D456" s="4" t="s">
        <v>1170</v>
      </c>
      <c r="E456" s="4" t="s">
        <v>1215</v>
      </c>
      <c r="F456" s="4" t="s">
        <v>1216</v>
      </c>
      <c r="G456" s="4" t="s">
        <v>999</v>
      </c>
      <c r="H456" s="4" t="s">
        <v>1175</v>
      </c>
      <c r="I456" s="3">
        <v>3</v>
      </c>
      <c r="J456" s="29" t="str">
        <f t="shared" si="63"/>
        <v>0</v>
      </c>
      <c r="K456" s="54">
        <v>1</v>
      </c>
      <c r="L456" s="69" t="str">
        <f t="shared" si="65"/>
        <v>0</v>
      </c>
      <c r="M456" s="74" t="str">
        <f t="shared" si="66"/>
        <v>0</v>
      </c>
      <c r="N456" s="29" t="str">
        <f t="shared" si="67"/>
        <v>0</v>
      </c>
      <c r="O456" s="61" t="str">
        <f t="shared" ca="1" si="68"/>
        <v>0</v>
      </c>
      <c r="P456" s="65" t="str">
        <f t="shared" si="69"/>
        <v>1</v>
      </c>
      <c r="Q456" s="46">
        <f t="shared" ca="1" si="71"/>
        <v>2</v>
      </c>
      <c r="R456" s="3" t="str">
        <f t="shared" ca="1" si="70"/>
        <v>ไม่ผ่าน</v>
      </c>
      <c r="S456" s="3" t="s">
        <v>28</v>
      </c>
      <c r="Y456" s="36">
        <v>6410414224</v>
      </c>
    </row>
    <row r="457" spans="1:25" ht="18" customHeight="1">
      <c r="A457" s="3">
        <v>455</v>
      </c>
      <c r="B457" s="3">
        <v>6412743150</v>
      </c>
      <c r="C457" s="4" t="s">
        <v>22</v>
      </c>
      <c r="D457" s="4" t="s">
        <v>1217</v>
      </c>
      <c r="E457" s="4" t="s">
        <v>1218</v>
      </c>
      <c r="F457" s="4" t="s">
        <v>1219</v>
      </c>
      <c r="G457" s="4" t="s">
        <v>999</v>
      </c>
      <c r="H457" s="4" t="s">
        <v>1175</v>
      </c>
      <c r="I457" s="3">
        <v>3</v>
      </c>
      <c r="J457" s="29" t="str">
        <f t="shared" si="63"/>
        <v>1</v>
      </c>
      <c r="K457" s="54" t="str">
        <f t="shared" si="64"/>
        <v>1</v>
      </c>
      <c r="L457" s="69" t="str">
        <f t="shared" si="65"/>
        <v>0</v>
      </c>
      <c r="M457" s="74" t="str">
        <f t="shared" si="66"/>
        <v>1</v>
      </c>
      <c r="N457" s="29" t="str">
        <f t="shared" si="67"/>
        <v>0</v>
      </c>
      <c r="O457" s="61" t="str">
        <f t="shared" ca="1" si="68"/>
        <v>1</v>
      </c>
      <c r="P457" s="65" t="str">
        <f t="shared" si="69"/>
        <v>1</v>
      </c>
      <c r="Q457" s="46">
        <f t="shared" ca="1" si="71"/>
        <v>5</v>
      </c>
      <c r="R457" s="83" t="str">
        <f t="shared" ca="1" si="70"/>
        <v>ผ่าน</v>
      </c>
      <c r="S457" s="3" t="s">
        <v>28</v>
      </c>
      <c r="Y457" s="36">
        <v>6410207205</v>
      </c>
    </row>
    <row r="458" spans="1:25" ht="18" customHeight="1">
      <c r="A458" s="3">
        <v>456</v>
      </c>
      <c r="B458" s="3">
        <v>6412743202</v>
      </c>
      <c r="C458" s="4" t="s">
        <v>22</v>
      </c>
      <c r="D458" s="4" t="s">
        <v>1220</v>
      </c>
      <c r="E458" s="4" t="s">
        <v>1221</v>
      </c>
      <c r="F458" s="4" t="s">
        <v>1222</v>
      </c>
      <c r="G458" s="4" t="s">
        <v>999</v>
      </c>
      <c r="H458" s="4" t="s">
        <v>1175</v>
      </c>
      <c r="I458" s="3">
        <v>3</v>
      </c>
      <c r="J458" s="29" t="str">
        <f t="shared" si="63"/>
        <v>1</v>
      </c>
      <c r="K458" s="54">
        <v>1</v>
      </c>
      <c r="L458" s="69" t="str">
        <f t="shared" si="65"/>
        <v>0</v>
      </c>
      <c r="M458" s="74" t="str">
        <f t="shared" si="66"/>
        <v>1</v>
      </c>
      <c r="N458" s="29" t="str">
        <f t="shared" si="67"/>
        <v>0</v>
      </c>
      <c r="O458" s="61" t="str">
        <f t="shared" ca="1" si="68"/>
        <v>1</v>
      </c>
      <c r="P458" s="65" t="str">
        <f t="shared" si="69"/>
        <v>1</v>
      </c>
      <c r="Q458" s="46">
        <f t="shared" ca="1" si="71"/>
        <v>5</v>
      </c>
      <c r="R458" s="83" t="str">
        <f t="shared" ca="1" si="70"/>
        <v>ผ่าน</v>
      </c>
      <c r="S458" s="3" t="s">
        <v>28</v>
      </c>
      <c r="Y458" s="36">
        <v>6511506215</v>
      </c>
    </row>
    <row r="459" spans="1:25" ht="18" customHeight="1">
      <c r="A459" s="3">
        <v>457</v>
      </c>
      <c r="B459" s="3">
        <v>6412743204</v>
      </c>
      <c r="C459" s="4" t="s">
        <v>22</v>
      </c>
      <c r="D459" s="4" t="s">
        <v>1223</v>
      </c>
      <c r="E459" s="4" t="s">
        <v>1224</v>
      </c>
      <c r="F459" s="4" t="s">
        <v>1225</v>
      </c>
      <c r="G459" s="4" t="s">
        <v>999</v>
      </c>
      <c r="H459" s="4" t="s">
        <v>1175</v>
      </c>
      <c r="I459" s="3">
        <v>3</v>
      </c>
      <c r="J459" s="29" t="str">
        <f t="shared" si="63"/>
        <v>0</v>
      </c>
      <c r="K459" s="54">
        <v>1</v>
      </c>
      <c r="L459" s="69" t="str">
        <f t="shared" si="65"/>
        <v>0</v>
      </c>
      <c r="M459" s="74" t="str">
        <f t="shared" si="66"/>
        <v>0</v>
      </c>
      <c r="N459" s="29" t="str">
        <f t="shared" si="67"/>
        <v>0</v>
      </c>
      <c r="O459" s="61" t="str">
        <f t="shared" ca="1" si="68"/>
        <v>0</v>
      </c>
      <c r="P459" s="65" t="str">
        <f t="shared" si="69"/>
        <v>1</v>
      </c>
      <c r="Q459" s="46">
        <f t="shared" ca="1" si="71"/>
        <v>2</v>
      </c>
      <c r="R459" s="3" t="str">
        <f t="shared" ca="1" si="70"/>
        <v>ไม่ผ่าน</v>
      </c>
      <c r="S459" s="3" t="s">
        <v>28</v>
      </c>
      <c r="Y459" s="36">
        <v>6512798113</v>
      </c>
    </row>
    <row r="460" spans="1:25" ht="18" customHeight="1">
      <c r="A460" s="3">
        <v>458</v>
      </c>
      <c r="B460" s="3">
        <v>6412743206</v>
      </c>
      <c r="C460" s="4" t="s">
        <v>22</v>
      </c>
      <c r="D460" s="4" t="s">
        <v>1226</v>
      </c>
      <c r="E460" s="4" t="s">
        <v>1227</v>
      </c>
      <c r="F460" s="4" t="s">
        <v>1228</v>
      </c>
      <c r="G460" s="4" t="s">
        <v>999</v>
      </c>
      <c r="H460" s="4" t="s">
        <v>1175</v>
      </c>
      <c r="I460" s="3">
        <v>3</v>
      </c>
      <c r="J460" s="29" t="str">
        <f t="shared" si="63"/>
        <v>1</v>
      </c>
      <c r="K460" s="54" t="str">
        <f t="shared" si="64"/>
        <v>0</v>
      </c>
      <c r="L460" s="69" t="str">
        <f t="shared" si="65"/>
        <v>1</v>
      </c>
      <c r="M460" s="74" t="str">
        <f t="shared" si="66"/>
        <v>1</v>
      </c>
      <c r="N460" s="29" t="str">
        <f t="shared" si="67"/>
        <v>0</v>
      </c>
      <c r="O460" s="61" t="str">
        <f t="shared" ca="1" si="68"/>
        <v>1</v>
      </c>
      <c r="P460" s="65" t="str">
        <f t="shared" si="69"/>
        <v>1</v>
      </c>
      <c r="Q460" s="46">
        <f t="shared" ca="1" si="71"/>
        <v>5</v>
      </c>
      <c r="R460" s="83" t="str">
        <f t="shared" ca="1" si="70"/>
        <v>ผ่าน</v>
      </c>
      <c r="S460" s="3" t="s">
        <v>28</v>
      </c>
      <c r="Y460" s="36">
        <v>6610403124</v>
      </c>
    </row>
    <row r="461" spans="1:25" ht="18" customHeight="1">
      <c r="A461" s="3">
        <v>459</v>
      </c>
      <c r="B461" s="3">
        <v>6412743207</v>
      </c>
      <c r="C461" s="4" t="s">
        <v>22</v>
      </c>
      <c r="D461" s="4" t="s">
        <v>1229</v>
      </c>
      <c r="E461" s="4" t="s">
        <v>1230</v>
      </c>
      <c r="F461" s="4" t="s">
        <v>1231</v>
      </c>
      <c r="G461" s="4" t="s">
        <v>999</v>
      </c>
      <c r="H461" s="4" t="s">
        <v>1175</v>
      </c>
      <c r="I461" s="3">
        <v>3</v>
      </c>
      <c r="J461" s="29" t="str">
        <f t="shared" si="63"/>
        <v>1</v>
      </c>
      <c r="K461" s="54" t="str">
        <f t="shared" si="64"/>
        <v>1</v>
      </c>
      <c r="L461" s="69" t="str">
        <f t="shared" si="65"/>
        <v>0</v>
      </c>
      <c r="M461" s="74" t="str">
        <f t="shared" si="66"/>
        <v>1</v>
      </c>
      <c r="N461" s="29" t="str">
        <f t="shared" si="67"/>
        <v>0</v>
      </c>
      <c r="O461" s="61" t="str">
        <f t="shared" ca="1" si="68"/>
        <v>1</v>
      </c>
      <c r="P461" s="65" t="str">
        <f t="shared" si="69"/>
        <v>1</v>
      </c>
      <c r="Q461" s="46">
        <f t="shared" ca="1" si="71"/>
        <v>5</v>
      </c>
      <c r="R461" s="83" t="str">
        <f t="shared" ca="1" si="70"/>
        <v>ผ่าน</v>
      </c>
      <c r="S461" s="3" t="s">
        <v>28</v>
      </c>
      <c r="Y461" s="36">
        <v>6410488206</v>
      </c>
    </row>
    <row r="462" spans="1:25" ht="18" customHeight="1">
      <c r="A462" s="3">
        <v>460</v>
      </c>
      <c r="B462" s="3">
        <v>6412743215</v>
      </c>
      <c r="C462" s="4" t="s">
        <v>29</v>
      </c>
      <c r="D462" s="4" t="s">
        <v>1232</v>
      </c>
      <c r="E462" s="4" t="s">
        <v>1233</v>
      </c>
      <c r="F462" s="4" t="s">
        <v>1234</v>
      </c>
      <c r="G462" s="4" t="s">
        <v>999</v>
      </c>
      <c r="H462" s="4" t="s">
        <v>1175</v>
      </c>
      <c r="I462" s="3">
        <v>3</v>
      </c>
      <c r="J462" s="29" t="str">
        <f t="shared" si="63"/>
        <v>0</v>
      </c>
      <c r="K462" s="54" t="str">
        <f t="shared" si="64"/>
        <v>0</v>
      </c>
      <c r="L462" s="69" t="str">
        <f t="shared" si="65"/>
        <v>0</v>
      </c>
      <c r="M462" s="74" t="str">
        <f t="shared" si="66"/>
        <v>1</v>
      </c>
      <c r="N462" s="29" t="str">
        <f t="shared" si="67"/>
        <v>0</v>
      </c>
      <c r="O462" s="61" t="str">
        <f t="shared" ca="1" si="68"/>
        <v>1</v>
      </c>
      <c r="P462" s="65" t="str">
        <f t="shared" si="69"/>
        <v>1</v>
      </c>
      <c r="Q462" s="46">
        <f t="shared" ca="1" si="71"/>
        <v>3</v>
      </c>
      <c r="R462" s="83" t="str">
        <f t="shared" ca="1" si="70"/>
        <v>ผ่าน</v>
      </c>
      <c r="S462" s="3" t="s">
        <v>28</v>
      </c>
      <c r="Y462" s="36">
        <v>6412269124</v>
      </c>
    </row>
    <row r="463" spans="1:25" ht="18" customHeight="1">
      <c r="A463" s="3">
        <v>461</v>
      </c>
      <c r="B463" s="3">
        <v>6412743220</v>
      </c>
      <c r="C463" s="4" t="s">
        <v>29</v>
      </c>
      <c r="D463" s="4" t="s">
        <v>1235</v>
      </c>
      <c r="E463" s="4" t="s">
        <v>1236</v>
      </c>
      <c r="F463" s="4" t="s">
        <v>507</v>
      </c>
      <c r="G463" s="4" t="s">
        <v>999</v>
      </c>
      <c r="H463" s="4" t="s">
        <v>1175</v>
      </c>
      <c r="I463" s="3">
        <v>3</v>
      </c>
      <c r="J463" s="29" t="str">
        <f t="shared" si="63"/>
        <v>0</v>
      </c>
      <c r="K463" s="54">
        <v>1</v>
      </c>
      <c r="L463" s="69" t="str">
        <f t="shared" si="65"/>
        <v>0</v>
      </c>
      <c r="M463" s="74" t="str">
        <f t="shared" si="66"/>
        <v>0</v>
      </c>
      <c r="N463" s="29" t="str">
        <f t="shared" si="67"/>
        <v>0</v>
      </c>
      <c r="O463" s="61" t="str">
        <f t="shared" ca="1" si="68"/>
        <v>1</v>
      </c>
      <c r="P463" s="65" t="str">
        <f t="shared" si="69"/>
        <v>1</v>
      </c>
      <c r="Q463" s="46">
        <f t="shared" ca="1" si="71"/>
        <v>3</v>
      </c>
      <c r="R463" s="83" t="str">
        <f t="shared" ca="1" si="70"/>
        <v>ผ่าน</v>
      </c>
      <c r="S463" s="3" t="s">
        <v>28</v>
      </c>
      <c r="Y463" s="36">
        <v>6510488204</v>
      </c>
    </row>
    <row r="464" spans="1:25" ht="18" customHeight="1">
      <c r="A464" s="3">
        <v>462</v>
      </c>
      <c r="B464" s="3">
        <v>6412743226</v>
      </c>
      <c r="C464" s="4" t="s">
        <v>29</v>
      </c>
      <c r="D464" s="4" t="s">
        <v>1237</v>
      </c>
      <c r="E464" s="4" t="s">
        <v>1238</v>
      </c>
      <c r="F464" s="4" t="s">
        <v>924</v>
      </c>
      <c r="G464" s="4" t="s">
        <v>999</v>
      </c>
      <c r="H464" s="4" t="s">
        <v>1175</v>
      </c>
      <c r="I464" s="3">
        <v>3</v>
      </c>
      <c r="J464" s="29" t="str">
        <f t="shared" si="63"/>
        <v>0</v>
      </c>
      <c r="K464" s="54" t="str">
        <f t="shared" si="64"/>
        <v>0</v>
      </c>
      <c r="L464" s="69">
        <v>1</v>
      </c>
      <c r="M464" s="74" t="str">
        <f t="shared" si="66"/>
        <v>1</v>
      </c>
      <c r="N464" s="29" t="str">
        <f t="shared" si="67"/>
        <v>0</v>
      </c>
      <c r="O464" s="61" t="str">
        <f t="shared" ca="1" si="68"/>
        <v>1</v>
      </c>
      <c r="P464" s="65" t="str">
        <f t="shared" si="69"/>
        <v>1</v>
      </c>
      <c r="Q464" s="46">
        <f t="shared" ca="1" si="71"/>
        <v>4</v>
      </c>
      <c r="R464" s="83" t="str">
        <f t="shared" ca="1" si="70"/>
        <v>ผ่าน</v>
      </c>
      <c r="S464" s="3" t="s">
        <v>28</v>
      </c>
      <c r="Y464" s="36">
        <v>6410488104</v>
      </c>
    </row>
    <row r="465" spans="1:25" ht="18" customHeight="1">
      <c r="A465" s="3">
        <v>463</v>
      </c>
      <c r="B465" s="3">
        <v>6412743228</v>
      </c>
      <c r="C465" s="4" t="s">
        <v>29</v>
      </c>
      <c r="D465" s="4" t="s">
        <v>1239</v>
      </c>
      <c r="E465" s="4" t="s">
        <v>1240</v>
      </c>
      <c r="F465" s="4" t="s">
        <v>949</v>
      </c>
      <c r="G465" s="4" t="s">
        <v>999</v>
      </c>
      <c r="H465" s="4" t="s">
        <v>1175</v>
      </c>
      <c r="I465" s="3">
        <v>3</v>
      </c>
      <c r="J465" s="29" t="str">
        <f t="shared" si="63"/>
        <v>1</v>
      </c>
      <c r="K465" s="54" t="str">
        <f t="shared" si="64"/>
        <v>1</v>
      </c>
      <c r="L465" s="69" t="str">
        <f t="shared" ref="L465:L528" si="72">IF(IFERROR(VLOOKUP(B465,DATA7,1,FALSE),),"1","0")</f>
        <v>0</v>
      </c>
      <c r="M465" s="74" t="str">
        <f t="shared" si="66"/>
        <v>1</v>
      </c>
      <c r="N465" s="29" t="str">
        <f t="shared" si="67"/>
        <v>0</v>
      </c>
      <c r="O465" s="61" t="str">
        <f t="shared" ca="1" si="68"/>
        <v>1</v>
      </c>
      <c r="P465" s="65" t="str">
        <f t="shared" si="69"/>
        <v>1</v>
      </c>
      <c r="Q465" s="46">
        <f t="shared" ca="1" si="71"/>
        <v>5</v>
      </c>
      <c r="R465" s="83" t="str">
        <f t="shared" ca="1" si="70"/>
        <v>ผ่าน</v>
      </c>
      <c r="S465" s="3" t="s">
        <v>28</v>
      </c>
      <c r="Y465" s="36">
        <v>6410073107</v>
      </c>
    </row>
    <row r="466" spans="1:25" ht="18" customHeight="1">
      <c r="A466" s="3">
        <v>464</v>
      </c>
      <c r="B466" s="3">
        <v>6412743229</v>
      </c>
      <c r="C466" s="4" t="s">
        <v>29</v>
      </c>
      <c r="D466" s="4" t="s">
        <v>1241</v>
      </c>
      <c r="E466" s="4" t="s">
        <v>1242</v>
      </c>
      <c r="F466" s="4" t="s">
        <v>1243</v>
      </c>
      <c r="G466" s="4" t="s">
        <v>999</v>
      </c>
      <c r="H466" s="4" t="s">
        <v>1175</v>
      </c>
      <c r="I466" s="3">
        <v>3</v>
      </c>
      <c r="J466" s="29" t="str">
        <f t="shared" si="63"/>
        <v>0</v>
      </c>
      <c r="K466" s="54" t="str">
        <f t="shared" si="64"/>
        <v>0</v>
      </c>
      <c r="L466" s="69" t="str">
        <f t="shared" si="72"/>
        <v>0</v>
      </c>
      <c r="M466" s="74" t="str">
        <f t="shared" si="66"/>
        <v>1</v>
      </c>
      <c r="N466" s="29" t="str">
        <f t="shared" si="67"/>
        <v>0</v>
      </c>
      <c r="O466" s="61" t="str">
        <f t="shared" ca="1" si="68"/>
        <v>1</v>
      </c>
      <c r="P466" s="65" t="str">
        <f t="shared" si="69"/>
        <v>1</v>
      </c>
      <c r="Q466" s="46">
        <f t="shared" ca="1" si="71"/>
        <v>3</v>
      </c>
      <c r="R466" s="83" t="str">
        <f t="shared" ca="1" si="70"/>
        <v>ผ่าน</v>
      </c>
      <c r="S466" s="3" t="s">
        <v>28</v>
      </c>
      <c r="Y466" s="36">
        <v>6410403213</v>
      </c>
    </row>
    <row r="467" spans="1:25" ht="18" customHeight="1">
      <c r="A467" s="3">
        <v>465</v>
      </c>
      <c r="B467" s="3">
        <v>6412743233</v>
      </c>
      <c r="C467" s="4" t="s">
        <v>29</v>
      </c>
      <c r="D467" s="4" t="s">
        <v>1244</v>
      </c>
      <c r="E467" s="4" t="s">
        <v>1245</v>
      </c>
      <c r="F467" s="4" t="s">
        <v>409</v>
      </c>
      <c r="G467" s="4" t="s">
        <v>999</v>
      </c>
      <c r="H467" s="4" t="s">
        <v>1175</v>
      </c>
      <c r="I467" s="3">
        <v>3</v>
      </c>
      <c r="J467" s="29" t="str">
        <f t="shared" si="63"/>
        <v>0</v>
      </c>
      <c r="K467" s="54">
        <v>1</v>
      </c>
      <c r="L467" s="69" t="str">
        <f t="shared" si="72"/>
        <v>0</v>
      </c>
      <c r="M467" s="74" t="str">
        <f t="shared" si="66"/>
        <v>0</v>
      </c>
      <c r="N467" s="29" t="str">
        <f t="shared" si="67"/>
        <v>0</v>
      </c>
      <c r="O467" s="61" t="str">
        <f t="shared" ca="1" si="68"/>
        <v>0</v>
      </c>
      <c r="P467" s="65" t="str">
        <f t="shared" si="69"/>
        <v>0</v>
      </c>
      <c r="Q467" s="46">
        <f t="shared" ca="1" si="71"/>
        <v>1</v>
      </c>
      <c r="R467" s="3" t="str">
        <f t="shared" ca="1" si="70"/>
        <v>ไม่ผ่าน</v>
      </c>
      <c r="S467" s="3" t="s">
        <v>28</v>
      </c>
      <c r="Y467" s="36">
        <v>6410488204</v>
      </c>
    </row>
    <row r="468" spans="1:25" ht="18" customHeight="1">
      <c r="A468" s="3">
        <v>466</v>
      </c>
      <c r="B468" s="3">
        <v>6412743238</v>
      </c>
      <c r="C468" s="4" t="s">
        <v>29</v>
      </c>
      <c r="D468" s="4" t="s">
        <v>1246</v>
      </c>
      <c r="E468" s="4" t="s">
        <v>1247</v>
      </c>
      <c r="F468" s="4" t="s">
        <v>322</v>
      </c>
      <c r="G468" s="4" t="s">
        <v>999</v>
      </c>
      <c r="H468" s="4" t="s">
        <v>1175</v>
      </c>
      <c r="I468" s="3">
        <v>3</v>
      </c>
      <c r="J468" s="29" t="str">
        <f t="shared" si="63"/>
        <v>0</v>
      </c>
      <c r="K468" s="54" t="str">
        <f t="shared" si="64"/>
        <v>0</v>
      </c>
      <c r="L468" s="69" t="str">
        <f t="shared" si="72"/>
        <v>0</v>
      </c>
      <c r="M468" s="74" t="str">
        <f t="shared" si="66"/>
        <v>0</v>
      </c>
      <c r="N468" s="29" t="str">
        <f t="shared" si="67"/>
        <v>0</v>
      </c>
      <c r="O468" s="61" t="str">
        <f t="shared" ca="1" si="68"/>
        <v>0</v>
      </c>
      <c r="P468" s="65" t="str">
        <f t="shared" si="69"/>
        <v>0</v>
      </c>
      <c r="Q468" s="46">
        <f t="shared" ca="1" si="71"/>
        <v>0</v>
      </c>
      <c r="R468" s="3" t="str">
        <f t="shared" ca="1" si="70"/>
        <v>ไม่ผ่าน</v>
      </c>
      <c r="S468" s="3" t="s">
        <v>28</v>
      </c>
      <c r="Y468" s="36">
        <v>6415964122</v>
      </c>
    </row>
    <row r="469" spans="1:25" ht="18" customHeight="1">
      <c r="A469" s="3">
        <v>467</v>
      </c>
      <c r="B469" s="3">
        <v>6412743239</v>
      </c>
      <c r="C469" s="4" t="s">
        <v>29</v>
      </c>
      <c r="D469" s="4" t="s">
        <v>1248</v>
      </c>
      <c r="E469" s="4" t="s">
        <v>1249</v>
      </c>
      <c r="F469" s="4" t="s">
        <v>1250</v>
      </c>
      <c r="G469" s="4" t="s">
        <v>999</v>
      </c>
      <c r="H469" s="4" t="s">
        <v>1175</v>
      </c>
      <c r="I469" s="3">
        <v>3</v>
      </c>
      <c r="J469" s="29" t="str">
        <f t="shared" si="63"/>
        <v>1</v>
      </c>
      <c r="K469" s="54">
        <v>1</v>
      </c>
      <c r="L469" s="69" t="str">
        <f t="shared" si="72"/>
        <v>0</v>
      </c>
      <c r="M469" s="74" t="str">
        <f t="shared" si="66"/>
        <v>1</v>
      </c>
      <c r="N469" s="29" t="str">
        <f t="shared" si="67"/>
        <v>0</v>
      </c>
      <c r="O469" s="61" t="str">
        <f t="shared" ca="1" si="68"/>
        <v>1</v>
      </c>
      <c r="P469" s="65" t="str">
        <f t="shared" si="69"/>
        <v>1</v>
      </c>
      <c r="Q469" s="46">
        <f t="shared" ca="1" si="71"/>
        <v>5</v>
      </c>
      <c r="R469" s="83" t="str">
        <f t="shared" ca="1" si="70"/>
        <v>ผ่าน</v>
      </c>
      <c r="S469" s="3" t="s">
        <v>28</v>
      </c>
      <c r="Y469" s="36">
        <v>6412269125</v>
      </c>
    </row>
    <row r="470" spans="1:25" ht="18" customHeight="1">
      <c r="A470" s="3">
        <v>468</v>
      </c>
      <c r="B470" s="3">
        <v>6412743241</v>
      </c>
      <c r="C470" s="4" t="s">
        <v>29</v>
      </c>
      <c r="D470" s="4" t="s">
        <v>1251</v>
      </c>
      <c r="E470" s="4" t="s">
        <v>500</v>
      </c>
      <c r="F470" s="4" t="s">
        <v>1252</v>
      </c>
      <c r="G470" s="4" t="s">
        <v>999</v>
      </c>
      <c r="H470" s="4" t="s">
        <v>1175</v>
      </c>
      <c r="I470" s="3">
        <v>3</v>
      </c>
      <c r="J470" s="29" t="str">
        <f t="shared" si="63"/>
        <v>0</v>
      </c>
      <c r="K470" s="54" t="str">
        <f t="shared" si="64"/>
        <v>1</v>
      </c>
      <c r="L470" s="69" t="str">
        <f t="shared" si="72"/>
        <v>0</v>
      </c>
      <c r="M470" s="74" t="str">
        <f t="shared" si="66"/>
        <v>1</v>
      </c>
      <c r="N470" s="29" t="str">
        <f t="shared" si="67"/>
        <v>0</v>
      </c>
      <c r="O470" s="61" t="str">
        <f t="shared" ca="1" si="68"/>
        <v>1</v>
      </c>
      <c r="P470" s="65" t="str">
        <f t="shared" si="69"/>
        <v>1</v>
      </c>
      <c r="Q470" s="46">
        <f t="shared" ca="1" si="71"/>
        <v>4</v>
      </c>
      <c r="R470" s="83" t="str">
        <f t="shared" ca="1" si="70"/>
        <v>ผ่าน</v>
      </c>
      <c r="S470" s="3" t="s">
        <v>28</v>
      </c>
      <c r="Y470" s="36">
        <v>6512247130</v>
      </c>
    </row>
    <row r="471" spans="1:25" ht="18" customHeight="1">
      <c r="A471" s="3">
        <v>469</v>
      </c>
      <c r="B471" s="3">
        <v>6412743246</v>
      </c>
      <c r="C471" s="4" t="s">
        <v>29</v>
      </c>
      <c r="D471" s="4" t="s">
        <v>1099</v>
      </c>
      <c r="E471" s="4" t="s">
        <v>1253</v>
      </c>
      <c r="F471" s="4" t="s">
        <v>1254</v>
      </c>
      <c r="G471" s="4" t="s">
        <v>999</v>
      </c>
      <c r="H471" s="4" t="s">
        <v>1175</v>
      </c>
      <c r="I471" s="3">
        <v>3</v>
      </c>
      <c r="J471" s="29" t="str">
        <f t="shared" si="63"/>
        <v>1</v>
      </c>
      <c r="K471" s="54">
        <v>1</v>
      </c>
      <c r="L471" s="69" t="str">
        <f t="shared" si="72"/>
        <v>0</v>
      </c>
      <c r="M471" s="74" t="str">
        <f t="shared" si="66"/>
        <v>1</v>
      </c>
      <c r="N471" s="29" t="str">
        <f t="shared" si="67"/>
        <v>0</v>
      </c>
      <c r="O471" s="61" t="str">
        <f t="shared" ca="1" si="68"/>
        <v>1</v>
      </c>
      <c r="P471" s="65" t="str">
        <f t="shared" si="69"/>
        <v>1</v>
      </c>
      <c r="Q471" s="46">
        <f t="shared" ca="1" si="71"/>
        <v>5</v>
      </c>
      <c r="R471" s="83" t="str">
        <f t="shared" ca="1" si="70"/>
        <v>ผ่าน</v>
      </c>
      <c r="S471" s="3" t="s">
        <v>28</v>
      </c>
      <c r="Y471" s="36">
        <v>6412269106</v>
      </c>
    </row>
    <row r="472" spans="1:25" ht="18" customHeight="1">
      <c r="A472" s="3">
        <v>470</v>
      </c>
      <c r="B472" s="3">
        <v>6312743207</v>
      </c>
      <c r="C472" s="4" t="s">
        <v>29</v>
      </c>
      <c r="D472" s="4" t="s">
        <v>1255</v>
      </c>
      <c r="E472" s="4" t="s">
        <v>1256</v>
      </c>
      <c r="F472" s="4" t="s">
        <v>1257</v>
      </c>
      <c r="G472" s="4" t="s">
        <v>999</v>
      </c>
      <c r="H472" s="4" t="s">
        <v>1175</v>
      </c>
      <c r="I472" s="3">
        <v>4</v>
      </c>
      <c r="J472" s="29" t="str">
        <f t="shared" si="63"/>
        <v>0</v>
      </c>
      <c r="K472" s="54" t="str">
        <f t="shared" si="64"/>
        <v>1</v>
      </c>
      <c r="L472" s="69" t="str">
        <f t="shared" si="72"/>
        <v>0</v>
      </c>
      <c r="M472" s="74" t="str">
        <f t="shared" si="66"/>
        <v>1</v>
      </c>
      <c r="N472" s="29" t="str">
        <f t="shared" si="67"/>
        <v>0</v>
      </c>
      <c r="O472" s="61">
        <v>1</v>
      </c>
      <c r="P472" s="65">
        <v>1</v>
      </c>
      <c r="Q472" s="46">
        <f t="shared" si="71"/>
        <v>4</v>
      </c>
      <c r="R472" s="83" t="str">
        <f t="shared" si="70"/>
        <v>ผ่าน</v>
      </c>
      <c r="S472" s="3" t="s">
        <v>28</v>
      </c>
      <c r="Y472" s="36">
        <v>6510059103</v>
      </c>
    </row>
    <row r="473" spans="1:25" ht="18" customHeight="1">
      <c r="A473" s="3">
        <v>471</v>
      </c>
      <c r="B473" s="3">
        <v>6312743214</v>
      </c>
      <c r="C473" s="4" t="s">
        <v>29</v>
      </c>
      <c r="D473" s="4" t="s">
        <v>1258</v>
      </c>
      <c r="E473" s="4" t="s">
        <v>1259</v>
      </c>
      <c r="F473" s="4" t="s">
        <v>1260</v>
      </c>
      <c r="G473" s="4" t="s">
        <v>999</v>
      </c>
      <c r="H473" s="4" t="s">
        <v>1175</v>
      </c>
      <c r="I473" s="3">
        <v>4</v>
      </c>
      <c r="J473" s="29" t="str">
        <f t="shared" si="63"/>
        <v>0</v>
      </c>
      <c r="K473" s="54" t="str">
        <f t="shared" si="64"/>
        <v>1</v>
      </c>
      <c r="L473" s="69" t="str">
        <f t="shared" si="72"/>
        <v>0</v>
      </c>
      <c r="M473" s="74" t="str">
        <f t="shared" si="66"/>
        <v>1</v>
      </c>
      <c r="N473" s="29" t="str">
        <f t="shared" si="67"/>
        <v>0</v>
      </c>
      <c r="O473" s="61">
        <v>1</v>
      </c>
      <c r="P473" s="65">
        <v>1</v>
      </c>
      <c r="Q473" s="46">
        <f t="shared" si="71"/>
        <v>4</v>
      </c>
      <c r="R473" s="83" t="str">
        <f t="shared" si="70"/>
        <v>ผ่าน</v>
      </c>
      <c r="S473" s="3" t="s">
        <v>28</v>
      </c>
      <c r="Y473" s="36">
        <v>6412269121</v>
      </c>
    </row>
    <row r="474" spans="1:25" ht="18" customHeight="1">
      <c r="A474" s="3">
        <v>472</v>
      </c>
      <c r="B474" s="3">
        <v>6312743215</v>
      </c>
      <c r="C474" s="4" t="s">
        <v>29</v>
      </c>
      <c r="D474" s="4" t="s">
        <v>1261</v>
      </c>
      <c r="E474" s="4" t="s">
        <v>1262</v>
      </c>
      <c r="F474" s="4" t="s">
        <v>816</v>
      </c>
      <c r="G474" s="4" t="s">
        <v>999</v>
      </c>
      <c r="H474" s="4" t="s">
        <v>1175</v>
      </c>
      <c r="I474" s="3">
        <v>4</v>
      </c>
      <c r="J474" s="29" t="str">
        <f t="shared" si="63"/>
        <v>1</v>
      </c>
      <c r="K474" s="54">
        <v>1</v>
      </c>
      <c r="L474" s="69" t="str">
        <f t="shared" si="72"/>
        <v>0</v>
      </c>
      <c r="M474" s="74" t="str">
        <f t="shared" si="66"/>
        <v>1</v>
      </c>
      <c r="N474" s="29" t="str">
        <f t="shared" si="67"/>
        <v>0</v>
      </c>
      <c r="O474" s="61">
        <v>1</v>
      </c>
      <c r="P474" s="65">
        <v>1</v>
      </c>
      <c r="Q474" s="46">
        <f t="shared" si="71"/>
        <v>5</v>
      </c>
      <c r="R474" s="83" t="str">
        <f t="shared" si="70"/>
        <v>ผ่าน</v>
      </c>
      <c r="S474" s="3" t="s">
        <v>28</v>
      </c>
      <c r="Y474" s="36">
        <v>6410073101</v>
      </c>
    </row>
    <row r="475" spans="1:25" ht="18" customHeight="1">
      <c r="A475" s="3">
        <v>473</v>
      </c>
      <c r="B475" s="3">
        <v>6312743223</v>
      </c>
      <c r="C475" s="4" t="s">
        <v>29</v>
      </c>
      <c r="D475" s="4" t="s">
        <v>1263</v>
      </c>
      <c r="E475" s="4" t="s">
        <v>1264</v>
      </c>
      <c r="F475" s="4" t="s">
        <v>946</v>
      </c>
      <c r="G475" s="4" t="s">
        <v>999</v>
      </c>
      <c r="H475" s="4" t="s">
        <v>1175</v>
      </c>
      <c r="I475" s="3">
        <v>4</v>
      </c>
      <c r="J475" s="29" t="str">
        <f t="shared" si="63"/>
        <v>1</v>
      </c>
      <c r="K475" s="54">
        <v>1</v>
      </c>
      <c r="L475" s="69" t="str">
        <f t="shared" si="72"/>
        <v>0</v>
      </c>
      <c r="M475" s="74" t="str">
        <f t="shared" si="66"/>
        <v>1</v>
      </c>
      <c r="N475" s="29" t="str">
        <f t="shared" si="67"/>
        <v>0</v>
      </c>
      <c r="O475" s="61">
        <v>1</v>
      </c>
      <c r="P475" s="65">
        <v>1</v>
      </c>
      <c r="Q475" s="46">
        <f t="shared" si="71"/>
        <v>5</v>
      </c>
      <c r="R475" s="83" t="str">
        <f t="shared" si="70"/>
        <v>ผ่าน</v>
      </c>
      <c r="S475" s="3" t="s">
        <v>28</v>
      </c>
      <c r="Y475" s="36">
        <v>6412269112</v>
      </c>
    </row>
    <row r="476" spans="1:25" ht="18" customHeight="1">
      <c r="A476" s="3">
        <v>474</v>
      </c>
      <c r="B476" s="3">
        <v>6312743232</v>
      </c>
      <c r="C476" s="4" t="s">
        <v>29</v>
      </c>
      <c r="D476" s="4" t="s">
        <v>1265</v>
      </c>
      <c r="E476" s="4" t="s">
        <v>1266</v>
      </c>
      <c r="F476" s="4" t="s">
        <v>1267</v>
      </c>
      <c r="G476" s="4" t="s">
        <v>999</v>
      </c>
      <c r="H476" s="4" t="s">
        <v>1175</v>
      </c>
      <c r="I476" s="3">
        <v>4</v>
      </c>
      <c r="J476" s="29" t="str">
        <f t="shared" si="63"/>
        <v>0</v>
      </c>
      <c r="K476" s="54" t="str">
        <f t="shared" si="64"/>
        <v>1</v>
      </c>
      <c r="L476" s="69" t="str">
        <f t="shared" si="72"/>
        <v>0</v>
      </c>
      <c r="M476" s="74" t="str">
        <f t="shared" si="66"/>
        <v>1</v>
      </c>
      <c r="N476" s="29" t="str">
        <f t="shared" si="67"/>
        <v>0</v>
      </c>
      <c r="O476" s="61">
        <v>1</v>
      </c>
      <c r="P476" s="65">
        <v>1</v>
      </c>
      <c r="Q476" s="46">
        <f t="shared" si="71"/>
        <v>4</v>
      </c>
      <c r="R476" s="83" t="str">
        <f t="shared" si="70"/>
        <v>ผ่าน</v>
      </c>
      <c r="S476" s="3" t="s">
        <v>28</v>
      </c>
      <c r="Y476" s="36">
        <v>6515964125</v>
      </c>
    </row>
    <row r="477" spans="1:25" ht="18" customHeight="1">
      <c r="A477" s="3">
        <v>475</v>
      </c>
      <c r="B477" s="3">
        <v>6312743237</v>
      </c>
      <c r="C477" s="4" t="s">
        <v>29</v>
      </c>
      <c r="D477" s="4" t="s">
        <v>508</v>
      </c>
      <c r="E477" s="4" t="s">
        <v>1268</v>
      </c>
      <c r="F477" s="4" t="s">
        <v>489</v>
      </c>
      <c r="G477" s="4" t="s">
        <v>999</v>
      </c>
      <c r="H477" s="4" t="s">
        <v>1175</v>
      </c>
      <c r="I477" s="3">
        <v>4</v>
      </c>
      <c r="J477" s="29" t="str">
        <f t="shared" si="63"/>
        <v>0</v>
      </c>
      <c r="K477" s="54" t="str">
        <f t="shared" si="64"/>
        <v>1</v>
      </c>
      <c r="L477" s="69" t="str">
        <f t="shared" si="72"/>
        <v>0</v>
      </c>
      <c r="M477" s="74" t="str">
        <f t="shared" si="66"/>
        <v>1</v>
      </c>
      <c r="N477" s="29" t="str">
        <f t="shared" si="67"/>
        <v>0</v>
      </c>
      <c r="O477" s="61">
        <v>1</v>
      </c>
      <c r="P477" s="65">
        <v>1</v>
      </c>
      <c r="Q477" s="46">
        <f t="shared" si="71"/>
        <v>4</v>
      </c>
      <c r="R477" s="83" t="str">
        <f t="shared" si="70"/>
        <v>ผ่าน</v>
      </c>
      <c r="S477" s="3" t="s">
        <v>28</v>
      </c>
      <c r="Y477" s="36">
        <v>6512247127</v>
      </c>
    </row>
    <row r="478" spans="1:25" ht="18" customHeight="1">
      <c r="A478" s="3">
        <v>476</v>
      </c>
      <c r="B478" s="3">
        <v>6312743239</v>
      </c>
      <c r="C478" s="4" t="s">
        <v>29</v>
      </c>
      <c r="D478" s="4" t="s">
        <v>1269</v>
      </c>
      <c r="E478" s="4" t="s">
        <v>1048</v>
      </c>
      <c r="F478" s="4" t="s">
        <v>406</v>
      </c>
      <c r="G478" s="4" t="s">
        <v>999</v>
      </c>
      <c r="H478" s="4" t="s">
        <v>1175</v>
      </c>
      <c r="I478" s="3">
        <v>4</v>
      </c>
      <c r="J478" s="29" t="str">
        <f t="shared" si="63"/>
        <v>0</v>
      </c>
      <c r="K478" s="54">
        <v>1</v>
      </c>
      <c r="L478" s="69" t="str">
        <f t="shared" si="72"/>
        <v>0</v>
      </c>
      <c r="M478" s="74" t="str">
        <f t="shared" si="66"/>
        <v>1</v>
      </c>
      <c r="N478" s="29" t="str">
        <f t="shared" si="67"/>
        <v>0</v>
      </c>
      <c r="O478" s="61">
        <v>1</v>
      </c>
      <c r="P478" s="65">
        <v>1</v>
      </c>
      <c r="Q478" s="46">
        <f t="shared" si="71"/>
        <v>4</v>
      </c>
      <c r="R478" s="83" t="str">
        <f t="shared" si="70"/>
        <v>ผ่าน</v>
      </c>
      <c r="S478" s="3" t="s">
        <v>28</v>
      </c>
      <c r="Y478" s="36">
        <v>6410106213</v>
      </c>
    </row>
    <row r="479" spans="1:25" ht="18" customHeight="1">
      <c r="A479" s="3">
        <v>477</v>
      </c>
      <c r="B479" s="3">
        <v>6610083114</v>
      </c>
      <c r="C479" s="4" t="s">
        <v>29</v>
      </c>
      <c r="D479" s="4" t="s">
        <v>1270</v>
      </c>
      <c r="E479" s="4" t="s">
        <v>1271</v>
      </c>
      <c r="F479" s="4" t="s">
        <v>1272</v>
      </c>
      <c r="G479" s="4" t="s">
        <v>999</v>
      </c>
      <c r="H479" s="4" t="s">
        <v>1273</v>
      </c>
      <c r="I479" s="3">
        <v>1</v>
      </c>
      <c r="J479" s="29" t="str">
        <f t="shared" si="63"/>
        <v>0</v>
      </c>
      <c r="K479" s="54" t="str">
        <f t="shared" si="64"/>
        <v>1</v>
      </c>
      <c r="L479" s="69" t="str">
        <f t="shared" si="72"/>
        <v>0</v>
      </c>
      <c r="M479" s="74" t="str">
        <f t="shared" si="66"/>
        <v>1</v>
      </c>
      <c r="N479" s="29" t="str">
        <f t="shared" si="67"/>
        <v>0</v>
      </c>
      <c r="O479" s="61" t="str">
        <f t="shared" ca="1" si="68"/>
        <v>0</v>
      </c>
      <c r="P479" s="65" t="str">
        <f t="shared" si="69"/>
        <v>1</v>
      </c>
      <c r="Q479" s="46">
        <f t="shared" ca="1" si="71"/>
        <v>3</v>
      </c>
      <c r="R479" s="83" t="str">
        <f t="shared" ca="1" si="70"/>
        <v>ผ่าน</v>
      </c>
      <c r="S479" s="3" t="s">
        <v>28</v>
      </c>
      <c r="Y479" s="36">
        <v>6410488105</v>
      </c>
    </row>
    <row r="480" spans="1:25" ht="18" customHeight="1">
      <c r="A480" s="3">
        <v>478</v>
      </c>
      <c r="B480" s="3">
        <v>6510083108</v>
      </c>
      <c r="C480" s="4" t="s">
        <v>29</v>
      </c>
      <c r="D480" s="4" t="s">
        <v>1274</v>
      </c>
      <c r="E480" s="4" t="s">
        <v>1275</v>
      </c>
      <c r="F480" s="4" t="s">
        <v>401</v>
      </c>
      <c r="G480" s="4" t="s">
        <v>999</v>
      </c>
      <c r="H480" s="4" t="s">
        <v>1273</v>
      </c>
      <c r="I480" s="3">
        <v>2</v>
      </c>
      <c r="J480" s="29" t="str">
        <f t="shared" si="63"/>
        <v>0</v>
      </c>
      <c r="K480" s="54" t="str">
        <f t="shared" si="64"/>
        <v>1</v>
      </c>
      <c r="L480" s="69" t="str">
        <f t="shared" si="72"/>
        <v>0</v>
      </c>
      <c r="M480" s="74" t="str">
        <f t="shared" si="66"/>
        <v>0</v>
      </c>
      <c r="N480" s="29" t="str">
        <f t="shared" si="67"/>
        <v>0</v>
      </c>
      <c r="O480" s="61" t="str">
        <f t="shared" ca="1" si="68"/>
        <v>1</v>
      </c>
      <c r="P480" s="65" t="str">
        <f t="shared" si="69"/>
        <v>0</v>
      </c>
      <c r="Q480" s="46">
        <f t="shared" ca="1" si="71"/>
        <v>2</v>
      </c>
      <c r="R480" s="3" t="str">
        <f t="shared" ca="1" si="70"/>
        <v>ไม่ผ่าน</v>
      </c>
      <c r="S480" s="3" t="s">
        <v>28</v>
      </c>
      <c r="Y480" s="36">
        <v>6612258212</v>
      </c>
    </row>
    <row r="481" spans="1:25" ht="18" customHeight="1">
      <c r="A481" s="3">
        <v>479</v>
      </c>
      <c r="B481" s="3">
        <v>6510083109</v>
      </c>
      <c r="C481" s="4" t="s">
        <v>599</v>
      </c>
      <c r="D481" s="4" t="s">
        <v>1276</v>
      </c>
      <c r="E481" s="4" t="s">
        <v>1277</v>
      </c>
      <c r="F481" s="4" t="s">
        <v>1278</v>
      </c>
      <c r="G481" s="4" t="s">
        <v>999</v>
      </c>
      <c r="H481" s="4" t="s">
        <v>1273</v>
      </c>
      <c r="I481" s="3">
        <v>2</v>
      </c>
      <c r="J481" s="29" t="str">
        <f t="shared" si="63"/>
        <v>0</v>
      </c>
      <c r="K481" s="54">
        <v>1</v>
      </c>
      <c r="L481" s="69" t="str">
        <f t="shared" si="72"/>
        <v>0</v>
      </c>
      <c r="M481" s="74" t="str">
        <f t="shared" si="66"/>
        <v>1</v>
      </c>
      <c r="N481" s="29" t="str">
        <f t="shared" si="67"/>
        <v>0</v>
      </c>
      <c r="O481" s="61" t="str">
        <f t="shared" ca="1" si="68"/>
        <v>1</v>
      </c>
      <c r="P481" s="65" t="str">
        <f t="shared" si="69"/>
        <v>1</v>
      </c>
      <c r="Q481" s="46">
        <f t="shared" ca="1" si="71"/>
        <v>4</v>
      </c>
      <c r="R481" s="83" t="str">
        <f t="shared" ca="1" si="70"/>
        <v>ผ่าน</v>
      </c>
      <c r="S481" s="3" t="s">
        <v>28</v>
      </c>
      <c r="Y481" s="36">
        <v>6410488201</v>
      </c>
    </row>
    <row r="482" spans="1:25" ht="18" customHeight="1">
      <c r="A482" s="3">
        <v>480</v>
      </c>
      <c r="B482" s="3">
        <v>6410083101</v>
      </c>
      <c r="C482" s="4" t="s">
        <v>22</v>
      </c>
      <c r="D482" s="4" t="s">
        <v>1279</v>
      </c>
      <c r="E482" s="4" t="s">
        <v>1280</v>
      </c>
      <c r="F482" s="4" t="s">
        <v>1281</v>
      </c>
      <c r="G482" s="4" t="s">
        <v>999</v>
      </c>
      <c r="H482" s="4" t="s">
        <v>1273</v>
      </c>
      <c r="I482" s="3">
        <v>3</v>
      </c>
      <c r="J482" s="29" t="str">
        <f t="shared" si="63"/>
        <v>1</v>
      </c>
      <c r="K482" s="54">
        <v>1</v>
      </c>
      <c r="L482" s="69" t="str">
        <f t="shared" si="72"/>
        <v>0</v>
      </c>
      <c r="M482" s="74" t="str">
        <f t="shared" si="66"/>
        <v>1</v>
      </c>
      <c r="N482" s="29" t="str">
        <f t="shared" si="67"/>
        <v>0</v>
      </c>
      <c r="O482" s="61" t="str">
        <f t="shared" ca="1" si="68"/>
        <v>1</v>
      </c>
      <c r="P482" s="65" t="str">
        <f t="shared" si="69"/>
        <v>1</v>
      </c>
      <c r="Q482" s="46">
        <f t="shared" ca="1" si="71"/>
        <v>5</v>
      </c>
      <c r="R482" s="83" t="str">
        <f t="shared" ca="1" si="70"/>
        <v>ผ่าน</v>
      </c>
      <c r="S482" s="3" t="s">
        <v>28</v>
      </c>
      <c r="Y482" s="36">
        <v>6610392101</v>
      </c>
    </row>
    <row r="483" spans="1:25" ht="18" customHeight="1">
      <c r="A483" s="3">
        <v>481</v>
      </c>
      <c r="B483" s="3">
        <v>6410083103</v>
      </c>
      <c r="C483" s="4" t="s">
        <v>22</v>
      </c>
      <c r="D483" s="4" t="s">
        <v>1282</v>
      </c>
      <c r="E483" s="4" t="s">
        <v>1283</v>
      </c>
      <c r="F483" s="4" t="s">
        <v>982</v>
      </c>
      <c r="G483" s="4" t="s">
        <v>999</v>
      </c>
      <c r="H483" s="4" t="s">
        <v>1273</v>
      </c>
      <c r="I483" s="3">
        <v>3</v>
      </c>
      <c r="J483" s="29" t="str">
        <f t="shared" si="63"/>
        <v>1</v>
      </c>
      <c r="K483" s="54" t="str">
        <f t="shared" si="64"/>
        <v>1</v>
      </c>
      <c r="L483" s="69" t="str">
        <f t="shared" si="72"/>
        <v>0</v>
      </c>
      <c r="M483" s="74" t="str">
        <f t="shared" si="66"/>
        <v>1</v>
      </c>
      <c r="N483" s="29" t="str">
        <f t="shared" si="67"/>
        <v>0</v>
      </c>
      <c r="O483" s="61" t="str">
        <f t="shared" ca="1" si="68"/>
        <v>1</v>
      </c>
      <c r="P483" s="65" t="str">
        <f t="shared" si="69"/>
        <v>1</v>
      </c>
      <c r="Q483" s="46">
        <f t="shared" ca="1" si="71"/>
        <v>5</v>
      </c>
      <c r="R483" s="83" t="str">
        <f t="shared" ca="1" si="70"/>
        <v>ผ่าน</v>
      </c>
      <c r="S483" s="3" t="s">
        <v>28</v>
      </c>
      <c r="Y483" s="36">
        <v>6412743142</v>
      </c>
    </row>
    <row r="484" spans="1:25" ht="18" customHeight="1">
      <c r="A484" s="3">
        <v>482</v>
      </c>
      <c r="B484" s="3">
        <v>6410083104</v>
      </c>
      <c r="C484" s="4" t="s">
        <v>22</v>
      </c>
      <c r="D484" s="4" t="s">
        <v>429</v>
      </c>
      <c r="E484" s="4" t="s">
        <v>1284</v>
      </c>
      <c r="F484" s="4" t="s">
        <v>429</v>
      </c>
      <c r="G484" s="4" t="s">
        <v>999</v>
      </c>
      <c r="H484" s="4" t="s">
        <v>1273</v>
      </c>
      <c r="I484" s="3">
        <v>3</v>
      </c>
      <c r="J484" s="29" t="str">
        <f t="shared" si="63"/>
        <v>1</v>
      </c>
      <c r="K484" s="54" t="str">
        <f t="shared" si="64"/>
        <v>0</v>
      </c>
      <c r="L484" s="69" t="str">
        <f t="shared" si="72"/>
        <v>0</v>
      </c>
      <c r="M484" s="74" t="str">
        <f t="shared" si="66"/>
        <v>1</v>
      </c>
      <c r="N484" s="29" t="str">
        <f t="shared" si="67"/>
        <v>0</v>
      </c>
      <c r="O484" s="61" t="str">
        <f t="shared" ca="1" si="68"/>
        <v>1</v>
      </c>
      <c r="P484" s="65" t="str">
        <f t="shared" si="69"/>
        <v>1</v>
      </c>
      <c r="Q484" s="46">
        <f t="shared" ca="1" si="71"/>
        <v>4</v>
      </c>
      <c r="R484" s="83" t="str">
        <f t="shared" ca="1" si="70"/>
        <v>ผ่าน</v>
      </c>
      <c r="S484" s="3" t="s">
        <v>28</v>
      </c>
      <c r="Y484" s="36">
        <v>6410106112</v>
      </c>
    </row>
    <row r="485" spans="1:25" ht="18" customHeight="1">
      <c r="A485" s="3">
        <v>483</v>
      </c>
      <c r="B485" s="3">
        <v>6410083105</v>
      </c>
      <c r="C485" s="4" t="s">
        <v>22</v>
      </c>
      <c r="D485" s="4" t="s">
        <v>1285</v>
      </c>
      <c r="E485" s="4" t="s">
        <v>1286</v>
      </c>
      <c r="F485" s="4" t="s">
        <v>1287</v>
      </c>
      <c r="G485" s="4" t="s">
        <v>999</v>
      </c>
      <c r="H485" s="4" t="s">
        <v>1273</v>
      </c>
      <c r="I485" s="3">
        <v>3</v>
      </c>
      <c r="J485" s="29" t="str">
        <f t="shared" si="63"/>
        <v>1</v>
      </c>
      <c r="K485" s="54" t="str">
        <f t="shared" si="64"/>
        <v>0</v>
      </c>
      <c r="L485" s="69" t="str">
        <f t="shared" si="72"/>
        <v>0</v>
      </c>
      <c r="M485" s="74" t="str">
        <f t="shared" si="66"/>
        <v>1</v>
      </c>
      <c r="N485" s="29" t="str">
        <f t="shared" si="67"/>
        <v>0</v>
      </c>
      <c r="O485" s="61" t="str">
        <f t="shared" ca="1" si="68"/>
        <v>1</v>
      </c>
      <c r="P485" s="65" t="str">
        <f t="shared" si="69"/>
        <v>0</v>
      </c>
      <c r="Q485" s="46">
        <f t="shared" ca="1" si="71"/>
        <v>3</v>
      </c>
      <c r="R485" s="83" t="str">
        <f t="shared" ca="1" si="70"/>
        <v>ผ่าน</v>
      </c>
      <c r="S485" s="3" t="s">
        <v>28</v>
      </c>
      <c r="Y485" s="36">
        <v>6512247224</v>
      </c>
    </row>
    <row r="486" spans="1:25" ht="18" customHeight="1">
      <c r="A486" s="3">
        <v>484</v>
      </c>
      <c r="B486" s="3">
        <v>6410083106</v>
      </c>
      <c r="C486" s="4" t="s">
        <v>22</v>
      </c>
      <c r="D486" s="4" t="s">
        <v>1288</v>
      </c>
      <c r="E486" s="4" t="s">
        <v>1289</v>
      </c>
      <c r="F486" s="4" t="s">
        <v>1290</v>
      </c>
      <c r="G486" s="4" t="s">
        <v>999</v>
      </c>
      <c r="H486" s="4" t="s">
        <v>1273</v>
      </c>
      <c r="I486" s="3">
        <v>3</v>
      </c>
      <c r="J486" s="29" t="str">
        <f t="shared" si="63"/>
        <v>0</v>
      </c>
      <c r="K486" s="54" t="str">
        <f t="shared" si="64"/>
        <v>0</v>
      </c>
      <c r="L486" s="69" t="str">
        <f t="shared" si="72"/>
        <v>0</v>
      </c>
      <c r="M486" s="74" t="str">
        <f t="shared" si="66"/>
        <v>0</v>
      </c>
      <c r="N486" s="29" t="str">
        <f t="shared" si="67"/>
        <v>0</v>
      </c>
      <c r="O486" s="61" t="str">
        <f t="shared" ca="1" si="68"/>
        <v>0</v>
      </c>
      <c r="P486" s="65" t="str">
        <f t="shared" si="69"/>
        <v>0</v>
      </c>
      <c r="Q486" s="46">
        <f t="shared" ca="1" si="71"/>
        <v>0</v>
      </c>
      <c r="R486" s="3" t="str">
        <f t="shared" ca="1" si="70"/>
        <v>ไม่ผ่าน</v>
      </c>
      <c r="S486" s="3" t="s">
        <v>28</v>
      </c>
      <c r="Y486" s="36">
        <v>6410106216</v>
      </c>
    </row>
    <row r="487" spans="1:25" ht="18" customHeight="1">
      <c r="A487" s="3">
        <v>485</v>
      </c>
      <c r="B487" s="3">
        <v>6410083108</v>
      </c>
      <c r="C487" s="4" t="s">
        <v>22</v>
      </c>
      <c r="D487" s="4" t="s">
        <v>827</v>
      </c>
      <c r="E487" s="4" t="s">
        <v>1291</v>
      </c>
      <c r="F487" s="4" t="s">
        <v>140</v>
      </c>
      <c r="G487" s="4" t="s">
        <v>999</v>
      </c>
      <c r="H487" s="4" t="s">
        <v>1273</v>
      </c>
      <c r="I487" s="3">
        <v>3</v>
      </c>
      <c r="J487" s="29" t="str">
        <f t="shared" si="63"/>
        <v>1</v>
      </c>
      <c r="K487" s="54">
        <v>1</v>
      </c>
      <c r="L487" s="69" t="str">
        <f t="shared" si="72"/>
        <v>0</v>
      </c>
      <c r="M487" s="74" t="str">
        <f t="shared" si="66"/>
        <v>1</v>
      </c>
      <c r="N487" s="29" t="str">
        <f t="shared" si="67"/>
        <v>0</v>
      </c>
      <c r="O487" s="61" t="str">
        <f t="shared" ca="1" si="68"/>
        <v>1</v>
      </c>
      <c r="P487" s="65" t="str">
        <f t="shared" si="69"/>
        <v>1</v>
      </c>
      <c r="Q487" s="46">
        <f t="shared" ca="1" si="71"/>
        <v>5</v>
      </c>
      <c r="R487" s="83" t="str">
        <f t="shared" ca="1" si="70"/>
        <v>ผ่าน</v>
      </c>
      <c r="S487" s="3" t="s">
        <v>28</v>
      </c>
      <c r="Y487" s="36">
        <v>6410106210</v>
      </c>
    </row>
    <row r="488" spans="1:25" ht="18" customHeight="1">
      <c r="A488" s="3">
        <v>486</v>
      </c>
      <c r="B488" s="3">
        <v>6410083110</v>
      </c>
      <c r="C488" s="4" t="s">
        <v>29</v>
      </c>
      <c r="D488" s="4" t="s">
        <v>168</v>
      </c>
      <c r="E488" s="4" t="s">
        <v>1292</v>
      </c>
      <c r="F488" s="4" t="s">
        <v>535</v>
      </c>
      <c r="G488" s="4" t="s">
        <v>999</v>
      </c>
      <c r="H488" s="4" t="s">
        <v>1273</v>
      </c>
      <c r="I488" s="3">
        <v>3</v>
      </c>
      <c r="J488" s="29" t="str">
        <f t="shared" si="63"/>
        <v>1</v>
      </c>
      <c r="K488" s="54" t="str">
        <f t="shared" si="64"/>
        <v>1</v>
      </c>
      <c r="L488" s="69" t="str">
        <f t="shared" si="72"/>
        <v>0</v>
      </c>
      <c r="M488" s="74" t="str">
        <f t="shared" si="66"/>
        <v>1</v>
      </c>
      <c r="N488" s="29" t="str">
        <f t="shared" si="67"/>
        <v>0</v>
      </c>
      <c r="O488" s="61" t="str">
        <f t="shared" ca="1" si="68"/>
        <v>1</v>
      </c>
      <c r="P488" s="65" t="str">
        <f t="shared" si="69"/>
        <v>0</v>
      </c>
      <c r="Q488" s="46">
        <f t="shared" ca="1" si="71"/>
        <v>4</v>
      </c>
      <c r="R488" s="83" t="str">
        <f t="shared" ca="1" si="70"/>
        <v>ผ่าน</v>
      </c>
      <c r="S488" s="3" t="s">
        <v>28</v>
      </c>
      <c r="Y488" s="36">
        <v>6512247114</v>
      </c>
    </row>
    <row r="489" spans="1:25" ht="18" customHeight="1">
      <c r="A489" s="3">
        <v>487</v>
      </c>
      <c r="B489" s="3">
        <v>6410083111</v>
      </c>
      <c r="C489" s="4" t="s">
        <v>29</v>
      </c>
      <c r="D489" s="4" t="s">
        <v>1293</v>
      </c>
      <c r="E489" s="4" t="s">
        <v>1294</v>
      </c>
      <c r="F489" s="4" t="s">
        <v>1295</v>
      </c>
      <c r="G489" s="4" t="s">
        <v>999</v>
      </c>
      <c r="H489" s="4" t="s">
        <v>1273</v>
      </c>
      <c r="I489" s="3">
        <v>3</v>
      </c>
      <c r="J489" s="29" t="str">
        <f t="shared" si="63"/>
        <v>1</v>
      </c>
      <c r="K489" s="54" t="str">
        <f t="shared" si="64"/>
        <v>1</v>
      </c>
      <c r="L489" s="69" t="str">
        <f t="shared" si="72"/>
        <v>0</v>
      </c>
      <c r="M489" s="74" t="str">
        <f t="shared" si="66"/>
        <v>1</v>
      </c>
      <c r="N489" s="29" t="str">
        <f t="shared" si="67"/>
        <v>0</v>
      </c>
      <c r="O489" s="61" t="str">
        <f t="shared" ca="1" si="68"/>
        <v>1</v>
      </c>
      <c r="P489" s="65" t="str">
        <f t="shared" si="69"/>
        <v>1</v>
      </c>
      <c r="Q489" s="46">
        <f t="shared" ca="1" si="71"/>
        <v>5</v>
      </c>
      <c r="R489" s="83" t="str">
        <f t="shared" ca="1" si="70"/>
        <v>ผ่าน</v>
      </c>
      <c r="S489" s="3" t="s">
        <v>28</v>
      </c>
      <c r="Y489" s="36">
        <v>6512743215</v>
      </c>
    </row>
    <row r="490" spans="1:25" ht="18" customHeight="1">
      <c r="A490" s="3">
        <v>488</v>
      </c>
      <c r="B490" s="3">
        <v>6410083112</v>
      </c>
      <c r="C490" s="4" t="s">
        <v>29</v>
      </c>
      <c r="D490" s="4" t="s">
        <v>1296</v>
      </c>
      <c r="E490" s="4" t="s">
        <v>1297</v>
      </c>
      <c r="F490" s="4" t="s">
        <v>1078</v>
      </c>
      <c r="G490" s="4" t="s">
        <v>999</v>
      </c>
      <c r="H490" s="4" t="s">
        <v>1273</v>
      </c>
      <c r="I490" s="3">
        <v>3</v>
      </c>
      <c r="J490" s="29" t="str">
        <f t="shared" si="63"/>
        <v>1</v>
      </c>
      <c r="K490" s="54">
        <v>1</v>
      </c>
      <c r="L490" s="69" t="str">
        <f t="shared" si="72"/>
        <v>0</v>
      </c>
      <c r="M490" s="74" t="str">
        <f t="shared" si="66"/>
        <v>1</v>
      </c>
      <c r="N490" s="29" t="str">
        <f t="shared" si="67"/>
        <v>0</v>
      </c>
      <c r="O490" s="61" t="str">
        <f t="shared" ca="1" si="68"/>
        <v>0</v>
      </c>
      <c r="P490" s="65" t="str">
        <f t="shared" si="69"/>
        <v>1</v>
      </c>
      <c r="Q490" s="46">
        <f t="shared" ca="1" si="71"/>
        <v>4</v>
      </c>
      <c r="R490" s="83" t="str">
        <f t="shared" ca="1" si="70"/>
        <v>ผ่าน</v>
      </c>
      <c r="S490" s="3" t="s">
        <v>28</v>
      </c>
      <c r="Y490" s="36">
        <v>6412798125</v>
      </c>
    </row>
    <row r="491" spans="1:25" ht="18" customHeight="1">
      <c r="A491" s="3">
        <v>489</v>
      </c>
      <c r="B491" s="3">
        <v>6512888117</v>
      </c>
      <c r="C491" s="4" t="s">
        <v>29</v>
      </c>
      <c r="D491" s="4" t="s">
        <v>798</v>
      </c>
      <c r="E491" s="4" t="s">
        <v>1298</v>
      </c>
      <c r="F491" s="4" t="s">
        <v>644</v>
      </c>
      <c r="G491" s="4" t="s">
        <v>1299</v>
      </c>
      <c r="H491" s="4" t="s">
        <v>1300</v>
      </c>
      <c r="I491" s="3">
        <v>2</v>
      </c>
      <c r="J491" s="29" t="str">
        <f t="shared" si="63"/>
        <v>0</v>
      </c>
      <c r="K491" s="54" t="str">
        <f t="shared" si="64"/>
        <v>1</v>
      </c>
      <c r="L491" s="69" t="str">
        <f t="shared" si="72"/>
        <v>0</v>
      </c>
      <c r="M491" s="74" t="str">
        <f t="shared" si="66"/>
        <v>1</v>
      </c>
      <c r="N491" s="29" t="str">
        <f t="shared" si="67"/>
        <v>0</v>
      </c>
      <c r="O491" s="61" t="str">
        <f t="shared" ca="1" si="68"/>
        <v>1</v>
      </c>
      <c r="P491" s="65" t="str">
        <f t="shared" si="69"/>
        <v>0</v>
      </c>
      <c r="Q491" s="46">
        <f t="shared" ca="1" si="71"/>
        <v>3</v>
      </c>
      <c r="R491" s="83" t="str">
        <f t="shared" ca="1" si="70"/>
        <v>ผ่าน</v>
      </c>
      <c r="S491" s="3" t="s">
        <v>28</v>
      </c>
      <c r="Y491" s="36">
        <v>6610392213</v>
      </c>
    </row>
    <row r="492" spans="1:25" ht="18" customHeight="1">
      <c r="A492" s="3">
        <v>490</v>
      </c>
      <c r="B492" s="3">
        <v>6512888223</v>
      </c>
      <c r="C492" s="4" t="s">
        <v>29</v>
      </c>
      <c r="D492" s="4" t="s">
        <v>1239</v>
      </c>
      <c r="E492" s="4" t="s">
        <v>1301</v>
      </c>
      <c r="F492" s="4" t="s">
        <v>915</v>
      </c>
      <c r="G492" s="4" t="s">
        <v>1299</v>
      </c>
      <c r="H492" s="4" t="s">
        <v>1300</v>
      </c>
      <c r="I492" s="3">
        <v>2</v>
      </c>
      <c r="J492" s="29" t="str">
        <f t="shared" si="63"/>
        <v>1</v>
      </c>
      <c r="K492" s="54" t="str">
        <f t="shared" si="64"/>
        <v>1</v>
      </c>
      <c r="L492" s="69" t="str">
        <f t="shared" si="72"/>
        <v>0</v>
      </c>
      <c r="M492" s="74" t="str">
        <f t="shared" si="66"/>
        <v>0</v>
      </c>
      <c r="N492" s="29" t="str">
        <f t="shared" si="67"/>
        <v>0</v>
      </c>
      <c r="O492" s="61" t="str">
        <f t="shared" ca="1" si="68"/>
        <v>0</v>
      </c>
      <c r="P492" s="65" t="str">
        <f t="shared" si="69"/>
        <v>0</v>
      </c>
      <c r="Q492" s="46">
        <f t="shared" ca="1" si="71"/>
        <v>2</v>
      </c>
      <c r="R492" s="3" t="str">
        <f t="shared" ca="1" si="70"/>
        <v>ไม่ผ่าน</v>
      </c>
      <c r="S492" s="3" t="s">
        <v>28</v>
      </c>
      <c r="Y492" s="36">
        <v>6412269126</v>
      </c>
    </row>
    <row r="493" spans="1:25" ht="18" customHeight="1">
      <c r="A493" s="3">
        <v>491</v>
      </c>
      <c r="B493" s="3">
        <v>6512888231</v>
      </c>
      <c r="C493" s="4" t="s">
        <v>29</v>
      </c>
      <c r="D493" s="4" t="s">
        <v>1302</v>
      </c>
      <c r="E493" s="4" t="s">
        <v>1303</v>
      </c>
      <c r="F493" s="4" t="s">
        <v>1304</v>
      </c>
      <c r="G493" s="4" t="s">
        <v>1299</v>
      </c>
      <c r="H493" s="4" t="s">
        <v>1300</v>
      </c>
      <c r="I493" s="3">
        <v>2</v>
      </c>
      <c r="J493" s="29" t="str">
        <f t="shared" si="63"/>
        <v>0</v>
      </c>
      <c r="K493" s="54" t="str">
        <f t="shared" si="64"/>
        <v>0</v>
      </c>
      <c r="L493" s="69" t="str">
        <f t="shared" si="72"/>
        <v>0</v>
      </c>
      <c r="M493" s="74" t="str">
        <f t="shared" si="66"/>
        <v>0</v>
      </c>
      <c r="N493" s="29" t="str">
        <f t="shared" si="67"/>
        <v>0</v>
      </c>
      <c r="O493" s="61" t="str">
        <f t="shared" ca="1" si="68"/>
        <v>0</v>
      </c>
      <c r="P493" s="65" t="str">
        <f t="shared" si="69"/>
        <v>0</v>
      </c>
      <c r="Q493" s="46">
        <f t="shared" ca="1" si="71"/>
        <v>0</v>
      </c>
      <c r="R493" s="3" t="str">
        <f t="shared" ca="1" si="70"/>
        <v>ไม่ผ่าน</v>
      </c>
      <c r="S493" s="3" t="s">
        <v>28</v>
      </c>
      <c r="Y493" s="36">
        <v>6412743126</v>
      </c>
    </row>
    <row r="494" spans="1:25" ht="18" customHeight="1">
      <c r="A494" s="3">
        <v>492</v>
      </c>
      <c r="B494" s="3">
        <v>6412888103</v>
      </c>
      <c r="C494" s="4" t="s">
        <v>22</v>
      </c>
      <c r="D494" s="4" t="s">
        <v>1305</v>
      </c>
      <c r="E494" s="4" t="s">
        <v>1306</v>
      </c>
      <c r="F494" s="4" t="s">
        <v>1307</v>
      </c>
      <c r="G494" s="4" t="s">
        <v>1299</v>
      </c>
      <c r="H494" s="4" t="s">
        <v>1300</v>
      </c>
      <c r="I494" s="3">
        <v>3</v>
      </c>
      <c r="J494" s="29" t="str">
        <f t="shared" si="63"/>
        <v>1</v>
      </c>
      <c r="K494" s="54" t="str">
        <f t="shared" si="64"/>
        <v>1</v>
      </c>
      <c r="L494" s="69" t="str">
        <f t="shared" si="72"/>
        <v>0</v>
      </c>
      <c r="M494" s="74" t="str">
        <f t="shared" si="66"/>
        <v>1</v>
      </c>
      <c r="N494" s="29" t="str">
        <f t="shared" si="67"/>
        <v>0</v>
      </c>
      <c r="O494" s="61" t="str">
        <f t="shared" ca="1" si="68"/>
        <v>0</v>
      </c>
      <c r="P494" s="65" t="str">
        <f t="shared" si="69"/>
        <v>1</v>
      </c>
      <c r="Q494" s="46">
        <f t="shared" ca="1" si="71"/>
        <v>4</v>
      </c>
      <c r="R494" s="83" t="str">
        <f t="shared" ca="1" si="70"/>
        <v>ผ่าน</v>
      </c>
      <c r="S494" s="3" t="s">
        <v>28</v>
      </c>
      <c r="Y494" s="36">
        <v>6410073104</v>
      </c>
    </row>
    <row r="495" spans="1:25" ht="18" customHeight="1">
      <c r="A495" s="3">
        <v>493</v>
      </c>
      <c r="B495" s="3">
        <v>6312888222</v>
      </c>
      <c r="C495" s="4" t="s">
        <v>29</v>
      </c>
      <c r="D495" s="4" t="s">
        <v>1308</v>
      </c>
      <c r="E495" s="4" t="s">
        <v>1309</v>
      </c>
      <c r="F495" s="4" t="s">
        <v>1310</v>
      </c>
      <c r="G495" s="4" t="s">
        <v>1299</v>
      </c>
      <c r="H495" s="4" t="s">
        <v>1300</v>
      </c>
      <c r="I495" s="3">
        <v>4</v>
      </c>
      <c r="J495" s="29" t="str">
        <f t="shared" si="63"/>
        <v>0</v>
      </c>
      <c r="K495" s="54" t="str">
        <f t="shared" si="64"/>
        <v>0</v>
      </c>
      <c r="L495" s="69" t="str">
        <f t="shared" si="72"/>
        <v>0</v>
      </c>
      <c r="M495" s="74" t="str">
        <f t="shared" si="66"/>
        <v>0</v>
      </c>
      <c r="N495" s="29" t="str">
        <f t="shared" si="67"/>
        <v>0</v>
      </c>
      <c r="O495" s="61">
        <v>1</v>
      </c>
      <c r="P495" s="65">
        <v>1</v>
      </c>
      <c r="Q495" s="46">
        <f t="shared" si="71"/>
        <v>2</v>
      </c>
      <c r="R495" s="3" t="str">
        <f t="shared" si="70"/>
        <v>ไม่ผ่าน</v>
      </c>
      <c r="S495" s="3" t="s">
        <v>28</v>
      </c>
      <c r="Y495" s="36">
        <v>6410488205</v>
      </c>
    </row>
    <row r="496" spans="1:25" ht="18" customHeight="1">
      <c r="A496" s="3">
        <v>494</v>
      </c>
      <c r="B496" s="3">
        <v>6412866115</v>
      </c>
      <c r="C496" s="4" t="s">
        <v>29</v>
      </c>
      <c r="D496" s="4" t="s">
        <v>1311</v>
      </c>
      <c r="E496" s="4" t="s">
        <v>1312</v>
      </c>
      <c r="F496" s="4" t="s">
        <v>704</v>
      </c>
      <c r="G496" s="4" t="s">
        <v>1299</v>
      </c>
      <c r="H496" s="4" t="s">
        <v>1313</v>
      </c>
      <c r="I496" s="3">
        <v>3</v>
      </c>
      <c r="J496" s="29" t="str">
        <f t="shared" si="63"/>
        <v>1</v>
      </c>
      <c r="K496" s="54" t="str">
        <f t="shared" si="64"/>
        <v>1</v>
      </c>
      <c r="L496" s="69" t="str">
        <f t="shared" si="72"/>
        <v>0</v>
      </c>
      <c r="M496" s="74" t="str">
        <f t="shared" si="66"/>
        <v>1</v>
      </c>
      <c r="N496" s="29" t="str">
        <f t="shared" si="67"/>
        <v>0</v>
      </c>
      <c r="O496" s="61" t="str">
        <f t="shared" ca="1" si="68"/>
        <v>1</v>
      </c>
      <c r="P496" s="65" t="str">
        <f t="shared" si="69"/>
        <v>1</v>
      </c>
      <c r="Q496" s="46">
        <f t="shared" ca="1" si="71"/>
        <v>5</v>
      </c>
      <c r="R496" s="83" t="str">
        <f t="shared" ca="1" si="70"/>
        <v>ผ่าน</v>
      </c>
      <c r="S496" s="3" t="s">
        <v>28</v>
      </c>
      <c r="Y496" s="36">
        <v>6412236230</v>
      </c>
    </row>
    <row r="497" spans="1:25" ht="18" customHeight="1">
      <c r="A497" s="3">
        <v>495</v>
      </c>
      <c r="B497" s="3">
        <v>6412866119</v>
      </c>
      <c r="C497" s="4" t="s">
        <v>29</v>
      </c>
      <c r="D497" s="4" t="s">
        <v>1314</v>
      </c>
      <c r="E497" s="4" t="s">
        <v>1315</v>
      </c>
      <c r="F497" s="4" t="s">
        <v>453</v>
      </c>
      <c r="G497" s="4" t="s">
        <v>1299</v>
      </c>
      <c r="H497" s="4" t="s">
        <v>1313</v>
      </c>
      <c r="I497" s="3">
        <v>3</v>
      </c>
      <c r="J497" s="29" t="str">
        <f t="shared" si="63"/>
        <v>1</v>
      </c>
      <c r="K497" s="54" t="str">
        <f t="shared" si="64"/>
        <v>1</v>
      </c>
      <c r="L497" s="69" t="str">
        <f t="shared" si="72"/>
        <v>0</v>
      </c>
      <c r="M497" s="74" t="str">
        <f t="shared" si="66"/>
        <v>1</v>
      </c>
      <c r="N497" s="29" t="str">
        <f t="shared" si="67"/>
        <v>0</v>
      </c>
      <c r="O497" s="61" t="str">
        <f t="shared" ca="1" si="68"/>
        <v>1</v>
      </c>
      <c r="P497" s="65" t="str">
        <f t="shared" si="69"/>
        <v>1</v>
      </c>
      <c r="Q497" s="46">
        <f t="shared" ca="1" si="71"/>
        <v>5</v>
      </c>
      <c r="R497" s="83" t="str">
        <f t="shared" ca="1" si="70"/>
        <v>ผ่าน</v>
      </c>
      <c r="S497" s="3" t="s">
        <v>28</v>
      </c>
      <c r="Y497" s="36">
        <v>6412743241</v>
      </c>
    </row>
    <row r="498" spans="1:25" ht="18" customHeight="1">
      <c r="A498" s="3">
        <v>496</v>
      </c>
      <c r="B498" s="3">
        <v>6412866216</v>
      </c>
      <c r="C498" s="4" t="s">
        <v>29</v>
      </c>
      <c r="D498" s="4" t="s">
        <v>1316</v>
      </c>
      <c r="E498" s="4" t="s">
        <v>1317</v>
      </c>
      <c r="F498" s="4" t="s">
        <v>924</v>
      </c>
      <c r="G498" s="4" t="s">
        <v>1299</v>
      </c>
      <c r="H498" s="4" t="s">
        <v>1313</v>
      </c>
      <c r="I498" s="3">
        <v>3</v>
      </c>
      <c r="J498" s="29" t="str">
        <f t="shared" si="63"/>
        <v>1</v>
      </c>
      <c r="K498" s="54" t="str">
        <f t="shared" si="64"/>
        <v>1</v>
      </c>
      <c r="L498" s="69" t="str">
        <f t="shared" si="72"/>
        <v>0</v>
      </c>
      <c r="M498" s="74" t="str">
        <f t="shared" si="66"/>
        <v>1</v>
      </c>
      <c r="N498" s="29" t="str">
        <f t="shared" si="67"/>
        <v>0</v>
      </c>
      <c r="O498" s="61" t="str">
        <f t="shared" ca="1" si="68"/>
        <v>1</v>
      </c>
      <c r="P498" s="65" t="str">
        <f t="shared" si="69"/>
        <v>1</v>
      </c>
      <c r="Q498" s="46">
        <f t="shared" ca="1" si="71"/>
        <v>5</v>
      </c>
      <c r="R498" s="83" t="str">
        <f t="shared" ca="1" si="70"/>
        <v>ผ่าน</v>
      </c>
      <c r="S498" s="3" t="s">
        <v>28</v>
      </c>
      <c r="Y498" s="36">
        <v>6515964112</v>
      </c>
    </row>
    <row r="499" spans="1:25" ht="18" customHeight="1">
      <c r="A499" s="3">
        <v>497</v>
      </c>
      <c r="B499" s="3">
        <v>6412866221</v>
      </c>
      <c r="C499" s="4" t="s">
        <v>29</v>
      </c>
      <c r="D499" s="4" t="s">
        <v>1318</v>
      </c>
      <c r="E499" s="4" t="s">
        <v>766</v>
      </c>
      <c r="F499" s="4" t="s">
        <v>1250</v>
      </c>
      <c r="G499" s="4" t="s">
        <v>1299</v>
      </c>
      <c r="H499" s="4" t="s">
        <v>1313</v>
      </c>
      <c r="I499" s="3">
        <v>3</v>
      </c>
      <c r="J499" s="29" t="str">
        <f t="shared" si="63"/>
        <v>1</v>
      </c>
      <c r="K499" s="54" t="str">
        <f t="shared" si="64"/>
        <v>1</v>
      </c>
      <c r="L499" s="69" t="str">
        <f t="shared" si="72"/>
        <v>0</v>
      </c>
      <c r="M499" s="74" t="str">
        <f t="shared" si="66"/>
        <v>1</v>
      </c>
      <c r="N499" s="29" t="str">
        <f t="shared" si="67"/>
        <v>0</v>
      </c>
      <c r="O499" s="61" t="str">
        <f t="shared" ca="1" si="68"/>
        <v>1</v>
      </c>
      <c r="P499" s="65" t="str">
        <f t="shared" si="69"/>
        <v>1</v>
      </c>
      <c r="Q499" s="46">
        <f t="shared" ca="1" si="71"/>
        <v>5</v>
      </c>
      <c r="R499" s="83" t="str">
        <f t="shared" ca="1" si="70"/>
        <v>ผ่าน</v>
      </c>
      <c r="S499" s="3" t="s">
        <v>28</v>
      </c>
      <c r="Y499" s="36">
        <v>6412743246</v>
      </c>
    </row>
    <row r="500" spans="1:25" ht="18" customHeight="1">
      <c r="A500" s="3">
        <v>498</v>
      </c>
      <c r="B500" s="3">
        <v>6412866222</v>
      </c>
      <c r="C500" s="4" t="s">
        <v>29</v>
      </c>
      <c r="D500" s="4" t="s">
        <v>125</v>
      </c>
      <c r="E500" s="4" t="s">
        <v>1319</v>
      </c>
      <c r="F500" s="4" t="s">
        <v>233</v>
      </c>
      <c r="G500" s="4" t="s">
        <v>1299</v>
      </c>
      <c r="H500" s="4" t="s">
        <v>1313</v>
      </c>
      <c r="I500" s="3">
        <v>3</v>
      </c>
      <c r="J500" s="29" t="str">
        <f t="shared" si="63"/>
        <v>1</v>
      </c>
      <c r="K500" s="54" t="str">
        <f t="shared" si="64"/>
        <v>0</v>
      </c>
      <c r="L500" s="69" t="str">
        <f t="shared" si="72"/>
        <v>1</v>
      </c>
      <c r="M500" s="74" t="str">
        <f t="shared" si="66"/>
        <v>1</v>
      </c>
      <c r="N500" s="29" t="str">
        <f t="shared" si="67"/>
        <v>0</v>
      </c>
      <c r="O500" s="61" t="str">
        <f t="shared" ca="1" si="68"/>
        <v>1</v>
      </c>
      <c r="P500" s="65" t="str">
        <f t="shared" si="69"/>
        <v>1</v>
      </c>
      <c r="Q500" s="46">
        <f t="shared" ca="1" si="71"/>
        <v>5</v>
      </c>
      <c r="R500" s="83" t="str">
        <f t="shared" ca="1" si="70"/>
        <v>ผ่าน</v>
      </c>
      <c r="S500" s="3" t="s">
        <v>28</v>
      </c>
      <c r="Y500" s="36">
        <v>6610488127</v>
      </c>
    </row>
    <row r="501" spans="1:25" ht="18" customHeight="1">
      <c r="A501" s="3">
        <v>499</v>
      </c>
      <c r="B501" s="3">
        <v>6412866227</v>
      </c>
      <c r="C501" s="4" t="s">
        <v>29</v>
      </c>
      <c r="D501" s="4" t="s">
        <v>1320</v>
      </c>
      <c r="E501" s="4" t="s">
        <v>1321</v>
      </c>
      <c r="F501" s="4" t="s">
        <v>507</v>
      </c>
      <c r="G501" s="4" t="s">
        <v>1299</v>
      </c>
      <c r="H501" s="4" t="s">
        <v>1313</v>
      </c>
      <c r="I501" s="3">
        <v>3</v>
      </c>
      <c r="J501" s="29" t="str">
        <f t="shared" si="63"/>
        <v>1</v>
      </c>
      <c r="K501" s="54" t="str">
        <f t="shared" si="64"/>
        <v>1</v>
      </c>
      <c r="L501" s="69" t="str">
        <f t="shared" si="72"/>
        <v>0</v>
      </c>
      <c r="M501" s="74" t="str">
        <f t="shared" si="66"/>
        <v>1</v>
      </c>
      <c r="N501" s="29" t="str">
        <f t="shared" si="67"/>
        <v>0</v>
      </c>
      <c r="O501" s="61" t="str">
        <f t="shared" ca="1" si="68"/>
        <v>1</v>
      </c>
      <c r="P501" s="65" t="str">
        <f t="shared" si="69"/>
        <v>1</v>
      </c>
      <c r="Q501" s="46">
        <f t="shared" ca="1" si="71"/>
        <v>5</v>
      </c>
      <c r="R501" s="83" t="str">
        <f t="shared" ca="1" si="70"/>
        <v>ผ่าน</v>
      </c>
      <c r="S501" s="3" t="s">
        <v>28</v>
      </c>
      <c r="Y501" s="36">
        <v>6412743112</v>
      </c>
    </row>
    <row r="502" spans="1:25" ht="18" customHeight="1">
      <c r="A502" s="3">
        <v>500</v>
      </c>
      <c r="B502" s="3">
        <v>6312866130</v>
      </c>
      <c r="C502" s="4" t="s">
        <v>29</v>
      </c>
      <c r="D502" s="4" t="s">
        <v>1322</v>
      </c>
      <c r="E502" s="4" t="s">
        <v>1323</v>
      </c>
      <c r="F502" s="4" t="s">
        <v>1324</v>
      </c>
      <c r="G502" s="4" t="s">
        <v>1299</v>
      </c>
      <c r="H502" s="4" t="s">
        <v>1313</v>
      </c>
      <c r="I502" s="3">
        <v>4</v>
      </c>
      <c r="J502" s="29" t="str">
        <f t="shared" si="63"/>
        <v>1</v>
      </c>
      <c r="K502" s="54">
        <v>1</v>
      </c>
      <c r="L502" s="69" t="str">
        <f t="shared" si="72"/>
        <v>0</v>
      </c>
      <c r="M502" s="74" t="str">
        <f t="shared" si="66"/>
        <v>0</v>
      </c>
      <c r="N502" s="29" t="str">
        <f t="shared" si="67"/>
        <v>0</v>
      </c>
      <c r="O502" s="61">
        <v>1</v>
      </c>
      <c r="P502" s="65">
        <v>1</v>
      </c>
      <c r="Q502" s="46">
        <f t="shared" si="71"/>
        <v>4</v>
      </c>
      <c r="R502" s="83" t="str">
        <f t="shared" si="70"/>
        <v>ผ่าน</v>
      </c>
      <c r="S502" s="3" t="s">
        <v>28</v>
      </c>
      <c r="Y502" s="36">
        <v>6610488111</v>
      </c>
    </row>
    <row r="503" spans="1:25" ht="18" customHeight="1">
      <c r="A503" s="3">
        <v>501</v>
      </c>
      <c r="B503" s="3">
        <v>6312866135</v>
      </c>
      <c r="C503" s="4" t="s">
        <v>29</v>
      </c>
      <c r="D503" s="4" t="s">
        <v>186</v>
      </c>
      <c r="E503" s="4" t="s">
        <v>1325</v>
      </c>
      <c r="F503" s="4" t="s">
        <v>1326</v>
      </c>
      <c r="G503" s="4" t="s">
        <v>1299</v>
      </c>
      <c r="H503" s="4" t="s">
        <v>1313</v>
      </c>
      <c r="I503" s="3">
        <v>4</v>
      </c>
      <c r="J503" s="29" t="str">
        <f t="shared" si="63"/>
        <v>1</v>
      </c>
      <c r="K503" s="54">
        <v>1</v>
      </c>
      <c r="L503" s="69" t="str">
        <f t="shared" si="72"/>
        <v>0</v>
      </c>
      <c r="M503" s="74" t="str">
        <f t="shared" si="66"/>
        <v>0</v>
      </c>
      <c r="N503" s="29" t="str">
        <f t="shared" si="67"/>
        <v>0</v>
      </c>
      <c r="O503" s="61">
        <v>1</v>
      </c>
      <c r="P503" s="65">
        <v>1</v>
      </c>
      <c r="Q503" s="46">
        <f t="shared" si="71"/>
        <v>4</v>
      </c>
      <c r="R503" s="83" t="str">
        <f t="shared" si="70"/>
        <v>ผ่าน</v>
      </c>
      <c r="S503" s="3" t="s">
        <v>28</v>
      </c>
      <c r="Y503" s="36">
        <v>6410106104</v>
      </c>
    </row>
    <row r="504" spans="1:25" ht="18" customHeight="1">
      <c r="A504" s="3">
        <v>502</v>
      </c>
      <c r="B504" s="3">
        <v>6310226205</v>
      </c>
      <c r="C504" s="4" t="s">
        <v>22</v>
      </c>
      <c r="D504" s="4" t="s">
        <v>1327</v>
      </c>
      <c r="E504" s="4" t="s">
        <v>1328</v>
      </c>
      <c r="F504" s="4" t="s">
        <v>1329</v>
      </c>
      <c r="G504" s="4" t="s">
        <v>1299</v>
      </c>
      <c r="H504" s="4" t="s">
        <v>1330</v>
      </c>
      <c r="I504" s="3">
        <v>4</v>
      </c>
      <c r="J504" s="29" t="str">
        <f t="shared" si="63"/>
        <v>1</v>
      </c>
      <c r="K504" s="54">
        <v>1</v>
      </c>
      <c r="L504" s="69" t="str">
        <f t="shared" si="72"/>
        <v>0</v>
      </c>
      <c r="M504" s="74" t="str">
        <f t="shared" si="66"/>
        <v>1</v>
      </c>
      <c r="N504" s="29" t="str">
        <f t="shared" si="67"/>
        <v>0</v>
      </c>
      <c r="O504" s="61">
        <v>1</v>
      </c>
      <c r="P504" s="65">
        <v>1</v>
      </c>
      <c r="Q504" s="46">
        <f t="shared" si="71"/>
        <v>5</v>
      </c>
      <c r="R504" s="83" t="str">
        <f t="shared" si="70"/>
        <v>ผ่าน</v>
      </c>
      <c r="S504" s="3" t="s">
        <v>28</v>
      </c>
      <c r="Y504" s="36">
        <v>6410106119</v>
      </c>
    </row>
    <row r="505" spans="1:25" ht="18" customHeight="1">
      <c r="A505" s="3">
        <v>503</v>
      </c>
      <c r="B505" s="3">
        <v>6510059103</v>
      </c>
      <c r="C505" s="4" t="s">
        <v>29</v>
      </c>
      <c r="D505" s="4" t="s">
        <v>1331</v>
      </c>
      <c r="E505" s="4" t="s">
        <v>1332</v>
      </c>
      <c r="F505" s="4" t="s">
        <v>1333</v>
      </c>
      <c r="G505" s="4" t="s">
        <v>1334</v>
      </c>
      <c r="H505" s="4" t="s">
        <v>1335</v>
      </c>
      <c r="I505" s="3">
        <v>2</v>
      </c>
      <c r="J505" s="29" t="str">
        <f t="shared" si="63"/>
        <v>1</v>
      </c>
      <c r="K505" s="54" t="str">
        <f t="shared" si="64"/>
        <v>1</v>
      </c>
      <c r="L505" s="69" t="str">
        <f t="shared" si="72"/>
        <v>0</v>
      </c>
      <c r="M505" s="74" t="str">
        <f t="shared" si="66"/>
        <v>1</v>
      </c>
      <c r="N505" s="29" t="str">
        <f t="shared" si="67"/>
        <v>0</v>
      </c>
      <c r="O505" s="61" t="str">
        <f t="shared" ca="1" si="68"/>
        <v>1</v>
      </c>
      <c r="P505" s="65" t="str">
        <f t="shared" si="69"/>
        <v>1</v>
      </c>
      <c r="Q505" s="46">
        <f t="shared" ca="1" si="71"/>
        <v>5</v>
      </c>
      <c r="R505" s="83" t="str">
        <f t="shared" ca="1" si="70"/>
        <v>ผ่าน</v>
      </c>
      <c r="S505" s="3" t="s">
        <v>28</v>
      </c>
      <c r="Y505" s="36">
        <v>6410106225</v>
      </c>
    </row>
    <row r="506" spans="1:25" ht="18" customHeight="1">
      <c r="A506" s="3">
        <v>504</v>
      </c>
      <c r="B506" s="3">
        <v>6410059112</v>
      </c>
      <c r="C506" s="4" t="s">
        <v>29</v>
      </c>
      <c r="D506" s="4" t="s">
        <v>211</v>
      </c>
      <c r="E506" s="4" t="s">
        <v>1336</v>
      </c>
      <c r="F506" s="4" t="s">
        <v>1337</v>
      </c>
      <c r="G506" s="4" t="s">
        <v>1334</v>
      </c>
      <c r="H506" s="4" t="s">
        <v>1335</v>
      </c>
      <c r="I506" s="3">
        <v>3</v>
      </c>
      <c r="J506" s="29" t="str">
        <f t="shared" si="63"/>
        <v>0</v>
      </c>
      <c r="K506" s="54">
        <v>1</v>
      </c>
      <c r="L506" s="69" t="str">
        <f t="shared" si="72"/>
        <v>0</v>
      </c>
      <c r="M506" s="74" t="str">
        <f t="shared" si="66"/>
        <v>1</v>
      </c>
      <c r="N506" s="29" t="str">
        <f t="shared" si="67"/>
        <v>0</v>
      </c>
      <c r="O506" s="61" t="str">
        <f t="shared" ca="1" si="68"/>
        <v>1</v>
      </c>
      <c r="P506" s="65" t="str">
        <f t="shared" si="69"/>
        <v>1</v>
      </c>
      <c r="Q506" s="46">
        <f t="shared" ca="1" si="71"/>
        <v>4</v>
      </c>
      <c r="R506" s="83" t="str">
        <f t="shared" ca="1" si="70"/>
        <v>ผ่าน</v>
      </c>
      <c r="S506" s="3" t="s">
        <v>28</v>
      </c>
      <c r="Y506" s="36">
        <v>6410073109</v>
      </c>
    </row>
    <row r="507" spans="1:25" ht="18" customHeight="1">
      <c r="A507" s="3">
        <v>505</v>
      </c>
      <c r="B507" s="3">
        <v>6610073102</v>
      </c>
      <c r="C507" s="4" t="s">
        <v>22</v>
      </c>
      <c r="D507" s="4" t="s">
        <v>1338</v>
      </c>
      <c r="E507" s="4" t="s">
        <v>766</v>
      </c>
      <c r="F507" s="4" t="s">
        <v>1339</v>
      </c>
      <c r="G507" s="4" t="s">
        <v>1334</v>
      </c>
      <c r="H507" s="4" t="s">
        <v>1340</v>
      </c>
      <c r="I507" s="3">
        <v>1</v>
      </c>
      <c r="J507" s="29" t="str">
        <f t="shared" si="63"/>
        <v>0</v>
      </c>
      <c r="K507" s="54" t="str">
        <f t="shared" si="64"/>
        <v>1</v>
      </c>
      <c r="L507" s="69" t="str">
        <f t="shared" si="72"/>
        <v>0</v>
      </c>
      <c r="M507" s="74" t="str">
        <f t="shared" si="66"/>
        <v>1</v>
      </c>
      <c r="N507" s="29" t="str">
        <f t="shared" si="67"/>
        <v>0</v>
      </c>
      <c r="O507" s="61" t="str">
        <f t="shared" ca="1" si="68"/>
        <v>1</v>
      </c>
      <c r="P507" s="65" t="str">
        <f t="shared" si="69"/>
        <v>1</v>
      </c>
      <c r="Q507" s="46">
        <f t="shared" ca="1" si="71"/>
        <v>4</v>
      </c>
      <c r="R507" s="83" t="str">
        <f t="shared" ca="1" si="70"/>
        <v>ผ่าน</v>
      </c>
      <c r="S507" s="3" t="s">
        <v>28</v>
      </c>
      <c r="Y507" s="36">
        <v>6511506217</v>
      </c>
    </row>
    <row r="508" spans="1:25" ht="18" customHeight="1">
      <c r="A508" s="3">
        <v>506</v>
      </c>
      <c r="B508" s="3">
        <v>6610073103</v>
      </c>
      <c r="C508" s="4" t="s">
        <v>22</v>
      </c>
      <c r="D508" s="4" t="s">
        <v>845</v>
      </c>
      <c r="E508" s="4" t="s">
        <v>1341</v>
      </c>
      <c r="F508" s="4" t="s">
        <v>1342</v>
      </c>
      <c r="G508" s="4" t="s">
        <v>1334</v>
      </c>
      <c r="H508" s="4" t="s">
        <v>1340</v>
      </c>
      <c r="I508" s="3">
        <v>1</v>
      </c>
      <c r="J508" s="29" t="str">
        <f t="shared" si="63"/>
        <v>0</v>
      </c>
      <c r="K508" s="54" t="str">
        <f t="shared" si="64"/>
        <v>1</v>
      </c>
      <c r="L508" s="69" t="str">
        <f t="shared" si="72"/>
        <v>0</v>
      </c>
      <c r="M508" s="74" t="str">
        <f t="shared" si="66"/>
        <v>1</v>
      </c>
      <c r="N508" s="29" t="str">
        <f t="shared" si="67"/>
        <v>0</v>
      </c>
      <c r="O508" s="61" t="str">
        <f t="shared" ca="1" si="68"/>
        <v>1</v>
      </c>
      <c r="P508" s="65" t="str">
        <f t="shared" si="69"/>
        <v>0</v>
      </c>
      <c r="Q508" s="46">
        <f t="shared" ca="1" si="71"/>
        <v>3</v>
      </c>
      <c r="R508" s="83" t="str">
        <f t="shared" ca="1" si="70"/>
        <v>ผ่าน</v>
      </c>
      <c r="S508" s="3" t="s">
        <v>28</v>
      </c>
      <c r="Y508" s="36">
        <v>6612732118</v>
      </c>
    </row>
    <row r="509" spans="1:25" ht="18" customHeight="1">
      <c r="A509" s="3">
        <v>507</v>
      </c>
      <c r="B509" s="3">
        <v>6610073104</v>
      </c>
      <c r="C509" s="4" t="s">
        <v>22</v>
      </c>
      <c r="D509" s="4" t="s">
        <v>1343</v>
      </c>
      <c r="E509" s="4" t="s">
        <v>1344</v>
      </c>
      <c r="F509" s="4" t="s">
        <v>704</v>
      </c>
      <c r="G509" s="4" t="s">
        <v>1334</v>
      </c>
      <c r="H509" s="4" t="s">
        <v>1340</v>
      </c>
      <c r="I509" s="3">
        <v>1</v>
      </c>
      <c r="J509" s="29" t="str">
        <f t="shared" si="63"/>
        <v>0</v>
      </c>
      <c r="K509" s="54" t="str">
        <f t="shared" si="64"/>
        <v>1</v>
      </c>
      <c r="L509" s="69" t="str">
        <f t="shared" si="72"/>
        <v>0</v>
      </c>
      <c r="M509" s="74" t="str">
        <f t="shared" si="66"/>
        <v>1</v>
      </c>
      <c r="N509" s="29" t="str">
        <f t="shared" si="67"/>
        <v>0</v>
      </c>
      <c r="O509" s="61" t="str">
        <f t="shared" ca="1" si="68"/>
        <v>1</v>
      </c>
      <c r="P509" s="65" t="str">
        <f t="shared" si="69"/>
        <v>1</v>
      </c>
      <c r="Q509" s="46">
        <f t="shared" ca="1" si="71"/>
        <v>4</v>
      </c>
      <c r="R509" s="83" t="str">
        <f t="shared" ca="1" si="70"/>
        <v>ผ่าน</v>
      </c>
      <c r="S509" s="3" t="s">
        <v>28</v>
      </c>
      <c r="Y509" s="36">
        <v>6511506214</v>
      </c>
    </row>
    <row r="510" spans="1:25" ht="18" customHeight="1">
      <c r="A510" s="3">
        <v>508</v>
      </c>
      <c r="B510" s="3">
        <v>6610073105</v>
      </c>
      <c r="C510" s="4" t="s">
        <v>22</v>
      </c>
      <c r="D510" s="4" t="s">
        <v>1345</v>
      </c>
      <c r="E510" s="4" t="s">
        <v>1346</v>
      </c>
      <c r="F510" s="4" t="s">
        <v>687</v>
      </c>
      <c r="G510" s="4" t="s">
        <v>1334</v>
      </c>
      <c r="H510" s="4" t="s">
        <v>1340</v>
      </c>
      <c r="I510" s="3">
        <v>1</v>
      </c>
      <c r="J510" s="29" t="str">
        <f t="shared" si="63"/>
        <v>0</v>
      </c>
      <c r="K510" s="54" t="str">
        <f t="shared" si="64"/>
        <v>1</v>
      </c>
      <c r="L510" s="69" t="str">
        <f t="shared" si="72"/>
        <v>0</v>
      </c>
      <c r="M510" s="74" t="str">
        <f t="shared" si="66"/>
        <v>1</v>
      </c>
      <c r="N510" s="29" t="str">
        <f t="shared" si="67"/>
        <v>0</v>
      </c>
      <c r="O510" s="61" t="str">
        <f t="shared" ca="1" si="68"/>
        <v>1</v>
      </c>
      <c r="P510" s="65" t="str">
        <f t="shared" si="69"/>
        <v>1</v>
      </c>
      <c r="Q510" s="46">
        <f t="shared" ca="1" si="71"/>
        <v>4</v>
      </c>
      <c r="R510" s="83" t="str">
        <f t="shared" ca="1" si="70"/>
        <v>ผ่าน</v>
      </c>
      <c r="S510" s="3" t="s">
        <v>28</v>
      </c>
      <c r="Y510" s="36">
        <v>6511506224</v>
      </c>
    </row>
    <row r="511" spans="1:25" ht="18" customHeight="1">
      <c r="A511" s="3">
        <v>509</v>
      </c>
      <c r="B511" s="3">
        <v>6610073106</v>
      </c>
      <c r="C511" s="4" t="s">
        <v>22</v>
      </c>
      <c r="D511" s="4" t="s">
        <v>1347</v>
      </c>
      <c r="E511" s="4" t="s">
        <v>895</v>
      </c>
      <c r="F511" s="4" t="s">
        <v>1348</v>
      </c>
      <c r="G511" s="4" t="s">
        <v>1334</v>
      </c>
      <c r="H511" s="4" t="s">
        <v>1340</v>
      </c>
      <c r="I511" s="3">
        <v>1</v>
      </c>
      <c r="J511" s="29" t="str">
        <f t="shared" si="63"/>
        <v>0</v>
      </c>
      <c r="K511" s="54" t="str">
        <f t="shared" si="64"/>
        <v>1</v>
      </c>
      <c r="L511" s="69" t="str">
        <f t="shared" si="72"/>
        <v>0</v>
      </c>
      <c r="M511" s="74" t="str">
        <f t="shared" si="66"/>
        <v>1</v>
      </c>
      <c r="N511" s="29" t="str">
        <f t="shared" si="67"/>
        <v>0</v>
      </c>
      <c r="O511" s="61" t="str">
        <f t="shared" ca="1" si="68"/>
        <v>0</v>
      </c>
      <c r="P511" s="65" t="str">
        <f t="shared" si="69"/>
        <v>0</v>
      </c>
      <c r="Q511" s="46">
        <f t="shared" ca="1" si="71"/>
        <v>2</v>
      </c>
      <c r="R511" s="3" t="str">
        <f t="shared" ca="1" si="70"/>
        <v>ไม่ผ่าน</v>
      </c>
      <c r="S511" s="3" t="s">
        <v>28</v>
      </c>
      <c r="Y511" s="36">
        <v>6612732108</v>
      </c>
    </row>
    <row r="512" spans="1:25" ht="18" customHeight="1">
      <c r="A512" s="3">
        <v>510</v>
      </c>
      <c r="B512" s="3">
        <v>6610073107</v>
      </c>
      <c r="C512" s="4" t="s">
        <v>22</v>
      </c>
      <c r="D512" s="4" t="s">
        <v>676</v>
      </c>
      <c r="E512" s="4" t="s">
        <v>1174</v>
      </c>
      <c r="F512" s="4" t="s">
        <v>725</v>
      </c>
      <c r="G512" s="4" t="s">
        <v>1334</v>
      </c>
      <c r="H512" s="4" t="s">
        <v>1340</v>
      </c>
      <c r="I512" s="3">
        <v>1</v>
      </c>
      <c r="J512" s="29" t="str">
        <f t="shared" si="63"/>
        <v>0</v>
      </c>
      <c r="K512" s="54" t="str">
        <f t="shared" si="64"/>
        <v>1</v>
      </c>
      <c r="L512" s="69" t="str">
        <f t="shared" si="72"/>
        <v>0</v>
      </c>
      <c r="M512" s="74" t="str">
        <f t="shared" si="66"/>
        <v>1</v>
      </c>
      <c r="N512" s="29" t="str">
        <f t="shared" si="67"/>
        <v>0</v>
      </c>
      <c r="O512" s="61" t="str">
        <f t="shared" ca="1" si="68"/>
        <v>0</v>
      </c>
      <c r="P512" s="65" t="str">
        <f t="shared" si="69"/>
        <v>0</v>
      </c>
      <c r="Q512" s="46">
        <f t="shared" ca="1" si="71"/>
        <v>2</v>
      </c>
      <c r="R512" s="3" t="str">
        <f t="shared" ca="1" si="70"/>
        <v>ไม่ผ่าน</v>
      </c>
      <c r="S512" s="3" t="s">
        <v>28</v>
      </c>
      <c r="Y512" s="36">
        <v>6610068224</v>
      </c>
    </row>
    <row r="513" spans="1:25" ht="18" customHeight="1">
      <c r="A513" s="3">
        <v>511</v>
      </c>
      <c r="B513" s="3">
        <v>6610073108</v>
      </c>
      <c r="C513" s="4" t="s">
        <v>22</v>
      </c>
      <c r="D513" s="4" t="s">
        <v>1349</v>
      </c>
      <c r="E513" s="4" t="s">
        <v>1350</v>
      </c>
      <c r="F513" s="4" t="s">
        <v>1351</v>
      </c>
      <c r="G513" s="4" t="s">
        <v>1334</v>
      </c>
      <c r="H513" s="4" t="s">
        <v>1340</v>
      </c>
      <c r="I513" s="3">
        <v>1</v>
      </c>
      <c r="J513" s="29" t="str">
        <f t="shared" si="63"/>
        <v>0</v>
      </c>
      <c r="K513" s="54" t="str">
        <f t="shared" si="64"/>
        <v>1</v>
      </c>
      <c r="L513" s="69" t="str">
        <f t="shared" si="72"/>
        <v>0</v>
      </c>
      <c r="M513" s="74" t="str">
        <f t="shared" si="66"/>
        <v>1</v>
      </c>
      <c r="N513" s="29" t="str">
        <f t="shared" si="67"/>
        <v>0</v>
      </c>
      <c r="O513" s="61" t="str">
        <f t="shared" ca="1" si="68"/>
        <v>0</v>
      </c>
      <c r="P513" s="65" t="str">
        <f t="shared" si="69"/>
        <v>0</v>
      </c>
      <c r="Q513" s="46">
        <f t="shared" ca="1" si="71"/>
        <v>2</v>
      </c>
      <c r="R513" s="3" t="str">
        <f t="shared" ca="1" si="70"/>
        <v>ไม่ผ่าน</v>
      </c>
      <c r="S513" s="3" t="s">
        <v>28</v>
      </c>
      <c r="Y513" s="36">
        <v>6410106215</v>
      </c>
    </row>
    <row r="514" spans="1:25" ht="18" customHeight="1">
      <c r="A514" s="3">
        <v>512</v>
      </c>
      <c r="B514" s="3">
        <v>6610073109</v>
      </c>
      <c r="C514" s="4" t="s">
        <v>22</v>
      </c>
      <c r="D514" s="4" t="s">
        <v>1352</v>
      </c>
      <c r="E514" s="4" t="s">
        <v>1353</v>
      </c>
      <c r="F514" s="4" t="s">
        <v>704</v>
      </c>
      <c r="G514" s="4" t="s">
        <v>1334</v>
      </c>
      <c r="H514" s="4" t="s">
        <v>1340</v>
      </c>
      <c r="I514" s="3">
        <v>1</v>
      </c>
      <c r="J514" s="29" t="str">
        <f t="shared" si="63"/>
        <v>0</v>
      </c>
      <c r="K514" s="54" t="str">
        <f t="shared" si="64"/>
        <v>1</v>
      </c>
      <c r="L514" s="69" t="str">
        <f t="shared" si="72"/>
        <v>0</v>
      </c>
      <c r="M514" s="74" t="str">
        <f t="shared" si="66"/>
        <v>1</v>
      </c>
      <c r="N514" s="29" t="str">
        <f t="shared" si="67"/>
        <v>0</v>
      </c>
      <c r="O514" s="61" t="str">
        <f t="shared" ca="1" si="68"/>
        <v>1</v>
      </c>
      <c r="P514" s="65" t="str">
        <f t="shared" si="69"/>
        <v>1</v>
      </c>
      <c r="Q514" s="46">
        <f t="shared" ca="1" si="71"/>
        <v>4</v>
      </c>
      <c r="R514" s="83" t="str">
        <f t="shared" ca="1" si="70"/>
        <v>ผ่าน</v>
      </c>
      <c r="S514" s="3" t="s">
        <v>28</v>
      </c>
      <c r="Y514" s="36">
        <v>6410106218</v>
      </c>
    </row>
    <row r="515" spans="1:25" ht="18" customHeight="1">
      <c r="A515" s="3">
        <v>513</v>
      </c>
      <c r="B515" s="3">
        <v>6610073113</v>
      </c>
      <c r="C515" s="4" t="s">
        <v>29</v>
      </c>
      <c r="D515" s="4" t="s">
        <v>1354</v>
      </c>
      <c r="E515" s="4" t="s">
        <v>1355</v>
      </c>
      <c r="F515" s="4" t="s">
        <v>1356</v>
      </c>
      <c r="G515" s="4" t="s">
        <v>1334</v>
      </c>
      <c r="H515" s="4" t="s">
        <v>1340</v>
      </c>
      <c r="I515" s="3">
        <v>1</v>
      </c>
      <c r="J515" s="29" t="str">
        <f t="shared" ref="J515:J578" si="73">IF(IFERROR(VLOOKUP(B515,DATA,1,FALSE),),"1","0")</f>
        <v>0</v>
      </c>
      <c r="K515" s="54" t="str">
        <f t="shared" ref="K515:K578" si="74">IF(IFERROR(VLOOKUP(B515,DATA8,1,FALSE),),"1","0")</f>
        <v>1</v>
      </c>
      <c r="L515" s="69" t="str">
        <f t="shared" si="72"/>
        <v>0</v>
      </c>
      <c r="M515" s="74" t="str">
        <f t="shared" ref="M515:M578" si="75">IF(IFERROR(VLOOKUP(B515,DATA9,1,FALSE),),"1","0")</f>
        <v>1</v>
      </c>
      <c r="N515" s="29" t="str">
        <f t="shared" ref="N515:N578" si="76">IF(IFERROR(VLOOKUP(B515,DATA10,1,FALSE),),"1","0")</f>
        <v>0</v>
      </c>
      <c r="O515" s="61" t="str">
        <f t="shared" ref="O515:O578" ca="1" si="77">IF(IFERROR(VLOOKUP(B515,DATA11,1,FALSE),),"1","0")</f>
        <v>1</v>
      </c>
      <c r="P515" s="65" t="str">
        <f t="shared" ref="P515:P578" si="78">IF(IFERROR(VLOOKUP(B515,DATA12,1,FALSE),),"1","0")</f>
        <v>1</v>
      </c>
      <c r="Q515" s="46">
        <f t="shared" ca="1" si="71"/>
        <v>4</v>
      </c>
      <c r="R515" s="83" t="str">
        <f t="shared" ref="R515:R578" ca="1" si="79">IF(Q515&gt;=3,"ผ่าน",IF(Q515&lt;3,"ไม่ผ่าน"))</f>
        <v>ผ่าน</v>
      </c>
      <c r="S515" s="3" t="s">
        <v>28</v>
      </c>
      <c r="Y515" s="36">
        <v>6412866119</v>
      </c>
    </row>
    <row r="516" spans="1:25" ht="18" customHeight="1">
      <c r="A516" s="3">
        <v>514</v>
      </c>
      <c r="B516" s="3">
        <v>6610073114</v>
      </c>
      <c r="C516" s="4" t="s">
        <v>29</v>
      </c>
      <c r="D516" s="4" t="s">
        <v>1357</v>
      </c>
      <c r="E516" s="4" t="s">
        <v>1358</v>
      </c>
      <c r="F516" s="4" t="s">
        <v>1359</v>
      </c>
      <c r="G516" s="4" t="s">
        <v>1334</v>
      </c>
      <c r="H516" s="4" t="s">
        <v>1340</v>
      </c>
      <c r="I516" s="3">
        <v>1</v>
      </c>
      <c r="J516" s="29" t="str">
        <f t="shared" si="73"/>
        <v>0</v>
      </c>
      <c r="K516" s="54" t="str">
        <f t="shared" si="74"/>
        <v>1</v>
      </c>
      <c r="L516" s="69" t="str">
        <f t="shared" si="72"/>
        <v>0</v>
      </c>
      <c r="M516" s="74" t="str">
        <f t="shared" si="75"/>
        <v>1</v>
      </c>
      <c r="N516" s="29" t="str">
        <f t="shared" si="76"/>
        <v>0</v>
      </c>
      <c r="O516" s="61" t="str">
        <f t="shared" ca="1" si="77"/>
        <v>1</v>
      </c>
      <c r="P516" s="65" t="str">
        <f t="shared" si="78"/>
        <v>1</v>
      </c>
      <c r="Q516" s="46">
        <f t="shared" ref="Q516:Q579" ca="1" si="80">J516+K516+L516+M516+N516+O516+P516</f>
        <v>4</v>
      </c>
      <c r="R516" s="83" t="str">
        <f t="shared" ca="1" si="79"/>
        <v>ผ่าน</v>
      </c>
      <c r="S516" s="3" t="s">
        <v>28</v>
      </c>
      <c r="Y516" s="36">
        <v>6515964105</v>
      </c>
    </row>
    <row r="517" spans="1:25" ht="18" customHeight="1">
      <c r="A517" s="3">
        <v>515</v>
      </c>
      <c r="B517" s="3">
        <v>6610073115</v>
      </c>
      <c r="C517" s="4" t="s">
        <v>29</v>
      </c>
      <c r="D517" s="4" t="s">
        <v>1360</v>
      </c>
      <c r="E517" s="4" t="s">
        <v>1361</v>
      </c>
      <c r="F517" s="4" t="s">
        <v>1272</v>
      </c>
      <c r="G517" s="4" t="s">
        <v>1334</v>
      </c>
      <c r="H517" s="4" t="s">
        <v>1340</v>
      </c>
      <c r="I517" s="3">
        <v>1</v>
      </c>
      <c r="J517" s="29" t="str">
        <f t="shared" si="73"/>
        <v>0</v>
      </c>
      <c r="K517" s="54" t="str">
        <f t="shared" si="74"/>
        <v>1</v>
      </c>
      <c r="L517" s="69" t="str">
        <f t="shared" si="72"/>
        <v>0</v>
      </c>
      <c r="M517" s="74" t="str">
        <f t="shared" si="75"/>
        <v>1</v>
      </c>
      <c r="N517" s="29" t="str">
        <f t="shared" si="76"/>
        <v>0</v>
      </c>
      <c r="O517" s="61" t="str">
        <f t="shared" ca="1" si="77"/>
        <v>1</v>
      </c>
      <c r="P517" s="65" t="str">
        <f t="shared" si="78"/>
        <v>1</v>
      </c>
      <c r="Q517" s="46">
        <f t="shared" ca="1" si="80"/>
        <v>4</v>
      </c>
      <c r="R517" s="83" t="str">
        <f t="shared" ca="1" si="79"/>
        <v>ผ่าน</v>
      </c>
      <c r="S517" s="3" t="s">
        <v>28</v>
      </c>
      <c r="Y517" s="36">
        <v>6410073113</v>
      </c>
    </row>
    <row r="518" spans="1:25" ht="18" customHeight="1">
      <c r="A518" s="3">
        <v>516</v>
      </c>
      <c r="B518" s="3">
        <v>6610073116</v>
      </c>
      <c r="C518" s="4" t="s">
        <v>29</v>
      </c>
      <c r="D518" s="4" t="s">
        <v>1212</v>
      </c>
      <c r="E518" s="4" t="s">
        <v>1362</v>
      </c>
      <c r="F518" s="4" t="s">
        <v>869</v>
      </c>
      <c r="G518" s="4" t="s">
        <v>1334</v>
      </c>
      <c r="H518" s="4" t="s">
        <v>1340</v>
      </c>
      <c r="I518" s="3">
        <v>1</v>
      </c>
      <c r="J518" s="29" t="str">
        <f t="shared" si="73"/>
        <v>0</v>
      </c>
      <c r="K518" s="54" t="str">
        <f t="shared" si="74"/>
        <v>1</v>
      </c>
      <c r="L518" s="69" t="str">
        <f t="shared" si="72"/>
        <v>0</v>
      </c>
      <c r="M518" s="74" t="str">
        <f t="shared" si="75"/>
        <v>0</v>
      </c>
      <c r="N518" s="29" t="str">
        <f t="shared" si="76"/>
        <v>0</v>
      </c>
      <c r="O518" s="61" t="str">
        <f t="shared" ca="1" si="77"/>
        <v>0</v>
      </c>
      <c r="P518" s="65" t="str">
        <f t="shared" si="78"/>
        <v>0</v>
      </c>
      <c r="Q518" s="46">
        <f t="shared" ca="1" si="80"/>
        <v>1</v>
      </c>
      <c r="R518" s="3" t="str">
        <f t="shared" ca="1" si="79"/>
        <v>ไม่ผ่าน</v>
      </c>
      <c r="S518" s="3" t="s">
        <v>28</v>
      </c>
      <c r="Y518" s="36">
        <v>6410633230</v>
      </c>
    </row>
    <row r="519" spans="1:25" ht="18" customHeight="1">
      <c r="A519" s="3">
        <v>517</v>
      </c>
      <c r="B519" s="3">
        <v>6610073117</v>
      </c>
      <c r="C519" s="4" t="s">
        <v>22</v>
      </c>
      <c r="D519" s="4" t="s">
        <v>1363</v>
      </c>
      <c r="E519" s="4" t="s">
        <v>1364</v>
      </c>
      <c r="F519" s="4" t="s">
        <v>1365</v>
      </c>
      <c r="G519" s="4" t="s">
        <v>1334</v>
      </c>
      <c r="H519" s="4" t="s">
        <v>1340</v>
      </c>
      <c r="I519" s="3">
        <v>1</v>
      </c>
      <c r="J519" s="29" t="str">
        <f t="shared" si="73"/>
        <v>0</v>
      </c>
      <c r="K519" s="54" t="str">
        <f t="shared" si="74"/>
        <v>1</v>
      </c>
      <c r="L519" s="69" t="str">
        <f t="shared" si="72"/>
        <v>0</v>
      </c>
      <c r="M519" s="74" t="str">
        <f t="shared" si="75"/>
        <v>1</v>
      </c>
      <c r="N519" s="29" t="str">
        <f t="shared" si="76"/>
        <v>0</v>
      </c>
      <c r="O519" s="61" t="str">
        <f t="shared" ca="1" si="77"/>
        <v>0</v>
      </c>
      <c r="P519" s="65" t="str">
        <f t="shared" si="78"/>
        <v>0</v>
      </c>
      <c r="Q519" s="46">
        <f t="shared" ca="1" si="80"/>
        <v>2</v>
      </c>
      <c r="R519" s="3" t="str">
        <f t="shared" ca="1" si="79"/>
        <v>ไม่ผ่าน</v>
      </c>
      <c r="S519" s="3" t="s">
        <v>28</v>
      </c>
      <c r="Y519" s="36">
        <v>6511506115</v>
      </c>
    </row>
    <row r="520" spans="1:25" ht="18" customHeight="1">
      <c r="A520" s="3">
        <v>518</v>
      </c>
      <c r="B520" s="3">
        <v>6610073118</v>
      </c>
      <c r="C520" s="4" t="s">
        <v>29</v>
      </c>
      <c r="D520" s="4" t="s">
        <v>1366</v>
      </c>
      <c r="E520" s="4" t="s">
        <v>1367</v>
      </c>
      <c r="F520" s="4" t="s">
        <v>104</v>
      </c>
      <c r="G520" s="4" t="s">
        <v>1334</v>
      </c>
      <c r="H520" s="4" t="s">
        <v>1340</v>
      </c>
      <c r="I520" s="3">
        <v>1</v>
      </c>
      <c r="J520" s="29" t="str">
        <f t="shared" si="73"/>
        <v>0</v>
      </c>
      <c r="K520" s="54" t="str">
        <f t="shared" si="74"/>
        <v>1</v>
      </c>
      <c r="L520" s="69" t="str">
        <f t="shared" si="72"/>
        <v>0</v>
      </c>
      <c r="M520" s="74" t="str">
        <f t="shared" si="75"/>
        <v>0</v>
      </c>
      <c r="N520" s="29" t="str">
        <f t="shared" si="76"/>
        <v>0</v>
      </c>
      <c r="O520" s="61" t="str">
        <f t="shared" ca="1" si="77"/>
        <v>1</v>
      </c>
      <c r="P520" s="65" t="str">
        <f t="shared" si="78"/>
        <v>1</v>
      </c>
      <c r="Q520" s="46">
        <f t="shared" ca="1" si="80"/>
        <v>3</v>
      </c>
      <c r="R520" s="83" t="str">
        <f t="shared" ca="1" si="79"/>
        <v>ผ่าน</v>
      </c>
      <c r="S520" s="3" t="s">
        <v>28</v>
      </c>
      <c r="Y520" s="36">
        <v>6410488106</v>
      </c>
    </row>
    <row r="521" spans="1:25" ht="18" customHeight="1">
      <c r="A521" s="3">
        <v>519</v>
      </c>
      <c r="B521" s="3">
        <v>6410073101</v>
      </c>
      <c r="C521" s="4" t="s">
        <v>22</v>
      </c>
      <c r="D521" s="4" t="s">
        <v>1368</v>
      </c>
      <c r="E521" s="4" t="s">
        <v>1369</v>
      </c>
      <c r="F521" s="4" t="s">
        <v>107</v>
      </c>
      <c r="G521" s="4" t="s">
        <v>1334</v>
      </c>
      <c r="H521" s="4" t="s">
        <v>1340</v>
      </c>
      <c r="I521" s="3">
        <v>3</v>
      </c>
      <c r="J521" s="29" t="str">
        <f t="shared" si="73"/>
        <v>1</v>
      </c>
      <c r="K521" s="54">
        <v>1</v>
      </c>
      <c r="L521" s="69" t="str">
        <f t="shared" si="72"/>
        <v>0</v>
      </c>
      <c r="M521" s="74" t="str">
        <f t="shared" si="75"/>
        <v>1</v>
      </c>
      <c r="N521" s="29" t="str">
        <f t="shared" si="76"/>
        <v>0</v>
      </c>
      <c r="O521" s="61" t="str">
        <f t="shared" ca="1" si="77"/>
        <v>1</v>
      </c>
      <c r="P521" s="65" t="str">
        <f t="shared" si="78"/>
        <v>1</v>
      </c>
      <c r="Q521" s="46">
        <f t="shared" ca="1" si="80"/>
        <v>5</v>
      </c>
      <c r="R521" s="83" t="str">
        <f t="shared" ca="1" si="79"/>
        <v>ผ่าน</v>
      </c>
      <c r="S521" s="3" t="s">
        <v>28</v>
      </c>
      <c r="Y521" s="36">
        <v>6410488107</v>
      </c>
    </row>
    <row r="522" spans="1:25" ht="18" customHeight="1">
      <c r="A522" s="3">
        <v>520</v>
      </c>
      <c r="B522" s="3">
        <v>6410073104</v>
      </c>
      <c r="C522" s="4" t="s">
        <v>22</v>
      </c>
      <c r="D522" s="4" t="s">
        <v>1370</v>
      </c>
      <c r="E522" s="4" t="s">
        <v>1230</v>
      </c>
      <c r="F522" s="4" t="s">
        <v>764</v>
      </c>
      <c r="G522" s="4" t="s">
        <v>1334</v>
      </c>
      <c r="H522" s="4" t="s">
        <v>1340</v>
      </c>
      <c r="I522" s="3">
        <v>3</v>
      </c>
      <c r="J522" s="29" t="str">
        <f t="shared" si="73"/>
        <v>0</v>
      </c>
      <c r="K522" s="54">
        <v>1</v>
      </c>
      <c r="L522" s="69" t="str">
        <f t="shared" si="72"/>
        <v>0</v>
      </c>
      <c r="M522" s="74" t="str">
        <f t="shared" si="75"/>
        <v>1</v>
      </c>
      <c r="N522" s="29" t="str">
        <f t="shared" si="76"/>
        <v>0</v>
      </c>
      <c r="O522" s="61" t="str">
        <f t="shared" ca="1" si="77"/>
        <v>1</v>
      </c>
      <c r="P522" s="65" t="str">
        <f t="shared" si="78"/>
        <v>1</v>
      </c>
      <c r="Q522" s="46">
        <f t="shared" ca="1" si="80"/>
        <v>4</v>
      </c>
      <c r="R522" s="83" t="str">
        <f t="shared" ca="1" si="79"/>
        <v>ผ่าน</v>
      </c>
      <c r="S522" s="3" t="s">
        <v>28</v>
      </c>
      <c r="Y522" s="36">
        <v>6410488208</v>
      </c>
    </row>
    <row r="523" spans="1:25" ht="18" customHeight="1">
      <c r="A523" s="3">
        <v>521</v>
      </c>
      <c r="B523" s="3">
        <v>6410073106</v>
      </c>
      <c r="C523" s="4" t="s">
        <v>22</v>
      </c>
      <c r="D523" s="4" t="s">
        <v>1371</v>
      </c>
      <c r="E523" s="4" t="s">
        <v>1372</v>
      </c>
      <c r="F523" s="4" t="s">
        <v>543</v>
      </c>
      <c r="G523" s="4" t="s">
        <v>1334</v>
      </c>
      <c r="H523" s="4" t="s">
        <v>1340</v>
      </c>
      <c r="I523" s="3">
        <v>3</v>
      </c>
      <c r="J523" s="29" t="str">
        <f t="shared" si="73"/>
        <v>1</v>
      </c>
      <c r="K523" s="54" t="str">
        <f t="shared" si="74"/>
        <v>0</v>
      </c>
      <c r="L523" s="69" t="str">
        <f t="shared" si="72"/>
        <v>0</v>
      </c>
      <c r="M523" s="74" t="str">
        <f t="shared" si="75"/>
        <v>1</v>
      </c>
      <c r="N523" s="29" t="str">
        <f t="shared" si="76"/>
        <v>0</v>
      </c>
      <c r="O523" s="61" t="str">
        <f t="shared" ca="1" si="77"/>
        <v>0</v>
      </c>
      <c r="P523" s="65" t="str">
        <f t="shared" si="78"/>
        <v>0</v>
      </c>
      <c r="Q523" s="46">
        <f t="shared" ca="1" si="80"/>
        <v>2</v>
      </c>
      <c r="R523" s="3" t="str">
        <f t="shared" ca="1" si="79"/>
        <v>ไม่ผ่าน</v>
      </c>
      <c r="S523" s="3" t="s">
        <v>28</v>
      </c>
      <c r="Y523" s="36">
        <v>6610068107</v>
      </c>
    </row>
    <row r="524" spans="1:25" ht="18" customHeight="1">
      <c r="A524" s="3">
        <v>522</v>
      </c>
      <c r="B524" s="3">
        <v>6410073107</v>
      </c>
      <c r="C524" s="4" t="s">
        <v>22</v>
      </c>
      <c r="D524" s="4" t="s">
        <v>667</v>
      </c>
      <c r="E524" s="4" t="s">
        <v>1373</v>
      </c>
      <c r="F524" s="4" t="s">
        <v>1374</v>
      </c>
      <c r="G524" s="4" t="s">
        <v>1334</v>
      </c>
      <c r="H524" s="4" t="s">
        <v>1340</v>
      </c>
      <c r="I524" s="3">
        <v>3</v>
      </c>
      <c r="J524" s="29" t="str">
        <f t="shared" si="73"/>
        <v>1</v>
      </c>
      <c r="K524" s="54">
        <v>1</v>
      </c>
      <c r="L524" s="69" t="str">
        <f t="shared" si="72"/>
        <v>0</v>
      </c>
      <c r="M524" s="74" t="str">
        <f t="shared" si="75"/>
        <v>1</v>
      </c>
      <c r="N524" s="29" t="str">
        <f t="shared" si="76"/>
        <v>0</v>
      </c>
      <c r="O524" s="61" t="str">
        <f t="shared" ca="1" si="77"/>
        <v>1</v>
      </c>
      <c r="P524" s="65" t="str">
        <f t="shared" si="78"/>
        <v>0</v>
      </c>
      <c r="Q524" s="46">
        <f t="shared" ca="1" si="80"/>
        <v>4</v>
      </c>
      <c r="R524" s="83" t="str">
        <f t="shared" ca="1" si="79"/>
        <v>ผ่าน</v>
      </c>
      <c r="S524" s="3" t="s">
        <v>28</v>
      </c>
      <c r="Y524" s="36">
        <v>6515964107</v>
      </c>
    </row>
    <row r="525" spans="1:25" ht="18" customHeight="1">
      <c r="A525" s="3">
        <v>523</v>
      </c>
      <c r="B525" s="3">
        <v>6410073108</v>
      </c>
      <c r="C525" s="4" t="s">
        <v>22</v>
      </c>
      <c r="D525" s="4" t="s">
        <v>1375</v>
      </c>
      <c r="E525" s="4" t="s">
        <v>1376</v>
      </c>
      <c r="F525" s="4" t="s">
        <v>1377</v>
      </c>
      <c r="G525" s="4" t="s">
        <v>1334</v>
      </c>
      <c r="H525" s="4" t="s">
        <v>1340</v>
      </c>
      <c r="I525" s="3">
        <v>3</v>
      </c>
      <c r="J525" s="29" t="str">
        <f t="shared" si="73"/>
        <v>1</v>
      </c>
      <c r="K525" s="54">
        <v>1</v>
      </c>
      <c r="L525" s="69" t="str">
        <f t="shared" si="72"/>
        <v>0</v>
      </c>
      <c r="M525" s="74" t="str">
        <f t="shared" si="75"/>
        <v>1</v>
      </c>
      <c r="N525" s="29" t="str">
        <f t="shared" si="76"/>
        <v>0</v>
      </c>
      <c r="O525" s="61" t="str">
        <f t="shared" ca="1" si="77"/>
        <v>1</v>
      </c>
      <c r="P525" s="65" t="str">
        <f t="shared" si="78"/>
        <v>1</v>
      </c>
      <c r="Q525" s="46">
        <f t="shared" ca="1" si="80"/>
        <v>5</v>
      </c>
      <c r="R525" s="83" t="str">
        <f t="shared" ca="1" si="79"/>
        <v>ผ่าน</v>
      </c>
      <c r="S525" s="3" t="s">
        <v>28</v>
      </c>
      <c r="Y525" s="36">
        <v>6512743124</v>
      </c>
    </row>
    <row r="526" spans="1:25" ht="18" customHeight="1">
      <c r="A526" s="3">
        <v>524</v>
      </c>
      <c r="B526" s="3">
        <v>6410073109</v>
      </c>
      <c r="C526" s="4" t="s">
        <v>22</v>
      </c>
      <c r="D526" s="4" t="s">
        <v>1378</v>
      </c>
      <c r="E526" s="4" t="s">
        <v>94</v>
      </c>
      <c r="F526" s="4" t="s">
        <v>486</v>
      </c>
      <c r="G526" s="4" t="s">
        <v>1334</v>
      </c>
      <c r="H526" s="4" t="s">
        <v>1340</v>
      </c>
      <c r="I526" s="3">
        <v>3</v>
      </c>
      <c r="J526" s="29" t="str">
        <f t="shared" si="73"/>
        <v>1</v>
      </c>
      <c r="K526" s="54">
        <v>1</v>
      </c>
      <c r="L526" s="69" t="str">
        <f t="shared" si="72"/>
        <v>0</v>
      </c>
      <c r="M526" s="74" t="str">
        <f t="shared" si="75"/>
        <v>1</v>
      </c>
      <c r="N526" s="29" t="str">
        <f t="shared" si="76"/>
        <v>0</v>
      </c>
      <c r="O526" s="61" t="str">
        <f t="shared" ca="1" si="77"/>
        <v>1</v>
      </c>
      <c r="P526" s="65" t="str">
        <f t="shared" si="78"/>
        <v>1</v>
      </c>
      <c r="Q526" s="46">
        <f t="shared" ca="1" si="80"/>
        <v>5</v>
      </c>
      <c r="R526" s="83" t="str">
        <f t="shared" ca="1" si="79"/>
        <v>ผ่าน</v>
      </c>
      <c r="S526" s="3" t="s">
        <v>28</v>
      </c>
      <c r="Y526" s="36">
        <v>6610392104</v>
      </c>
    </row>
    <row r="527" spans="1:25" ht="18" customHeight="1">
      <c r="A527" s="3">
        <v>525</v>
      </c>
      <c r="B527" s="3">
        <v>6410073112</v>
      </c>
      <c r="C527" s="4" t="s">
        <v>22</v>
      </c>
      <c r="D527" s="4" t="s">
        <v>1379</v>
      </c>
      <c r="E527" s="4" t="s">
        <v>1380</v>
      </c>
      <c r="F527" s="4" t="s">
        <v>1381</v>
      </c>
      <c r="G527" s="4" t="s">
        <v>1334</v>
      </c>
      <c r="H527" s="4" t="s">
        <v>1340</v>
      </c>
      <c r="I527" s="3">
        <v>3</v>
      </c>
      <c r="J527" s="29" t="str">
        <f t="shared" si="73"/>
        <v>1</v>
      </c>
      <c r="K527" s="54">
        <v>1</v>
      </c>
      <c r="L527" s="69" t="str">
        <f t="shared" si="72"/>
        <v>0</v>
      </c>
      <c r="M527" s="74" t="str">
        <f t="shared" si="75"/>
        <v>1</v>
      </c>
      <c r="N527" s="29" t="str">
        <f t="shared" si="76"/>
        <v>0</v>
      </c>
      <c r="O527" s="61" t="str">
        <f t="shared" ca="1" si="77"/>
        <v>0</v>
      </c>
      <c r="P527" s="65" t="str">
        <f t="shared" si="78"/>
        <v>1</v>
      </c>
      <c r="Q527" s="46">
        <f t="shared" ca="1" si="80"/>
        <v>4</v>
      </c>
      <c r="R527" s="83" t="str">
        <f t="shared" ca="1" si="79"/>
        <v>ผ่าน</v>
      </c>
      <c r="S527" s="3" t="s">
        <v>28</v>
      </c>
      <c r="Y527" s="36">
        <v>6610068102</v>
      </c>
    </row>
    <row r="528" spans="1:25" ht="18" customHeight="1">
      <c r="A528" s="3">
        <v>526</v>
      </c>
      <c r="B528" s="3">
        <v>6410073113</v>
      </c>
      <c r="C528" s="4" t="s">
        <v>22</v>
      </c>
      <c r="D528" s="4" t="s">
        <v>280</v>
      </c>
      <c r="E528" s="4" t="s">
        <v>1382</v>
      </c>
      <c r="F528" s="4" t="s">
        <v>1383</v>
      </c>
      <c r="G528" s="4" t="s">
        <v>1334</v>
      </c>
      <c r="H528" s="4" t="s">
        <v>1340</v>
      </c>
      <c r="I528" s="3">
        <v>3</v>
      </c>
      <c r="J528" s="29" t="str">
        <f t="shared" si="73"/>
        <v>1</v>
      </c>
      <c r="K528" s="54">
        <v>1</v>
      </c>
      <c r="L528" s="69" t="str">
        <f t="shared" si="72"/>
        <v>0</v>
      </c>
      <c r="M528" s="74" t="str">
        <f t="shared" si="75"/>
        <v>1</v>
      </c>
      <c r="N528" s="29" t="str">
        <f t="shared" si="76"/>
        <v>0</v>
      </c>
      <c r="O528" s="61" t="str">
        <f t="shared" ca="1" si="77"/>
        <v>1</v>
      </c>
      <c r="P528" s="65" t="str">
        <f t="shared" si="78"/>
        <v>1</v>
      </c>
      <c r="Q528" s="46">
        <f t="shared" ca="1" si="80"/>
        <v>5</v>
      </c>
      <c r="R528" s="83" t="str">
        <f t="shared" ca="1" si="79"/>
        <v>ผ่าน</v>
      </c>
      <c r="S528" s="3" t="s">
        <v>28</v>
      </c>
      <c r="Y528" s="36">
        <v>6610633207</v>
      </c>
    </row>
    <row r="529" spans="1:25" ht="18" customHeight="1">
      <c r="A529" s="3">
        <v>527</v>
      </c>
      <c r="B529" s="3">
        <v>6410073114</v>
      </c>
      <c r="C529" s="4" t="s">
        <v>29</v>
      </c>
      <c r="D529" s="4" t="s">
        <v>1384</v>
      </c>
      <c r="E529" s="4" t="s">
        <v>1385</v>
      </c>
      <c r="F529" s="4" t="s">
        <v>1386</v>
      </c>
      <c r="G529" s="4" t="s">
        <v>1334</v>
      </c>
      <c r="H529" s="4" t="s">
        <v>1340</v>
      </c>
      <c r="I529" s="3">
        <v>3</v>
      </c>
      <c r="J529" s="29" t="str">
        <f t="shared" si="73"/>
        <v>1</v>
      </c>
      <c r="K529" s="54">
        <v>1</v>
      </c>
      <c r="L529" s="69" t="str">
        <f t="shared" ref="L529:L592" si="81">IF(IFERROR(VLOOKUP(B529,DATA7,1,FALSE),),"1","0")</f>
        <v>0</v>
      </c>
      <c r="M529" s="74" t="str">
        <f t="shared" si="75"/>
        <v>1</v>
      </c>
      <c r="N529" s="29" t="str">
        <f t="shared" si="76"/>
        <v>0</v>
      </c>
      <c r="O529" s="61" t="str">
        <f t="shared" ca="1" si="77"/>
        <v>1</v>
      </c>
      <c r="P529" s="65" t="str">
        <f t="shared" si="78"/>
        <v>1</v>
      </c>
      <c r="Q529" s="46">
        <f t="shared" ca="1" si="80"/>
        <v>5</v>
      </c>
      <c r="R529" s="83" t="str">
        <f t="shared" ca="1" si="79"/>
        <v>ผ่าน</v>
      </c>
      <c r="S529" s="3" t="s">
        <v>28</v>
      </c>
      <c r="Y529" s="36">
        <v>6412743215</v>
      </c>
    </row>
    <row r="530" spans="1:25" ht="18" customHeight="1">
      <c r="A530" s="3">
        <v>528</v>
      </c>
      <c r="B530" s="3">
        <v>6410073115</v>
      </c>
      <c r="C530" s="4" t="s">
        <v>29</v>
      </c>
      <c r="D530" s="4" t="s">
        <v>1387</v>
      </c>
      <c r="E530" s="4" t="s">
        <v>1388</v>
      </c>
      <c r="F530" s="4" t="s">
        <v>236</v>
      </c>
      <c r="G530" s="4" t="s">
        <v>1334</v>
      </c>
      <c r="H530" s="4" t="s">
        <v>1340</v>
      </c>
      <c r="I530" s="3">
        <v>3</v>
      </c>
      <c r="J530" s="29" t="str">
        <f t="shared" si="73"/>
        <v>1</v>
      </c>
      <c r="K530" s="54">
        <v>1</v>
      </c>
      <c r="L530" s="69" t="str">
        <f t="shared" si="81"/>
        <v>0</v>
      </c>
      <c r="M530" s="74" t="str">
        <f t="shared" si="75"/>
        <v>1</v>
      </c>
      <c r="N530" s="29" t="str">
        <f t="shared" si="76"/>
        <v>0</v>
      </c>
      <c r="O530" s="61" t="str">
        <f t="shared" ca="1" si="77"/>
        <v>1</v>
      </c>
      <c r="P530" s="65" t="str">
        <f t="shared" si="78"/>
        <v>1</v>
      </c>
      <c r="Q530" s="46">
        <f t="shared" ca="1" si="80"/>
        <v>5</v>
      </c>
      <c r="R530" s="83" t="str">
        <f t="shared" ca="1" si="79"/>
        <v>ผ่าน</v>
      </c>
      <c r="S530" s="3" t="s">
        <v>28</v>
      </c>
      <c r="Y530" s="36">
        <v>6412866221</v>
      </c>
    </row>
    <row r="531" spans="1:25" ht="18" customHeight="1">
      <c r="A531" s="3">
        <v>529</v>
      </c>
      <c r="B531" s="3">
        <v>6410073116</v>
      </c>
      <c r="C531" s="4" t="s">
        <v>29</v>
      </c>
      <c r="D531" s="4" t="s">
        <v>243</v>
      </c>
      <c r="E531" s="4" t="s">
        <v>1389</v>
      </c>
      <c r="F531" s="4" t="s">
        <v>1132</v>
      </c>
      <c r="G531" s="4" t="s">
        <v>1334</v>
      </c>
      <c r="H531" s="4" t="s">
        <v>1340</v>
      </c>
      <c r="I531" s="3">
        <v>3</v>
      </c>
      <c r="J531" s="29" t="str">
        <f t="shared" si="73"/>
        <v>1</v>
      </c>
      <c r="K531" s="54">
        <v>1</v>
      </c>
      <c r="L531" s="69" t="str">
        <f t="shared" si="81"/>
        <v>0</v>
      </c>
      <c r="M531" s="74" t="str">
        <f t="shared" si="75"/>
        <v>1</v>
      </c>
      <c r="N531" s="29" t="str">
        <f t="shared" si="76"/>
        <v>0</v>
      </c>
      <c r="O531" s="61" t="str">
        <f t="shared" ca="1" si="77"/>
        <v>1</v>
      </c>
      <c r="P531" s="65" t="str">
        <f t="shared" si="78"/>
        <v>1</v>
      </c>
      <c r="Q531" s="46">
        <f t="shared" ca="1" si="80"/>
        <v>5</v>
      </c>
      <c r="R531" s="83" t="str">
        <f t="shared" ca="1" si="79"/>
        <v>ผ่าน</v>
      </c>
      <c r="S531" s="3" t="s">
        <v>28</v>
      </c>
      <c r="Y531" s="36">
        <v>6610073104</v>
      </c>
    </row>
    <row r="532" spans="1:25" ht="18" customHeight="1">
      <c r="A532" s="3">
        <v>530</v>
      </c>
      <c r="B532" s="3">
        <v>6410073117</v>
      </c>
      <c r="C532" s="4" t="s">
        <v>29</v>
      </c>
      <c r="D532" s="4" t="s">
        <v>968</v>
      </c>
      <c r="E532" s="4" t="s">
        <v>1390</v>
      </c>
      <c r="F532" s="4" t="s">
        <v>213</v>
      </c>
      <c r="G532" s="4" t="s">
        <v>1334</v>
      </c>
      <c r="H532" s="4" t="s">
        <v>1340</v>
      </c>
      <c r="I532" s="3">
        <v>3</v>
      </c>
      <c r="J532" s="29" t="str">
        <f t="shared" si="73"/>
        <v>1</v>
      </c>
      <c r="K532" s="54">
        <v>1</v>
      </c>
      <c r="L532" s="69" t="str">
        <f t="shared" si="81"/>
        <v>0</v>
      </c>
      <c r="M532" s="74" t="str">
        <f t="shared" si="75"/>
        <v>1</v>
      </c>
      <c r="N532" s="29" t="str">
        <f t="shared" si="76"/>
        <v>0</v>
      </c>
      <c r="O532" s="61" t="str">
        <f t="shared" ca="1" si="77"/>
        <v>1</v>
      </c>
      <c r="P532" s="65" t="str">
        <f t="shared" si="78"/>
        <v>1</v>
      </c>
      <c r="Q532" s="46">
        <f t="shared" ca="1" si="80"/>
        <v>5</v>
      </c>
      <c r="R532" s="83" t="str">
        <f t="shared" ca="1" si="79"/>
        <v>ผ่าน</v>
      </c>
      <c r="S532" s="3" t="s">
        <v>28</v>
      </c>
      <c r="Y532" s="36">
        <v>6610633203</v>
      </c>
    </row>
    <row r="533" spans="1:25" ht="18" customHeight="1">
      <c r="A533" s="3">
        <v>531</v>
      </c>
      <c r="B533" s="3">
        <v>6410073119</v>
      </c>
      <c r="C533" s="4" t="s">
        <v>29</v>
      </c>
      <c r="D533" s="4" t="s">
        <v>1391</v>
      </c>
      <c r="E533" s="4" t="s">
        <v>1392</v>
      </c>
      <c r="F533" s="4" t="s">
        <v>755</v>
      </c>
      <c r="G533" s="4" t="s">
        <v>1334</v>
      </c>
      <c r="H533" s="4" t="s">
        <v>1340</v>
      </c>
      <c r="I533" s="3">
        <v>3</v>
      </c>
      <c r="J533" s="29" t="str">
        <f t="shared" si="73"/>
        <v>1</v>
      </c>
      <c r="K533" s="54">
        <v>1</v>
      </c>
      <c r="L533" s="69" t="str">
        <f t="shared" si="81"/>
        <v>0</v>
      </c>
      <c r="M533" s="74" t="str">
        <f t="shared" si="75"/>
        <v>1</v>
      </c>
      <c r="N533" s="29" t="str">
        <f t="shared" si="76"/>
        <v>0</v>
      </c>
      <c r="O533" s="61" t="str">
        <f t="shared" ca="1" si="77"/>
        <v>1</v>
      </c>
      <c r="P533" s="65" t="str">
        <f t="shared" si="78"/>
        <v>1</v>
      </c>
      <c r="Q533" s="46">
        <f t="shared" ca="1" si="80"/>
        <v>5</v>
      </c>
      <c r="R533" s="83" t="str">
        <f t="shared" ca="1" si="79"/>
        <v>ผ่าน</v>
      </c>
      <c r="S533" s="3" t="s">
        <v>28</v>
      </c>
      <c r="Y533" s="36">
        <v>6412236126</v>
      </c>
    </row>
    <row r="534" spans="1:25" ht="18" customHeight="1">
      <c r="A534" s="3">
        <v>532</v>
      </c>
      <c r="B534" s="3">
        <v>6410073121</v>
      </c>
      <c r="C534" s="4" t="s">
        <v>29</v>
      </c>
      <c r="D534" s="4" t="s">
        <v>1393</v>
      </c>
      <c r="E534" s="4" t="s">
        <v>1394</v>
      </c>
      <c r="F534" s="4" t="s">
        <v>199</v>
      </c>
      <c r="G534" s="4" t="s">
        <v>1334</v>
      </c>
      <c r="H534" s="4" t="s">
        <v>1340</v>
      </c>
      <c r="I534" s="3">
        <v>3</v>
      </c>
      <c r="J534" s="29" t="str">
        <f t="shared" si="73"/>
        <v>1</v>
      </c>
      <c r="K534" s="54">
        <v>1</v>
      </c>
      <c r="L534" s="69" t="str">
        <f t="shared" si="81"/>
        <v>0</v>
      </c>
      <c r="M534" s="74" t="str">
        <f t="shared" si="75"/>
        <v>1</v>
      </c>
      <c r="N534" s="29" t="str">
        <f t="shared" si="76"/>
        <v>0</v>
      </c>
      <c r="O534" s="61" t="str">
        <f t="shared" ca="1" si="77"/>
        <v>0</v>
      </c>
      <c r="P534" s="65" t="str">
        <f t="shared" si="78"/>
        <v>1</v>
      </c>
      <c r="Q534" s="46">
        <f t="shared" ca="1" si="80"/>
        <v>4</v>
      </c>
      <c r="R534" s="83" t="str">
        <f t="shared" ca="1" si="79"/>
        <v>ผ่าน</v>
      </c>
      <c r="S534" s="3" t="s">
        <v>28</v>
      </c>
      <c r="Y534" s="36">
        <v>6410207114</v>
      </c>
    </row>
    <row r="535" spans="1:25" ht="18" customHeight="1">
      <c r="A535" s="3">
        <v>533</v>
      </c>
      <c r="B535" s="3">
        <v>6410073124</v>
      </c>
      <c r="C535" s="4" t="s">
        <v>29</v>
      </c>
      <c r="D535" s="4" t="s">
        <v>1395</v>
      </c>
      <c r="E535" s="4" t="s">
        <v>1396</v>
      </c>
      <c r="F535" s="4" t="s">
        <v>1397</v>
      </c>
      <c r="G535" s="4" t="s">
        <v>1334</v>
      </c>
      <c r="H535" s="4" t="s">
        <v>1340</v>
      </c>
      <c r="I535" s="3">
        <v>3</v>
      </c>
      <c r="J535" s="29" t="str">
        <f t="shared" si="73"/>
        <v>1</v>
      </c>
      <c r="K535" s="54">
        <v>1</v>
      </c>
      <c r="L535" s="69" t="str">
        <f t="shared" si="81"/>
        <v>0</v>
      </c>
      <c r="M535" s="74" t="str">
        <f t="shared" si="75"/>
        <v>1</v>
      </c>
      <c r="N535" s="29" t="str">
        <f t="shared" si="76"/>
        <v>0</v>
      </c>
      <c r="O535" s="61" t="str">
        <f t="shared" ca="1" si="77"/>
        <v>1</v>
      </c>
      <c r="P535" s="65" t="str">
        <f t="shared" si="78"/>
        <v>1</v>
      </c>
      <c r="Q535" s="46">
        <f t="shared" ca="1" si="80"/>
        <v>5</v>
      </c>
      <c r="R535" s="83" t="str">
        <f t="shared" ca="1" si="79"/>
        <v>ผ่าน</v>
      </c>
      <c r="S535" s="3" t="s">
        <v>28</v>
      </c>
      <c r="Y535" s="36">
        <v>6510083108</v>
      </c>
    </row>
    <row r="536" spans="1:25" ht="18" customHeight="1">
      <c r="A536" s="3">
        <v>534</v>
      </c>
      <c r="B536" s="3">
        <v>6410073125</v>
      </c>
      <c r="C536" s="4" t="s">
        <v>29</v>
      </c>
      <c r="D536" s="4" t="s">
        <v>149</v>
      </c>
      <c r="E536" s="4" t="s">
        <v>1398</v>
      </c>
      <c r="F536" s="4" t="s">
        <v>41</v>
      </c>
      <c r="G536" s="4" t="s">
        <v>1334</v>
      </c>
      <c r="H536" s="4" t="s">
        <v>1340</v>
      </c>
      <c r="I536" s="3">
        <v>3</v>
      </c>
      <c r="J536" s="29" t="str">
        <f t="shared" si="73"/>
        <v>1</v>
      </c>
      <c r="K536" s="54">
        <v>1</v>
      </c>
      <c r="L536" s="69" t="str">
        <f t="shared" si="81"/>
        <v>0</v>
      </c>
      <c r="M536" s="74" t="str">
        <f t="shared" si="75"/>
        <v>1</v>
      </c>
      <c r="N536" s="29" t="str">
        <f t="shared" si="76"/>
        <v>0</v>
      </c>
      <c r="O536" s="61" t="str">
        <f t="shared" ca="1" si="77"/>
        <v>0</v>
      </c>
      <c r="P536" s="65" t="str">
        <f t="shared" si="78"/>
        <v>0</v>
      </c>
      <c r="Q536" s="46">
        <f t="shared" ca="1" si="80"/>
        <v>3</v>
      </c>
      <c r="R536" s="83" t="str">
        <f t="shared" ca="1" si="79"/>
        <v>ผ่าน</v>
      </c>
      <c r="S536" s="3" t="s">
        <v>28</v>
      </c>
      <c r="Y536" s="36">
        <v>6612798107</v>
      </c>
    </row>
    <row r="537" spans="1:25" ht="18" customHeight="1">
      <c r="A537" s="3">
        <v>535</v>
      </c>
      <c r="B537" s="3">
        <v>6410073126</v>
      </c>
      <c r="C537" s="4" t="s">
        <v>22</v>
      </c>
      <c r="D537" s="4" t="s">
        <v>1399</v>
      </c>
      <c r="E537" s="4" t="s">
        <v>1400</v>
      </c>
      <c r="F537" s="4" t="s">
        <v>432</v>
      </c>
      <c r="G537" s="4" t="s">
        <v>1334</v>
      </c>
      <c r="H537" s="4" t="s">
        <v>1340</v>
      </c>
      <c r="I537" s="3">
        <v>3</v>
      </c>
      <c r="J537" s="29" t="str">
        <f t="shared" si="73"/>
        <v>1</v>
      </c>
      <c r="K537" s="54">
        <v>1</v>
      </c>
      <c r="L537" s="69" t="str">
        <f t="shared" si="81"/>
        <v>0</v>
      </c>
      <c r="M537" s="74" t="str">
        <f t="shared" si="75"/>
        <v>1</v>
      </c>
      <c r="N537" s="29" t="str">
        <f t="shared" si="76"/>
        <v>0</v>
      </c>
      <c r="O537" s="61" t="str">
        <f t="shared" ca="1" si="77"/>
        <v>0</v>
      </c>
      <c r="P537" s="65" t="str">
        <f t="shared" si="78"/>
        <v>0</v>
      </c>
      <c r="Q537" s="46">
        <f t="shared" ca="1" si="80"/>
        <v>3</v>
      </c>
      <c r="R537" s="83" t="str">
        <f t="shared" ca="1" si="79"/>
        <v>ผ่าน</v>
      </c>
      <c r="S537" s="3" t="s">
        <v>28</v>
      </c>
      <c r="Y537" s="36">
        <v>6612798115</v>
      </c>
    </row>
    <row r="538" spans="1:25" ht="18" customHeight="1">
      <c r="A538" s="3">
        <v>536</v>
      </c>
      <c r="B538" s="3">
        <v>6310073101</v>
      </c>
      <c r="C538" s="4" t="s">
        <v>22</v>
      </c>
      <c r="D538" s="4" t="s">
        <v>1401</v>
      </c>
      <c r="E538" s="4" t="s">
        <v>1402</v>
      </c>
      <c r="F538" s="4" t="s">
        <v>1403</v>
      </c>
      <c r="G538" s="4" t="s">
        <v>1334</v>
      </c>
      <c r="H538" s="4" t="s">
        <v>1340</v>
      </c>
      <c r="I538" s="3">
        <v>4</v>
      </c>
      <c r="J538" s="29" t="str">
        <f t="shared" si="73"/>
        <v>0</v>
      </c>
      <c r="K538" s="54" t="str">
        <f t="shared" si="74"/>
        <v>1</v>
      </c>
      <c r="L538" s="69" t="str">
        <f t="shared" si="81"/>
        <v>0</v>
      </c>
      <c r="M538" s="74" t="str">
        <f t="shared" si="75"/>
        <v>1</v>
      </c>
      <c r="N538" s="29" t="str">
        <f t="shared" si="76"/>
        <v>0</v>
      </c>
      <c r="O538" s="61" t="str">
        <f t="shared" ca="1" si="77"/>
        <v>1</v>
      </c>
      <c r="P538" s="65">
        <v>1</v>
      </c>
      <c r="Q538" s="46">
        <f t="shared" ca="1" si="80"/>
        <v>4</v>
      </c>
      <c r="R538" s="83" t="str">
        <f t="shared" ca="1" si="79"/>
        <v>ผ่าน</v>
      </c>
      <c r="S538" s="3" t="s">
        <v>28</v>
      </c>
      <c r="Y538" s="36">
        <v>6410403222</v>
      </c>
    </row>
    <row r="539" spans="1:25" ht="18" customHeight="1">
      <c r="A539" s="3">
        <v>537</v>
      </c>
      <c r="B539" s="3">
        <v>6310073102</v>
      </c>
      <c r="C539" s="4" t="s">
        <v>22</v>
      </c>
      <c r="D539" s="4" t="s">
        <v>1404</v>
      </c>
      <c r="E539" s="4" t="s">
        <v>1405</v>
      </c>
      <c r="F539" s="4" t="s">
        <v>115</v>
      </c>
      <c r="G539" s="4" t="s">
        <v>1334</v>
      </c>
      <c r="H539" s="4" t="s">
        <v>1340</v>
      </c>
      <c r="I539" s="3">
        <v>4</v>
      </c>
      <c r="J539" s="29" t="str">
        <f t="shared" si="73"/>
        <v>1</v>
      </c>
      <c r="K539" s="54">
        <v>1</v>
      </c>
      <c r="L539" s="69" t="str">
        <f t="shared" si="81"/>
        <v>0</v>
      </c>
      <c r="M539" s="74" t="str">
        <f t="shared" si="75"/>
        <v>1</v>
      </c>
      <c r="N539" s="29" t="str">
        <f t="shared" si="76"/>
        <v>0</v>
      </c>
      <c r="O539" s="61" t="str">
        <f t="shared" ca="1" si="77"/>
        <v>1</v>
      </c>
      <c r="P539" s="65">
        <v>1</v>
      </c>
      <c r="Q539" s="46">
        <f t="shared" ca="1" si="80"/>
        <v>5</v>
      </c>
      <c r="R539" s="83" t="str">
        <f t="shared" ca="1" si="79"/>
        <v>ผ่าน</v>
      </c>
      <c r="S539" s="3" t="s">
        <v>28</v>
      </c>
      <c r="Y539" s="36">
        <v>6610073115</v>
      </c>
    </row>
    <row r="540" spans="1:25" ht="18" customHeight="1">
      <c r="A540" s="3">
        <v>538</v>
      </c>
      <c r="B540" s="3">
        <v>6310073105</v>
      </c>
      <c r="C540" s="4" t="s">
        <v>29</v>
      </c>
      <c r="D540" s="4" t="s">
        <v>774</v>
      </c>
      <c r="E540" s="4" t="s">
        <v>1406</v>
      </c>
      <c r="F540" s="4" t="s">
        <v>1407</v>
      </c>
      <c r="G540" s="4" t="s">
        <v>1334</v>
      </c>
      <c r="H540" s="4" t="s">
        <v>1340</v>
      </c>
      <c r="I540" s="3">
        <v>4</v>
      </c>
      <c r="J540" s="29" t="str">
        <f t="shared" si="73"/>
        <v>0</v>
      </c>
      <c r="K540" s="54">
        <v>1</v>
      </c>
      <c r="L540" s="69" t="str">
        <f t="shared" si="81"/>
        <v>0</v>
      </c>
      <c r="M540" s="74" t="str">
        <f t="shared" si="75"/>
        <v>1</v>
      </c>
      <c r="N540" s="29" t="str">
        <f t="shared" si="76"/>
        <v>0</v>
      </c>
      <c r="O540" s="61" t="str">
        <f t="shared" ca="1" si="77"/>
        <v>1</v>
      </c>
      <c r="P540" s="65">
        <v>1</v>
      </c>
      <c r="Q540" s="46">
        <f t="shared" ca="1" si="80"/>
        <v>4</v>
      </c>
      <c r="R540" s="83" t="str">
        <f t="shared" ca="1" si="79"/>
        <v>ผ่าน</v>
      </c>
      <c r="S540" s="3" t="s">
        <v>28</v>
      </c>
      <c r="Y540" s="36">
        <v>6510403121</v>
      </c>
    </row>
    <row r="541" spans="1:25" ht="18" customHeight="1">
      <c r="A541" s="3">
        <v>539</v>
      </c>
      <c r="B541" s="3">
        <v>6310073106</v>
      </c>
      <c r="C541" s="4" t="s">
        <v>29</v>
      </c>
      <c r="D541" s="4" t="s">
        <v>1408</v>
      </c>
      <c r="E541" s="4" t="s">
        <v>1409</v>
      </c>
      <c r="F541" s="4" t="s">
        <v>199</v>
      </c>
      <c r="G541" s="4" t="s">
        <v>1334</v>
      </c>
      <c r="H541" s="4" t="s">
        <v>1340</v>
      </c>
      <c r="I541" s="3">
        <v>4</v>
      </c>
      <c r="J541" s="29" t="str">
        <f t="shared" si="73"/>
        <v>1</v>
      </c>
      <c r="K541" s="54">
        <v>1</v>
      </c>
      <c r="L541" s="69" t="str">
        <f t="shared" si="81"/>
        <v>0</v>
      </c>
      <c r="M541" s="74" t="str">
        <f t="shared" si="75"/>
        <v>1</v>
      </c>
      <c r="N541" s="29" t="str">
        <f t="shared" si="76"/>
        <v>0</v>
      </c>
      <c r="O541" s="61" t="str">
        <f t="shared" ca="1" si="77"/>
        <v>1</v>
      </c>
      <c r="P541" s="65">
        <v>1</v>
      </c>
      <c r="Q541" s="46">
        <f t="shared" ca="1" si="80"/>
        <v>5</v>
      </c>
      <c r="R541" s="83" t="str">
        <f t="shared" ca="1" si="79"/>
        <v>ผ่าน</v>
      </c>
      <c r="S541" s="3" t="s">
        <v>28</v>
      </c>
      <c r="Y541" s="36">
        <v>6410073116</v>
      </c>
    </row>
    <row r="542" spans="1:25" ht="18" customHeight="1">
      <c r="A542" s="3">
        <v>540</v>
      </c>
      <c r="B542" s="3">
        <v>6310073107</v>
      </c>
      <c r="C542" s="4" t="s">
        <v>29</v>
      </c>
      <c r="D542" s="4" t="s">
        <v>557</v>
      </c>
      <c r="E542" s="4" t="s">
        <v>1286</v>
      </c>
      <c r="F542" s="4" t="s">
        <v>1252</v>
      </c>
      <c r="G542" s="4" t="s">
        <v>1334</v>
      </c>
      <c r="H542" s="4" t="s">
        <v>1340</v>
      </c>
      <c r="I542" s="3">
        <v>4</v>
      </c>
      <c r="J542" s="29" t="str">
        <f t="shared" si="73"/>
        <v>1</v>
      </c>
      <c r="K542" s="54">
        <v>1</v>
      </c>
      <c r="L542" s="69" t="str">
        <f t="shared" si="81"/>
        <v>0</v>
      </c>
      <c r="M542" s="74" t="str">
        <f t="shared" si="75"/>
        <v>0</v>
      </c>
      <c r="N542" s="29" t="str">
        <f t="shared" si="76"/>
        <v>0</v>
      </c>
      <c r="O542" s="61" t="str">
        <f t="shared" ca="1" si="77"/>
        <v>1</v>
      </c>
      <c r="P542" s="65">
        <v>1</v>
      </c>
      <c r="Q542" s="46">
        <f t="shared" ca="1" si="80"/>
        <v>4</v>
      </c>
      <c r="R542" s="83" t="str">
        <f t="shared" ca="1" si="79"/>
        <v>ผ่าน</v>
      </c>
      <c r="S542" s="3" t="s">
        <v>28</v>
      </c>
      <c r="Y542" s="36">
        <v>6410207117</v>
      </c>
    </row>
    <row r="543" spans="1:25" ht="18" customHeight="1">
      <c r="A543" s="3">
        <v>541</v>
      </c>
      <c r="B543" s="3">
        <v>6310073108</v>
      </c>
      <c r="C543" s="4" t="s">
        <v>22</v>
      </c>
      <c r="D543" s="4" t="s">
        <v>1410</v>
      </c>
      <c r="E543" s="4" t="s">
        <v>1411</v>
      </c>
      <c r="F543" s="4" t="s">
        <v>1412</v>
      </c>
      <c r="G543" s="4" t="s">
        <v>1334</v>
      </c>
      <c r="H543" s="4" t="s">
        <v>1340</v>
      </c>
      <c r="I543" s="3">
        <v>4</v>
      </c>
      <c r="J543" s="29" t="str">
        <f t="shared" si="73"/>
        <v>1</v>
      </c>
      <c r="K543" s="54" t="str">
        <f t="shared" si="74"/>
        <v>0</v>
      </c>
      <c r="L543" s="69" t="str">
        <f t="shared" si="81"/>
        <v>0</v>
      </c>
      <c r="M543" s="74" t="str">
        <f t="shared" si="75"/>
        <v>1</v>
      </c>
      <c r="N543" s="29" t="str">
        <f t="shared" si="76"/>
        <v>0</v>
      </c>
      <c r="O543" s="61" t="str">
        <f t="shared" ca="1" si="77"/>
        <v>1</v>
      </c>
      <c r="P543" s="65">
        <v>1</v>
      </c>
      <c r="Q543" s="46">
        <f t="shared" ca="1" si="80"/>
        <v>4</v>
      </c>
      <c r="R543" s="83" t="str">
        <f t="shared" ca="1" si="79"/>
        <v>ผ่าน</v>
      </c>
      <c r="S543" s="3" t="s">
        <v>28</v>
      </c>
      <c r="Y543" s="36">
        <v>6610073102</v>
      </c>
    </row>
    <row r="544" spans="1:25" ht="18" customHeight="1">
      <c r="A544" s="3">
        <v>542</v>
      </c>
      <c r="B544" s="3">
        <v>6310073109</v>
      </c>
      <c r="C544" s="4" t="s">
        <v>29</v>
      </c>
      <c r="D544" s="4" t="s">
        <v>1413</v>
      </c>
      <c r="E544" s="4" t="s">
        <v>1414</v>
      </c>
      <c r="F544" s="4" t="s">
        <v>373</v>
      </c>
      <c r="G544" s="4" t="s">
        <v>1334</v>
      </c>
      <c r="H544" s="4" t="s">
        <v>1340</v>
      </c>
      <c r="I544" s="3">
        <v>4</v>
      </c>
      <c r="J544" s="29" t="str">
        <f t="shared" si="73"/>
        <v>1</v>
      </c>
      <c r="K544" s="54">
        <v>1</v>
      </c>
      <c r="L544" s="69" t="str">
        <f t="shared" si="81"/>
        <v>0</v>
      </c>
      <c r="M544" s="74" t="str">
        <f t="shared" si="75"/>
        <v>1</v>
      </c>
      <c r="N544" s="29" t="str">
        <f t="shared" si="76"/>
        <v>0</v>
      </c>
      <c r="O544" s="61" t="str">
        <f t="shared" ca="1" si="77"/>
        <v>1</v>
      </c>
      <c r="P544" s="65">
        <v>1</v>
      </c>
      <c r="Q544" s="46">
        <f t="shared" ca="1" si="80"/>
        <v>5</v>
      </c>
      <c r="R544" s="83" t="str">
        <f t="shared" ca="1" si="79"/>
        <v>ผ่าน</v>
      </c>
      <c r="S544" s="3" t="s">
        <v>28</v>
      </c>
      <c r="Y544" s="36">
        <v>6610633204</v>
      </c>
    </row>
    <row r="545" spans="1:25" ht="18" customHeight="1">
      <c r="A545" s="3">
        <v>543</v>
      </c>
      <c r="B545" s="3">
        <v>6310073110</v>
      </c>
      <c r="C545" s="4" t="s">
        <v>29</v>
      </c>
      <c r="D545" s="4" t="s">
        <v>1415</v>
      </c>
      <c r="E545" s="4" t="s">
        <v>1416</v>
      </c>
      <c r="F545" s="4" t="s">
        <v>1417</v>
      </c>
      <c r="G545" s="4" t="s">
        <v>1334</v>
      </c>
      <c r="H545" s="4" t="s">
        <v>1340</v>
      </c>
      <c r="I545" s="3">
        <v>4</v>
      </c>
      <c r="J545" s="29" t="str">
        <f t="shared" si="73"/>
        <v>1</v>
      </c>
      <c r="K545" s="54" t="str">
        <f t="shared" si="74"/>
        <v>1</v>
      </c>
      <c r="L545" s="69" t="str">
        <f t="shared" si="81"/>
        <v>0</v>
      </c>
      <c r="M545" s="74" t="str">
        <f t="shared" si="75"/>
        <v>1</v>
      </c>
      <c r="N545" s="29" t="str">
        <f t="shared" si="76"/>
        <v>0</v>
      </c>
      <c r="O545" s="61" t="str">
        <f t="shared" ca="1" si="77"/>
        <v>1</v>
      </c>
      <c r="P545" s="65">
        <v>1</v>
      </c>
      <c r="Q545" s="46">
        <f t="shared" ca="1" si="80"/>
        <v>5</v>
      </c>
      <c r="R545" s="83" t="str">
        <f t="shared" ca="1" si="79"/>
        <v>ผ่าน</v>
      </c>
      <c r="S545" s="3" t="s">
        <v>28</v>
      </c>
      <c r="Y545" s="36">
        <v>6412798105</v>
      </c>
    </row>
    <row r="546" spans="1:25" ht="18" customHeight="1">
      <c r="A546" s="3">
        <v>544</v>
      </c>
      <c r="B546" s="3">
        <v>6412269106</v>
      </c>
      <c r="C546" s="4" t="s">
        <v>22</v>
      </c>
      <c r="D546" s="4"/>
      <c r="E546" s="4" t="s">
        <v>726</v>
      </c>
      <c r="F546" s="4" t="s">
        <v>1342</v>
      </c>
      <c r="G546" s="4" t="s">
        <v>1334</v>
      </c>
      <c r="H546" s="4" t="s">
        <v>1418</v>
      </c>
      <c r="I546" s="3">
        <v>3</v>
      </c>
      <c r="J546" s="29" t="str">
        <f t="shared" si="73"/>
        <v>1</v>
      </c>
      <c r="K546" s="54">
        <v>1</v>
      </c>
      <c r="L546" s="69" t="str">
        <f t="shared" si="81"/>
        <v>0</v>
      </c>
      <c r="M546" s="74" t="str">
        <f t="shared" si="75"/>
        <v>1</v>
      </c>
      <c r="N546" s="29" t="str">
        <f t="shared" si="76"/>
        <v>0</v>
      </c>
      <c r="O546" s="61" t="str">
        <f t="shared" ca="1" si="77"/>
        <v>1</v>
      </c>
      <c r="P546" s="65" t="str">
        <f t="shared" si="78"/>
        <v>1</v>
      </c>
      <c r="Q546" s="46">
        <f t="shared" ca="1" si="80"/>
        <v>5</v>
      </c>
      <c r="R546" s="83" t="str">
        <f t="shared" ca="1" si="79"/>
        <v>ผ่าน</v>
      </c>
      <c r="S546" s="3" t="s">
        <v>28</v>
      </c>
      <c r="Y546" s="36">
        <v>6610633108</v>
      </c>
    </row>
    <row r="547" spans="1:25" ht="18" customHeight="1">
      <c r="A547" s="3">
        <v>545</v>
      </c>
      <c r="B547" s="3">
        <v>6412269118</v>
      </c>
      <c r="C547" s="4" t="s">
        <v>22</v>
      </c>
      <c r="D547" s="4" t="s">
        <v>1419</v>
      </c>
      <c r="E547" s="4" t="s">
        <v>511</v>
      </c>
      <c r="F547" s="4" t="s">
        <v>1120</v>
      </c>
      <c r="G547" s="4" t="s">
        <v>1334</v>
      </c>
      <c r="H547" s="4" t="s">
        <v>1418</v>
      </c>
      <c r="I547" s="3">
        <v>3</v>
      </c>
      <c r="J547" s="29" t="str">
        <f t="shared" si="73"/>
        <v>1</v>
      </c>
      <c r="K547" s="54" t="str">
        <f t="shared" si="74"/>
        <v>0</v>
      </c>
      <c r="L547" s="69" t="str">
        <f t="shared" si="81"/>
        <v>0</v>
      </c>
      <c r="M547" s="74" t="str">
        <f t="shared" si="75"/>
        <v>1</v>
      </c>
      <c r="N547" s="29" t="str">
        <f t="shared" si="76"/>
        <v>0</v>
      </c>
      <c r="O547" s="61" t="str">
        <f t="shared" ca="1" si="77"/>
        <v>0</v>
      </c>
      <c r="P547" s="65" t="str">
        <f t="shared" si="78"/>
        <v>1</v>
      </c>
      <c r="Q547" s="46">
        <f t="shared" ca="1" si="80"/>
        <v>3</v>
      </c>
      <c r="R547" s="83" t="str">
        <f t="shared" ca="1" si="79"/>
        <v>ผ่าน</v>
      </c>
      <c r="S547" s="3" t="s">
        <v>28</v>
      </c>
      <c r="Y547" s="36">
        <v>6610073113</v>
      </c>
    </row>
    <row r="548" spans="1:25" ht="18" customHeight="1">
      <c r="A548" s="3">
        <v>546</v>
      </c>
      <c r="B548" s="3">
        <v>6412269121</v>
      </c>
      <c r="C548" s="4" t="s">
        <v>22</v>
      </c>
      <c r="D548" s="4" t="s">
        <v>1420</v>
      </c>
      <c r="E548" s="4" t="s">
        <v>1421</v>
      </c>
      <c r="F548" s="4" t="s">
        <v>1422</v>
      </c>
      <c r="G548" s="4" t="s">
        <v>1334</v>
      </c>
      <c r="H548" s="4" t="s">
        <v>1418</v>
      </c>
      <c r="I548" s="3">
        <v>3</v>
      </c>
      <c r="J548" s="29" t="str">
        <f t="shared" si="73"/>
        <v>1</v>
      </c>
      <c r="K548" s="54" t="str">
        <f t="shared" si="74"/>
        <v>1</v>
      </c>
      <c r="L548" s="69" t="str">
        <f t="shared" si="81"/>
        <v>0</v>
      </c>
      <c r="M548" s="74" t="str">
        <f t="shared" si="75"/>
        <v>0</v>
      </c>
      <c r="N548" s="29" t="str">
        <f t="shared" si="76"/>
        <v>1</v>
      </c>
      <c r="O548" s="61" t="str">
        <f t="shared" ca="1" si="77"/>
        <v>1</v>
      </c>
      <c r="P548" s="65" t="str">
        <f t="shared" si="78"/>
        <v>1</v>
      </c>
      <c r="Q548" s="46">
        <f t="shared" ca="1" si="80"/>
        <v>5</v>
      </c>
      <c r="R548" s="83" t="str">
        <f t="shared" ca="1" si="79"/>
        <v>ผ่าน</v>
      </c>
      <c r="S548" s="3" t="s">
        <v>28</v>
      </c>
      <c r="Y548" s="36">
        <v>6612798118</v>
      </c>
    </row>
    <row r="549" spans="1:25" ht="18" customHeight="1">
      <c r="A549" s="3">
        <v>547</v>
      </c>
      <c r="B549" s="3">
        <v>6412269122</v>
      </c>
      <c r="C549" s="4" t="s">
        <v>22</v>
      </c>
      <c r="D549" s="4" t="s">
        <v>1423</v>
      </c>
      <c r="E549" s="4" t="s">
        <v>1424</v>
      </c>
      <c r="F549" s="4" t="s">
        <v>1425</v>
      </c>
      <c r="G549" s="4" t="s">
        <v>1334</v>
      </c>
      <c r="H549" s="4" t="s">
        <v>1418</v>
      </c>
      <c r="I549" s="3">
        <v>3</v>
      </c>
      <c r="J549" s="29" t="str">
        <f t="shared" si="73"/>
        <v>0</v>
      </c>
      <c r="K549" s="54">
        <v>1</v>
      </c>
      <c r="L549" s="69" t="str">
        <f t="shared" si="81"/>
        <v>0</v>
      </c>
      <c r="M549" s="74" t="str">
        <f t="shared" si="75"/>
        <v>0</v>
      </c>
      <c r="N549" s="29" t="str">
        <f t="shared" si="76"/>
        <v>0</v>
      </c>
      <c r="O549" s="61" t="str">
        <f t="shared" ca="1" si="77"/>
        <v>0</v>
      </c>
      <c r="P549" s="65" t="str">
        <f t="shared" si="78"/>
        <v>0</v>
      </c>
      <c r="Q549" s="46">
        <f t="shared" ca="1" si="80"/>
        <v>1</v>
      </c>
      <c r="R549" s="3" t="str">
        <f t="shared" ca="1" si="79"/>
        <v>ไม่ผ่าน</v>
      </c>
      <c r="S549" s="3" t="s">
        <v>28</v>
      </c>
      <c r="Y549" s="36">
        <v>6412866115</v>
      </c>
    </row>
    <row r="550" spans="1:25" ht="18" customHeight="1">
      <c r="A550" s="3">
        <v>548</v>
      </c>
      <c r="B550" s="3">
        <v>6412269124</v>
      </c>
      <c r="C550" s="4" t="s">
        <v>22</v>
      </c>
      <c r="D550" s="4" t="s">
        <v>1426</v>
      </c>
      <c r="E550" s="4" t="s">
        <v>1427</v>
      </c>
      <c r="F550" s="4" t="s">
        <v>1428</v>
      </c>
      <c r="G550" s="4" t="s">
        <v>1334</v>
      </c>
      <c r="H550" s="4" t="s">
        <v>1418</v>
      </c>
      <c r="I550" s="3">
        <v>3</v>
      </c>
      <c r="J550" s="29" t="str">
        <f t="shared" si="73"/>
        <v>1</v>
      </c>
      <c r="K550" s="54" t="str">
        <f t="shared" si="74"/>
        <v>0</v>
      </c>
      <c r="L550" s="69" t="str">
        <f t="shared" si="81"/>
        <v>0</v>
      </c>
      <c r="M550" s="74" t="str">
        <f t="shared" si="75"/>
        <v>0</v>
      </c>
      <c r="N550" s="29" t="str">
        <f t="shared" si="76"/>
        <v>1</v>
      </c>
      <c r="O550" s="61" t="str">
        <f t="shared" ca="1" si="77"/>
        <v>1</v>
      </c>
      <c r="P550" s="65" t="str">
        <f t="shared" si="78"/>
        <v>1</v>
      </c>
      <c r="Q550" s="46">
        <f t="shared" ca="1" si="80"/>
        <v>4</v>
      </c>
      <c r="R550" s="83" t="str">
        <f t="shared" ca="1" si="79"/>
        <v>ผ่าน</v>
      </c>
      <c r="S550" s="3" t="s">
        <v>28</v>
      </c>
      <c r="Y550" s="36">
        <v>6610403305</v>
      </c>
    </row>
    <row r="551" spans="1:25" ht="18" customHeight="1">
      <c r="A551" s="3">
        <v>549</v>
      </c>
      <c r="B551" s="3">
        <v>6412269125</v>
      </c>
      <c r="C551" s="4" t="s">
        <v>22</v>
      </c>
      <c r="D551" s="4" t="s">
        <v>1429</v>
      </c>
      <c r="E551" s="4" t="s">
        <v>1430</v>
      </c>
      <c r="F551" s="4" t="s">
        <v>210</v>
      </c>
      <c r="G551" s="4" t="s">
        <v>1334</v>
      </c>
      <c r="H551" s="4" t="s">
        <v>1418</v>
      </c>
      <c r="I551" s="3">
        <v>3</v>
      </c>
      <c r="J551" s="29" t="str">
        <f t="shared" si="73"/>
        <v>1</v>
      </c>
      <c r="K551" s="54">
        <v>1</v>
      </c>
      <c r="L551" s="69" t="str">
        <f t="shared" si="81"/>
        <v>0</v>
      </c>
      <c r="M551" s="74" t="str">
        <f t="shared" si="75"/>
        <v>0</v>
      </c>
      <c r="N551" s="29" t="str">
        <f t="shared" si="76"/>
        <v>1</v>
      </c>
      <c r="O551" s="61" t="str">
        <f t="shared" ca="1" si="77"/>
        <v>1</v>
      </c>
      <c r="P551" s="65" t="str">
        <f t="shared" si="78"/>
        <v>1</v>
      </c>
      <c r="Q551" s="46">
        <f t="shared" ca="1" si="80"/>
        <v>5</v>
      </c>
      <c r="R551" s="83" t="str">
        <f t="shared" ca="1" si="79"/>
        <v>ผ่าน</v>
      </c>
      <c r="S551" s="3" t="s">
        <v>28</v>
      </c>
      <c r="Y551" s="36">
        <v>6510083109</v>
      </c>
    </row>
    <row r="552" spans="1:25" ht="18" customHeight="1">
      <c r="A552" s="3">
        <v>550</v>
      </c>
      <c r="B552" s="3">
        <v>6412269126</v>
      </c>
      <c r="C552" s="4" t="s">
        <v>22</v>
      </c>
      <c r="D552" s="4" t="s">
        <v>1431</v>
      </c>
      <c r="E552" s="4" t="s">
        <v>1105</v>
      </c>
      <c r="F552" s="4" t="s">
        <v>1432</v>
      </c>
      <c r="G552" s="4" t="s">
        <v>1334</v>
      </c>
      <c r="H552" s="4" t="s">
        <v>1418</v>
      </c>
      <c r="I552" s="3">
        <v>3</v>
      </c>
      <c r="J552" s="29" t="str">
        <f t="shared" si="73"/>
        <v>1</v>
      </c>
      <c r="K552" s="54">
        <v>1</v>
      </c>
      <c r="L552" s="69" t="str">
        <f t="shared" si="81"/>
        <v>0</v>
      </c>
      <c r="M552" s="74" t="str">
        <f t="shared" si="75"/>
        <v>0</v>
      </c>
      <c r="N552" s="29" t="str">
        <f t="shared" si="76"/>
        <v>1</v>
      </c>
      <c r="O552" s="61" t="str">
        <f t="shared" ca="1" si="77"/>
        <v>1</v>
      </c>
      <c r="P552" s="65" t="str">
        <f t="shared" si="78"/>
        <v>1</v>
      </c>
      <c r="Q552" s="46">
        <f t="shared" ca="1" si="80"/>
        <v>5</v>
      </c>
      <c r="R552" s="83" t="str">
        <f t="shared" ca="1" si="79"/>
        <v>ผ่าน</v>
      </c>
      <c r="S552" s="3" t="s">
        <v>28</v>
      </c>
      <c r="Y552" s="36">
        <v>6410207125</v>
      </c>
    </row>
    <row r="553" spans="1:25" ht="18" customHeight="1">
      <c r="A553" s="3">
        <v>551</v>
      </c>
      <c r="B553" s="3">
        <v>6412269134</v>
      </c>
      <c r="C553" s="4" t="s">
        <v>22</v>
      </c>
      <c r="D553" s="4" t="s">
        <v>1433</v>
      </c>
      <c r="E553" s="4" t="s">
        <v>1434</v>
      </c>
      <c r="F553" s="4" t="s">
        <v>1435</v>
      </c>
      <c r="G553" s="4" t="s">
        <v>1334</v>
      </c>
      <c r="H553" s="4" t="s">
        <v>1418</v>
      </c>
      <c r="I553" s="3">
        <v>3</v>
      </c>
      <c r="J553" s="29" t="str">
        <f t="shared" si="73"/>
        <v>0</v>
      </c>
      <c r="K553" s="54" t="str">
        <f t="shared" si="74"/>
        <v>0</v>
      </c>
      <c r="L553" s="69" t="str">
        <f t="shared" si="81"/>
        <v>0</v>
      </c>
      <c r="M553" s="74" t="str">
        <f t="shared" si="75"/>
        <v>0</v>
      </c>
      <c r="N553" s="29" t="str">
        <f t="shared" si="76"/>
        <v>0</v>
      </c>
      <c r="O553" s="61" t="str">
        <f t="shared" ca="1" si="77"/>
        <v>0</v>
      </c>
      <c r="P553" s="65" t="str">
        <f t="shared" si="78"/>
        <v>0</v>
      </c>
      <c r="Q553" s="46">
        <f t="shared" ca="1" si="80"/>
        <v>0</v>
      </c>
      <c r="R553" s="3" t="str">
        <f t="shared" ca="1" si="79"/>
        <v>ไม่ผ่าน</v>
      </c>
      <c r="S553" s="3" t="s">
        <v>28</v>
      </c>
      <c r="Y553" s="36">
        <v>6410106121</v>
      </c>
    </row>
    <row r="554" spans="1:25" ht="18" customHeight="1">
      <c r="A554" s="3">
        <v>552</v>
      </c>
      <c r="B554" s="3">
        <v>6312269101</v>
      </c>
      <c r="C554" s="4" t="s">
        <v>22</v>
      </c>
      <c r="D554" s="4" t="s">
        <v>1436</v>
      </c>
      <c r="E554" s="4" t="s">
        <v>1437</v>
      </c>
      <c r="F554" s="4" t="s">
        <v>530</v>
      </c>
      <c r="G554" s="4" t="s">
        <v>1334</v>
      </c>
      <c r="H554" s="4" t="s">
        <v>1418</v>
      </c>
      <c r="I554" s="3">
        <v>4</v>
      </c>
      <c r="J554" s="29" t="str">
        <f t="shared" si="73"/>
        <v>1</v>
      </c>
      <c r="K554" s="54" t="str">
        <f t="shared" si="74"/>
        <v>1</v>
      </c>
      <c r="L554" s="69" t="str">
        <f t="shared" si="81"/>
        <v>0</v>
      </c>
      <c r="M554" s="74" t="str">
        <f t="shared" si="75"/>
        <v>1</v>
      </c>
      <c r="N554" s="29" t="str">
        <f t="shared" si="76"/>
        <v>0</v>
      </c>
      <c r="O554" s="61">
        <v>1</v>
      </c>
      <c r="P554" s="65">
        <v>1</v>
      </c>
      <c r="Q554" s="46">
        <f t="shared" si="80"/>
        <v>5</v>
      </c>
      <c r="R554" s="83" t="str">
        <f t="shared" si="79"/>
        <v>ผ่าน</v>
      </c>
      <c r="S554" s="3" t="s">
        <v>28</v>
      </c>
      <c r="Y554" s="36">
        <v>6610073109</v>
      </c>
    </row>
    <row r="555" spans="1:25" ht="18" customHeight="1">
      <c r="A555" s="3">
        <v>553</v>
      </c>
      <c r="B555" s="3">
        <v>6312269106</v>
      </c>
      <c r="C555" s="4" t="s">
        <v>22</v>
      </c>
      <c r="D555" s="4" t="s">
        <v>1438</v>
      </c>
      <c r="E555" s="4" t="s">
        <v>1439</v>
      </c>
      <c r="F555" s="4" t="s">
        <v>687</v>
      </c>
      <c r="G555" s="4" t="s">
        <v>1334</v>
      </c>
      <c r="H555" s="4" t="s">
        <v>1418</v>
      </c>
      <c r="I555" s="3">
        <v>4</v>
      </c>
      <c r="J555" s="29" t="str">
        <f t="shared" si="73"/>
        <v>1</v>
      </c>
      <c r="K555" s="54" t="str">
        <f t="shared" si="74"/>
        <v>1</v>
      </c>
      <c r="L555" s="69" t="str">
        <f t="shared" si="81"/>
        <v>0</v>
      </c>
      <c r="M555" s="74" t="str">
        <f t="shared" si="75"/>
        <v>1</v>
      </c>
      <c r="N555" s="29" t="str">
        <f t="shared" si="76"/>
        <v>0</v>
      </c>
      <c r="O555" s="61">
        <v>1</v>
      </c>
      <c r="P555" s="65">
        <v>1</v>
      </c>
      <c r="Q555" s="46">
        <f t="shared" si="80"/>
        <v>5</v>
      </c>
      <c r="R555" s="83" t="str">
        <f t="shared" si="79"/>
        <v>ผ่าน</v>
      </c>
      <c r="S555" s="3" t="s">
        <v>28</v>
      </c>
      <c r="Y555" s="36">
        <v>6410073124</v>
      </c>
    </row>
    <row r="556" spans="1:25" ht="18" customHeight="1">
      <c r="A556" s="3">
        <v>554</v>
      </c>
      <c r="B556" s="3">
        <v>6312269112</v>
      </c>
      <c r="C556" s="4" t="s">
        <v>22</v>
      </c>
      <c r="D556" s="4" t="s">
        <v>1440</v>
      </c>
      <c r="E556" s="4" t="s">
        <v>1441</v>
      </c>
      <c r="F556" s="4" t="s">
        <v>1442</v>
      </c>
      <c r="G556" s="4" t="s">
        <v>1334</v>
      </c>
      <c r="H556" s="4" t="s">
        <v>1418</v>
      </c>
      <c r="I556" s="3">
        <v>4</v>
      </c>
      <c r="J556" s="29" t="str">
        <f t="shared" si="73"/>
        <v>1</v>
      </c>
      <c r="K556" s="54" t="str">
        <f t="shared" si="74"/>
        <v>1</v>
      </c>
      <c r="L556" s="69" t="str">
        <f t="shared" si="81"/>
        <v>0</v>
      </c>
      <c r="M556" s="74" t="str">
        <f t="shared" si="75"/>
        <v>1</v>
      </c>
      <c r="N556" s="29" t="str">
        <f t="shared" si="76"/>
        <v>0</v>
      </c>
      <c r="O556" s="61">
        <v>1</v>
      </c>
      <c r="P556" s="65">
        <v>1</v>
      </c>
      <c r="Q556" s="46">
        <f t="shared" si="80"/>
        <v>5</v>
      </c>
      <c r="R556" s="83" t="str">
        <f t="shared" si="79"/>
        <v>ผ่าน</v>
      </c>
      <c r="S556" s="3" t="s">
        <v>28</v>
      </c>
      <c r="Y556" s="36">
        <v>6412743113</v>
      </c>
    </row>
    <row r="557" spans="1:25" ht="18" customHeight="1">
      <c r="A557" s="3">
        <v>555</v>
      </c>
      <c r="B557" s="3">
        <v>6312269125</v>
      </c>
      <c r="C557" s="4" t="s">
        <v>22</v>
      </c>
      <c r="D557" s="4" t="s">
        <v>280</v>
      </c>
      <c r="E557" s="4" t="s">
        <v>1443</v>
      </c>
      <c r="F557" s="4" t="s">
        <v>1432</v>
      </c>
      <c r="G557" s="4" t="s">
        <v>1334</v>
      </c>
      <c r="H557" s="4" t="s">
        <v>1418</v>
      </c>
      <c r="I557" s="3">
        <v>4</v>
      </c>
      <c r="J557" s="29" t="str">
        <f t="shared" si="73"/>
        <v>1</v>
      </c>
      <c r="K557" s="54" t="str">
        <f t="shared" si="74"/>
        <v>1</v>
      </c>
      <c r="L557" s="69" t="str">
        <f t="shared" si="81"/>
        <v>0</v>
      </c>
      <c r="M557" s="74" t="str">
        <f t="shared" si="75"/>
        <v>1</v>
      </c>
      <c r="N557" s="29" t="str">
        <f t="shared" si="76"/>
        <v>0</v>
      </c>
      <c r="O557" s="61">
        <v>1</v>
      </c>
      <c r="P557" s="65">
        <v>1</v>
      </c>
      <c r="Q557" s="46">
        <f t="shared" si="80"/>
        <v>5</v>
      </c>
      <c r="R557" s="83" t="str">
        <f t="shared" si="79"/>
        <v>ผ่าน</v>
      </c>
      <c r="S557" s="3" t="s">
        <v>28</v>
      </c>
      <c r="Y557" s="36">
        <v>6612798109</v>
      </c>
    </row>
    <row r="558" spans="1:25" ht="18" customHeight="1">
      <c r="A558" s="3">
        <v>556</v>
      </c>
      <c r="B558" s="3">
        <v>6312269126</v>
      </c>
      <c r="C558" s="4" t="s">
        <v>22</v>
      </c>
      <c r="D558" s="4" t="s">
        <v>1444</v>
      </c>
      <c r="E558" s="4" t="s">
        <v>1445</v>
      </c>
      <c r="F558" s="4" t="s">
        <v>1446</v>
      </c>
      <c r="G558" s="4" t="s">
        <v>1334</v>
      </c>
      <c r="H558" s="4" t="s">
        <v>1418</v>
      </c>
      <c r="I558" s="3">
        <v>4</v>
      </c>
      <c r="J558" s="29" t="str">
        <f t="shared" si="73"/>
        <v>1</v>
      </c>
      <c r="K558" s="54" t="str">
        <f t="shared" si="74"/>
        <v>1</v>
      </c>
      <c r="L558" s="69" t="str">
        <f t="shared" si="81"/>
        <v>0</v>
      </c>
      <c r="M558" s="74" t="str">
        <f t="shared" si="75"/>
        <v>1</v>
      </c>
      <c r="N558" s="29" t="str">
        <f t="shared" si="76"/>
        <v>0</v>
      </c>
      <c r="O558" s="61">
        <v>1</v>
      </c>
      <c r="P558" s="65">
        <v>1</v>
      </c>
      <c r="Q558" s="46">
        <f t="shared" si="80"/>
        <v>5</v>
      </c>
      <c r="R558" s="83" t="str">
        <f t="shared" si="79"/>
        <v>ผ่าน</v>
      </c>
      <c r="S558" s="3" t="s">
        <v>28</v>
      </c>
      <c r="Y558" s="36">
        <v>6612258213</v>
      </c>
    </row>
    <row r="559" spans="1:25" ht="18" customHeight="1">
      <c r="A559" s="3">
        <v>557</v>
      </c>
      <c r="B559" s="3">
        <v>6615964116</v>
      </c>
      <c r="C559" s="4" t="s">
        <v>22</v>
      </c>
      <c r="D559" s="4" t="s">
        <v>1447</v>
      </c>
      <c r="E559" s="4" t="s">
        <v>1448</v>
      </c>
      <c r="F559" s="4" t="s">
        <v>1432</v>
      </c>
      <c r="G559" s="4" t="s">
        <v>1334</v>
      </c>
      <c r="H559" s="4" t="s">
        <v>1449</v>
      </c>
      <c r="I559" s="3">
        <v>1</v>
      </c>
      <c r="J559" s="29" t="str">
        <f t="shared" si="73"/>
        <v>0</v>
      </c>
      <c r="K559" s="54" t="str">
        <f t="shared" si="74"/>
        <v>0</v>
      </c>
      <c r="L559" s="69" t="str">
        <f t="shared" si="81"/>
        <v>0</v>
      </c>
      <c r="M559" s="74" t="str">
        <f t="shared" si="75"/>
        <v>0</v>
      </c>
      <c r="N559" s="29" t="str">
        <f t="shared" si="76"/>
        <v>0</v>
      </c>
      <c r="O559" s="61" t="str">
        <f t="shared" ca="1" si="77"/>
        <v>0</v>
      </c>
      <c r="P559" s="65" t="str">
        <f t="shared" si="78"/>
        <v>0</v>
      </c>
      <c r="Q559" s="46">
        <f t="shared" ca="1" si="80"/>
        <v>0</v>
      </c>
      <c r="R559" s="3" t="str">
        <f t="shared" ca="1" si="79"/>
        <v>ไม่ผ่าน</v>
      </c>
      <c r="S559" s="3" t="s">
        <v>28</v>
      </c>
      <c r="Y559" s="36">
        <v>6610403326</v>
      </c>
    </row>
    <row r="560" spans="1:25" ht="18" customHeight="1">
      <c r="A560" s="3">
        <v>558</v>
      </c>
      <c r="B560" s="3">
        <v>6515944125</v>
      </c>
      <c r="C560" s="4" t="s">
        <v>22</v>
      </c>
      <c r="D560" s="4" t="s">
        <v>429</v>
      </c>
      <c r="E560" s="4" t="s">
        <v>1450</v>
      </c>
      <c r="F560" s="4" t="s">
        <v>1451</v>
      </c>
      <c r="G560" s="4" t="s">
        <v>1334</v>
      </c>
      <c r="H560" s="4" t="s">
        <v>1449</v>
      </c>
      <c r="I560" s="3">
        <v>2</v>
      </c>
      <c r="J560" s="29" t="str">
        <f t="shared" si="73"/>
        <v>0</v>
      </c>
      <c r="K560" s="54" t="str">
        <f t="shared" si="74"/>
        <v>0</v>
      </c>
      <c r="L560" s="69" t="str">
        <f t="shared" si="81"/>
        <v>0</v>
      </c>
      <c r="M560" s="74" t="str">
        <f t="shared" si="75"/>
        <v>0</v>
      </c>
      <c r="N560" s="29" t="str">
        <f t="shared" si="76"/>
        <v>0</v>
      </c>
      <c r="O560" s="61" t="str">
        <f t="shared" ca="1" si="77"/>
        <v>0</v>
      </c>
      <c r="P560" s="65" t="str">
        <f t="shared" si="78"/>
        <v>0</v>
      </c>
      <c r="Q560" s="46">
        <f t="shared" ca="1" si="80"/>
        <v>0</v>
      </c>
      <c r="R560" s="3" t="str">
        <f t="shared" ca="1" si="79"/>
        <v>ไม่ผ่าน</v>
      </c>
      <c r="S560" s="3" t="s">
        <v>28</v>
      </c>
      <c r="Y560" s="36">
        <v>6515964109</v>
      </c>
    </row>
    <row r="561" spans="1:25" ht="18" customHeight="1">
      <c r="A561" s="3">
        <v>559</v>
      </c>
      <c r="B561" s="3">
        <v>6515964105</v>
      </c>
      <c r="C561" s="4" t="s">
        <v>22</v>
      </c>
      <c r="D561" s="4" t="s">
        <v>1452</v>
      </c>
      <c r="E561" s="4" t="s">
        <v>1453</v>
      </c>
      <c r="F561" s="4" t="s">
        <v>1454</v>
      </c>
      <c r="G561" s="4" t="s">
        <v>1334</v>
      </c>
      <c r="H561" s="4" t="s">
        <v>1449</v>
      </c>
      <c r="I561" s="3">
        <v>2</v>
      </c>
      <c r="J561" s="29" t="str">
        <f t="shared" si="73"/>
        <v>1</v>
      </c>
      <c r="K561" s="54" t="str">
        <f t="shared" si="74"/>
        <v>1</v>
      </c>
      <c r="L561" s="69" t="str">
        <f t="shared" si="81"/>
        <v>0</v>
      </c>
      <c r="M561" s="74" t="str">
        <f t="shared" si="75"/>
        <v>0</v>
      </c>
      <c r="N561" s="29" t="str">
        <f t="shared" si="76"/>
        <v>0</v>
      </c>
      <c r="O561" s="61" t="str">
        <f t="shared" ca="1" si="77"/>
        <v>1</v>
      </c>
      <c r="P561" s="65" t="str">
        <f t="shared" si="78"/>
        <v>1</v>
      </c>
      <c r="Q561" s="46">
        <f t="shared" ca="1" si="80"/>
        <v>4</v>
      </c>
      <c r="R561" s="83" t="str">
        <f t="shared" ca="1" si="79"/>
        <v>ผ่าน</v>
      </c>
      <c r="S561" s="3" t="s">
        <v>28</v>
      </c>
      <c r="Y561" s="36">
        <v>6610633118</v>
      </c>
    </row>
    <row r="562" spans="1:25" ht="18" customHeight="1">
      <c r="A562" s="3">
        <v>560</v>
      </c>
      <c r="B562" s="3">
        <v>6515964107</v>
      </c>
      <c r="C562" s="4" t="s">
        <v>22</v>
      </c>
      <c r="D562" s="4" t="s">
        <v>1455</v>
      </c>
      <c r="E562" s="4" t="s">
        <v>1456</v>
      </c>
      <c r="F562" s="4" t="s">
        <v>1457</v>
      </c>
      <c r="G562" s="4" t="s">
        <v>1334</v>
      </c>
      <c r="H562" s="4" t="s">
        <v>1449</v>
      </c>
      <c r="I562" s="3">
        <v>2</v>
      </c>
      <c r="J562" s="29" t="str">
        <f t="shared" si="73"/>
        <v>1</v>
      </c>
      <c r="K562" s="54" t="str">
        <f t="shared" si="74"/>
        <v>1</v>
      </c>
      <c r="L562" s="69" t="str">
        <f t="shared" si="81"/>
        <v>0</v>
      </c>
      <c r="M562" s="74" t="str">
        <f t="shared" si="75"/>
        <v>0</v>
      </c>
      <c r="N562" s="29" t="str">
        <f t="shared" si="76"/>
        <v>0</v>
      </c>
      <c r="O562" s="61" t="str">
        <f t="shared" ca="1" si="77"/>
        <v>1</v>
      </c>
      <c r="P562" s="65" t="str">
        <f t="shared" si="78"/>
        <v>1</v>
      </c>
      <c r="Q562" s="46">
        <f t="shared" ca="1" si="80"/>
        <v>4</v>
      </c>
      <c r="R562" s="83" t="str">
        <f t="shared" ca="1" si="79"/>
        <v>ผ่าน</v>
      </c>
      <c r="S562" s="3" t="s">
        <v>28</v>
      </c>
      <c r="Y562" s="36">
        <v>6410073108</v>
      </c>
    </row>
    <row r="563" spans="1:25" ht="18" customHeight="1">
      <c r="A563" s="3">
        <v>561</v>
      </c>
      <c r="B563" s="3">
        <v>6515964109</v>
      </c>
      <c r="C563" s="4" t="s">
        <v>22</v>
      </c>
      <c r="D563" s="4" t="s">
        <v>1458</v>
      </c>
      <c r="E563" s="4" t="s">
        <v>1459</v>
      </c>
      <c r="F563" s="4" t="s">
        <v>1460</v>
      </c>
      <c r="G563" s="4" t="s">
        <v>1334</v>
      </c>
      <c r="H563" s="4" t="s">
        <v>1449</v>
      </c>
      <c r="I563" s="3">
        <v>2</v>
      </c>
      <c r="J563" s="29" t="str">
        <f t="shared" si="73"/>
        <v>1</v>
      </c>
      <c r="K563" s="54" t="str">
        <f t="shared" si="74"/>
        <v>0</v>
      </c>
      <c r="L563" s="69" t="str">
        <f t="shared" si="81"/>
        <v>0</v>
      </c>
      <c r="M563" s="74" t="str">
        <f t="shared" si="75"/>
        <v>0</v>
      </c>
      <c r="N563" s="29" t="str">
        <f t="shared" si="76"/>
        <v>0</v>
      </c>
      <c r="O563" s="61" t="str">
        <f t="shared" ca="1" si="77"/>
        <v>1</v>
      </c>
      <c r="P563" s="65" t="str">
        <f t="shared" si="78"/>
        <v>1</v>
      </c>
      <c r="Q563" s="46">
        <f t="shared" ca="1" si="80"/>
        <v>3</v>
      </c>
      <c r="R563" s="83" t="str">
        <f t="shared" ca="1" si="79"/>
        <v>ผ่าน</v>
      </c>
      <c r="S563" s="3" t="s">
        <v>28</v>
      </c>
      <c r="Y563" s="36">
        <v>6610633202</v>
      </c>
    </row>
    <row r="564" spans="1:25" ht="18" customHeight="1">
      <c r="A564" s="3">
        <v>562</v>
      </c>
      <c r="B564" s="3">
        <v>6515964112</v>
      </c>
      <c r="C564" s="4" t="s">
        <v>22</v>
      </c>
      <c r="D564" s="4" t="s">
        <v>1461</v>
      </c>
      <c r="E564" s="4" t="s">
        <v>1462</v>
      </c>
      <c r="F564" s="4" t="s">
        <v>812</v>
      </c>
      <c r="G564" s="4" t="s">
        <v>1334</v>
      </c>
      <c r="H564" s="4" t="s">
        <v>1449</v>
      </c>
      <c r="I564" s="3">
        <v>2</v>
      </c>
      <c r="J564" s="29" t="str">
        <f t="shared" si="73"/>
        <v>1</v>
      </c>
      <c r="K564" s="54" t="str">
        <f t="shared" si="74"/>
        <v>1</v>
      </c>
      <c r="L564" s="69" t="str">
        <f t="shared" si="81"/>
        <v>0</v>
      </c>
      <c r="M564" s="74" t="str">
        <f t="shared" si="75"/>
        <v>1</v>
      </c>
      <c r="N564" s="29" t="str">
        <f t="shared" si="76"/>
        <v>0</v>
      </c>
      <c r="O564" s="61" t="str">
        <f t="shared" ca="1" si="77"/>
        <v>1</v>
      </c>
      <c r="P564" s="65" t="str">
        <f t="shared" si="78"/>
        <v>1</v>
      </c>
      <c r="Q564" s="46">
        <f t="shared" ca="1" si="80"/>
        <v>5</v>
      </c>
      <c r="R564" s="83" t="str">
        <f t="shared" ca="1" si="79"/>
        <v>ผ่าน</v>
      </c>
      <c r="S564" s="3" t="s">
        <v>28</v>
      </c>
      <c r="Y564" s="36">
        <v>6410207201</v>
      </c>
    </row>
    <row r="565" spans="1:25" ht="18" customHeight="1">
      <c r="A565" s="3">
        <v>563</v>
      </c>
      <c r="B565" s="3">
        <v>6415964119</v>
      </c>
      <c r="C565" s="4" t="s">
        <v>29</v>
      </c>
      <c r="D565" s="4" t="s">
        <v>1463</v>
      </c>
      <c r="E565" s="4" t="s">
        <v>1464</v>
      </c>
      <c r="F565" s="4" t="s">
        <v>1465</v>
      </c>
      <c r="G565" s="4" t="s">
        <v>1334</v>
      </c>
      <c r="H565" s="4" t="s">
        <v>1449</v>
      </c>
      <c r="I565" s="3">
        <v>3</v>
      </c>
      <c r="J565" s="29" t="str">
        <f t="shared" si="73"/>
        <v>1</v>
      </c>
      <c r="K565" s="54" t="str">
        <f t="shared" si="74"/>
        <v>1</v>
      </c>
      <c r="L565" s="69" t="str">
        <f t="shared" si="81"/>
        <v>0</v>
      </c>
      <c r="M565" s="74" t="str">
        <f t="shared" si="75"/>
        <v>1</v>
      </c>
      <c r="N565" s="29" t="str">
        <f t="shared" si="76"/>
        <v>0</v>
      </c>
      <c r="O565" s="61" t="str">
        <f t="shared" ca="1" si="77"/>
        <v>1</v>
      </c>
      <c r="P565" s="65" t="str">
        <f t="shared" si="78"/>
        <v>1</v>
      </c>
      <c r="Q565" s="46">
        <f t="shared" ca="1" si="80"/>
        <v>5</v>
      </c>
      <c r="R565" s="83" t="str">
        <f t="shared" ca="1" si="79"/>
        <v>ผ่าน</v>
      </c>
      <c r="S565" s="3" t="s">
        <v>28</v>
      </c>
      <c r="Y565" s="36">
        <v>6610392224</v>
      </c>
    </row>
    <row r="566" spans="1:25" ht="18" customHeight="1">
      <c r="A566" s="3">
        <v>564</v>
      </c>
      <c r="B566" s="3">
        <v>6415964122</v>
      </c>
      <c r="C566" s="4" t="s">
        <v>29</v>
      </c>
      <c r="D566" s="4" t="s">
        <v>1466</v>
      </c>
      <c r="E566" s="4" t="s">
        <v>1467</v>
      </c>
      <c r="F566" s="4" t="s">
        <v>230</v>
      </c>
      <c r="G566" s="4" t="s">
        <v>1334</v>
      </c>
      <c r="H566" s="4" t="s">
        <v>1449</v>
      </c>
      <c r="I566" s="3">
        <v>3</v>
      </c>
      <c r="J566" s="29" t="str">
        <f t="shared" si="73"/>
        <v>0</v>
      </c>
      <c r="K566" s="54" t="str">
        <f t="shared" si="74"/>
        <v>1</v>
      </c>
      <c r="L566" s="69" t="str">
        <f t="shared" si="81"/>
        <v>0</v>
      </c>
      <c r="M566" s="74" t="str">
        <f t="shared" si="75"/>
        <v>1</v>
      </c>
      <c r="N566" s="29" t="str">
        <f t="shared" si="76"/>
        <v>0</v>
      </c>
      <c r="O566" s="61" t="str">
        <f t="shared" ca="1" si="77"/>
        <v>1</v>
      </c>
      <c r="P566" s="65" t="str">
        <f t="shared" si="78"/>
        <v>1</v>
      </c>
      <c r="Q566" s="46">
        <f t="shared" ca="1" si="80"/>
        <v>4</v>
      </c>
      <c r="R566" s="83" t="str">
        <f t="shared" ca="1" si="79"/>
        <v>ผ่าน</v>
      </c>
      <c r="S566" s="3" t="s">
        <v>28</v>
      </c>
      <c r="Y566" s="36">
        <v>6410073115</v>
      </c>
    </row>
    <row r="567" spans="1:25" ht="18" customHeight="1">
      <c r="A567" s="3">
        <v>565</v>
      </c>
      <c r="B567" s="3">
        <v>6415964123</v>
      </c>
      <c r="C567" s="4" t="s">
        <v>29</v>
      </c>
      <c r="D567" s="4" t="s">
        <v>1468</v>
      </c>
      <c r="E567" s="4" t="s">
        <v>1469</v>
      </c>
      <c r="F567" s="4" t="s">
        <v>453</v>
      </c>
      <c r="G567" s="4" t="s">
        <v>1334</v>
      </c>
      <c r="H567" s="4" t="s">
        <v>1449</v>
      </c>
      <c r="I567" s="3">
        <v>3</v>
      </c>
      <c r="J567" s="29" t="str">
        <f t="shared" si="73"/>
        <v>1</v>
      </c>
      <c r="K567" s="54" t="str">
        <f t="shared" si="74"/>
        <v>1</v>
      </c>
      <c r="L567" s="69" t="str">
        <f t="shared" si="81"/>
        <v>0</v>
      </c>
      <c r="M567" s="74" t="str">
        <f t="shared" si="75"/>
        <v>1</v>
      </c>
      <c r="N567" s="29" t="str">
        <f t="shared" si="76"/>
        <v>0</v>
      </c>
      <c r="O567" s="61" t="str">
        <f t="shared" ca="1" si="77"/>
        <v>1</v>
      </c>
      <c r="P567" s="65" t="str">
        <f t="shared" si="78"/>
        <v>1</v>
      </c>
      <c r="Q567" s="46">
        <f t="shared" ca="1" si="80"/>
        <v>5</v>
      </c>
      <c r="R567" s="83" t="str">
        <f t="shared" ca="1" si="79"/>
        <v>ผ่าน</v>
      </c>
      <c r="S567" s="3" t="s">
        <v>28</v>
      </c>
      <c r="Y567" s="36">
        <v>6610068114</v>
      </c>
    </row>
    <row r="568" spans="1:25" ht="18" customHeight="1">
      <c r="A568" s="3">
        <v>566</v>
      </c>
      <c r="B568" s="3">
        <v>6315964101</v>
      </c>
      <c r="C568" s="4" t="s">
        <v>22</v>
      </c>
      <c r="D568" s="4" t="s">
        <v>1470</v>
      </c>
      <c r="E568" s="4" t="s">
        <v>1471</v>
      </c>
      <c r="F568" s="4" t="s">
        <v>1472</v>
      </c>
      <c r="G568" s="4" t="s">
        <v>1334</v>
      </c>
      <c r="H568" s="4" t="s">
        <v>1449</v>
      </c>
      <c r="I568" s="3">
        <v>4</v>
      </c>
      <c r="J568" s="29" t="str">
        <f t="shared" si="73"/>
        <v>0</v>
      </c>
      <c r="K568" s="54" t="str">
        <f t="shared" si="74"/>
        <v>0</v>
      </c>
      <c r="L568" s="69" t="str">
        <f t="shared" si="81"/>
        <v>0</v>
      </c>
      <c r="M568" s="74" t="str">
        <f t="shared" si="75"/>
        <v>1</v>
      </c>
      <c r="N568" s="29" t="str">
        <f t="shared" si="76"/>
        <v>0</v>
      </c>
      <c r="O568" s="61">
        <v>1</v>
      </c>
      <c r="P568" s="65">
        <v>1</v>
      </c>
      <c r="Q568" s="46">
        <f t="shared" si="80"/>
        <v>3</v>
      </c>
      <c r="R568" s="83" t="str">
        <f t="shared" si="79"/>
        <v>ผ่าน</v>
      </c>
      <c r="S568" s="3" t="s">
        <v>28</v>
      </c>
      <c r="Y568" s="36">
        <v>6412866227</v>
      </c>
    </row>
    <row r="569" spans="1:25" ht="18" customHeight="1">
      <c r="A569" s="3">
        <v>567</v>
      </c>
      <c r="B569" s="3">
        <v>6315964102</v>
      </c>
      <c r="C569" s="4" t="s">
        <v>22</v>
      </c>
      <c r="D569" s="4" t="s">
        <v>1473</v>
      </c>
      <c r="E569" s="4" t="s">
        <v>1474</v>
      </c>
      <c r="F569" s="4" t="s">
        <v>22</v>
      </c>
      <c r="G569" s="4" t="s">
        <v>1334</v>
      </c>
      <c r="H569" s="4" t="s">
        <v>1449</v>
      </c>
      <c r="I569" s="3">
        <v>4</v>
      </c>
      <c r="J569" s="29" t="str">
        <f t="shared" si="73"/>
        <v>1</v>
      </c>
      <c r="K569" s="54" t="str">
        <f t="shared" si="74"/>
        <v>1</v>
      </c>
      <c r="L569" s="69" t="str">
        <f t="shared" si="81"/>
        <v>0</v>
      </c>
      <c r="M569" s="74" t="str">
        <f t="shared" si="75"/>
        <v>1</v>
      </c>
      <c r="N569" s="29" t="str">
        <f t="shared" si="76"/>
        <v>0</v>
      </c>
      <c r="O569" s="61">
        <v>1</v>
      </c>
      <c r="P569" s="65">
        <v>1</v>
      </c>
      <c r="Q569" s="46">
        <f t="shared" si="80"/>
        <v>5</v>
      </c>
      <c r="R569" s="83" t="str">
        <f t="shared" si="79"/>
        <v>ผ่าน</v>
      </c>
      <c r="S569" s="3" t="s">
        <v>28</v>
      </c>
      <c r="Y569" s="36">
        <v>6410403230</v>
      </c>
    </row>
    <row r="570" spans="1:25" ht="18" customHeight="1">
      <c r="A570" s="3">
        <v>568</v>
      </c>
      <c r="B570" s="3">
        <v>6315964103</v>
      </c>
      <c r="C570" s="4" t="s">
        <v>22</v>
      </c>
      <c r="D570" s="4" t="s">
        <v>1475</v>
      </c>
      <c r="E570" s="4" t="s">
        <v>1476</v>
      </c>
      <c r="F570" s="4" t="s">
        <v>1477</v>
      </c>
      <c r="G570" s="4" t="s">
        <v>1334</v>
      </c>
      <c r="H570" s="4" t="s">
        <v>1449</v>
      </c>
      <c r="I570" s="3">
        <v>4</v>
      </c>
      <c r="J570" s="29" t="str">
        <f t="shared" si="73"/>
        <v>1</v>
      </c>
      <c r="K570" s="54" t="str">
        <f t="shared" si="74"/>
        <v>1</v>
      </c>
      <c r="L570" s="69" t="str">
        <f t="shared" si="81"/>
        <v>0</v>
      </c>
      <c r="M570" s="74" t="str">
        <f t="shared" si="75"/>
        <v>1</v>
      </c>
      <c r="N570" s="29" t="str">
        <f t="shared" si="76"/>
        <v>0</v>
      </c>
      <c r="O570" s="61">
        <v>1</v>
      </c>
      <c r="P570" s="65">
        <v>1</v>
      </c>
      <c r="Q570" s="46">
        <f t="shared" si="80"/>
        <v>5</v>
      </c>
      <c r="R570" s="83" t="str">
        <f t="shared" si="79"/>
        <v>ผ่าน</v>
      </c>
      <c r="S570" s="3" t="s">
        <v>28</v>
      </c>
      <c r="Y570" s="36">
        <v>6510106136</v>
      </c>
    </row>
    <row r="571" spans="1:25" ht="18" customHeight="1">
      <c r="A571" s="3">
        <v>569</v>
      </c>
      <c r="B571" s="3">
        <v>6315964104</v>
      </c>
      <c r="C571" s="4" t="s">
        <v>22</v>
      </c>
      <c r="D571" s="4" t="s">
        <v>1478</v>
      </c>
      <c r="E571" s="4" t="s">
        <v>1479</v>
      </c>
      <c r="F571" s="4" t="s">
        <v>1480</v>
      </c>
      <c r="G571" s="4" t="s">
        <v>1334</v>
      </c>
      <c r="H571" s="4" t="s">
        <v>1449</v>
      </c>
      <c r="I571" s="3">
        <v>4</v>
      </c>
      <c r="J571" s="29" t="str">
        <f t="shared" si="73"/>
        <v>1</v>
      </c>
      <c r="K571" s="54">
        <v>1</v>
      </c>
      <c r="L571" s="69" t="str">
        <f t="shared" si="81"/>
        <v>0</v>
      </c>
      <c r="M571" s="74" t="str">
        <f t="shared" si="75"/>
        <v>1</v>
      </c>
      <c r="N571" s="29" t="str">
        <f t="shared" si="76"/>
        <v>0</v>
      </c>
      <c r="O571" s="61">
        <v>1</v>
      </c>
      <c r="P571" s="65">
        <v>1</v>
      </c>
      <c r="Q571" s="46">
        <f t="shared" si="80"/>
        <v>5</v>
      </c>
      <c r="R571" s="83" t="str">
        <f t="shared" si="79"/>
        <v>ผ่าน</v>
      </c>
      <c r="S571" s="3" t="s">
        <v>28</v>
      </c>
      <c r="Y571" s="36">
        <v>6610488118</v>
      </c>
    </row>
    <row r="572" spans="1:25" ht="18" customHeight="1">
      <c r="A572" s="3">
        <v>570</v>
      </c>
      <c r="B572" s="3">
        <v>6315964106</v>
      </c>
      <c r="C572" s="4" t="s">
        <v>22</v>
      </c>
      <c r="D572" s="4" t="s">
        <v>1481</v>
      </c>
      <c r="E572" s="4" t="s">
        <v>1482</v>
      </c>
      <c r="F572" s="4" t="s">
        <v>1483</v>
      </c>
      <c r="G572" s="4" t="s">
        <v>1334</v>
      </c>
      <c r="H572" s="4" t="s">
        <v>1449</v>
      </c>
      <c r="I572" s="3">
        <v>4</v>
      </c>
      <c r="J572" s="29" t="str">
        <f t="shared" si="73"/>
        <v>1</v>
      </c>
      <c r="K572" s="54">
        <v>1</v>
      </c>
      <c r="L572" s="69" t="str">
        <f t="shared" si="81"/>
        <v>0</v>
      </c>
      <c r="M572" s="74" t="str">
        <f t="shared" si="75"/>
        <v>1</v>
      </c>
      <c r="N572" s="29" t="str">
        <f t="shared" si="76"/>
        <v>0</v>
      </c>
      <c r="O572" s="61">
        <v>1</v>
      </c>
      <c r="P572" s="65">
        <v>1</v>
      </c>
      <c r="Q572" s="46">
        <f t="shared" si="80"/>
        <v>5</v>
      </c>
      <c r="R572" s="83" t="str">
        <f t="shared" si="79"/>
        <v>ผ่าน</v>
      </c>
      <c r="S572" s="3" t="s">
        <v>28</v>
      </c>
      <c r="Y572" s="36">
        <v>6612743223</v>
      </c>
    </row>
    <row r="573" spans="1:25" ht="18" customHeight="1">
      <c r="A573" s="3">
        <v>571</v>
      </c>
      <c r="B573" s="3">
        <v>6315964107</v>
      </c>
      <c r="C573" s="4" t="s">
        <v>22</v>
      </c>
      <c r="D573" s="4" t="s">
        <v>1484</v>
      </c>
      <c r="E573" s="4" t="s">
        <v>1485</v>
      </c>
      <c r="F573" s="4" t="s">
        <v>952</v>
      </c>
      <c r="G573" s="4" t="s">
        <v>1334</v>
      </c>
      <c r="H573" s="4" t="s">
        <v>1449</v>
      </c>
      <c r="I573" s="3">
        <v>4</v>
      </c>
      <c r="J573" s="29" t="str">
        <f t="shared" si="73"/>
        <v>1</v>
      </c>
      <c r="K573" s="54" t="str">
        <f t="shared" si="74"/>
        <v>1</v>
      </c>
      <c r="L573" s="69" t="str">
        <f t="shared" si="81"/>
        <v>0</v>
      </c>
      <c r="M573" s="74" t="str">
        <f t="shared" si="75"/>
        <v>1</v>
      </c>
      <c r="N573" s="29" t="str">
        <f t="shared" si="76"/>
        <v>0</v>
      </c>
      <c r="O573" s="61">
        <v>1</v>
      </c>
      <c r="P573" s="65">
        <v>1</v>
      </c>
      <c r="Q573" s="46">
        <f t="shared" si="80"/>
        <v>5</v>
      </c>
      <c r="R573" s="83" t="str">
        <f t="shared" si="79"/>
        <v>ผ่าน</v>
      </c>
      <c r="S573" s="3" t="s">
        <v>28</v>
      </c>
      <c r="Y573" s="36">
        <v>6510633116</v>
      </c>
    </row>
    <row r="574" spans="1:25" ht="18" customHeight="1">
      <c r="A574" s="3">
        <v>572</v>
      </c>
      <c r="B574" s="3">
        <v>6315964110</v>
      </c>
      <c r="C574" s="4" t="s">
        <v>22</v>
      </c>
      <c r="D574" s="4" t="s">
        <v>585</v>
      </c>
      <c r="E574" s="4" t="s">
        <v>668</v>
      </c>
      <c r="F574" s="4" t="s">
        <v>1486</v>
      </c>
      <c r="G574" s="4" t="s">
        <v>1334</v>
      </c>
      <c r="H574" s="4" t="s">
        <v>1449</v>
      </c>
      <c r="I574" s="3">
        <v>4</v>
      </c>
      <c r="J574" s="29" t="str">
        <f t="shared" si="73"/>
        <v>1</v>
      </c>
      <c r="K574" s="54" t="str">
        <f t="shared" si="74"/>
        <v>0</v>
      </c>
      <c r="L574" s="69" t="str">
        <f t="shared" si="81"/>
        <v>0</v>
      </c>
      <c r="M574" s="74" t="str">
        <f t="shared" si="75"/>
        <v>0</v>
      </c>
      <c r="N574" s="29" t="str">
        <f t="shared" si="76"/>
        <v>0</v>
      </c>
      <c r="O574" s="61">
        <v>1</v>
      </c>
      <c r="P574" s="65">
        <v>1</v>
      </c>
      <c r="Q574" s="46">
        <f t="shared" si="80"/>
        <v>3</v>
      </c>
      <c r="R574" s="83" t="str">
        <f t="shared" si="79"/>
        <v>ผ่าน</v>
      </c>
      <c r="S574" s="3" t="s">
        <v>28</v>
      </c>
      <c r="Y574" s="36">
        <v>6412866222</v>
      </c>
    </row>
    <row r="575" spans="1:25" ht="18" customHeight="1">
      <c r="A575" s="3">
        <v>573</v>
      </c>
      <c r="B575" s="3">
        <v>6315964111</v>
      </c>
      <c r="C575" s="4" t="s">
        <v>22</v>
      </c>
      <c r="D575" s="4" t="s">
        <v>1487</v>
      </c>
      <c r="E575" s="4" t="s">
        <v>1488</v>
      </c>
      <c r="F575" s="4" t="s">
        <v>1489</v>
      </c>
      <c r="G575" s="4" t="s">
        <v>1334</v>
      </c>
      <c r="H575" s="4" t="s">
        <v>1449</v>
      </c>
      <c r="I575" s="3">
        <v>4</v>
      </c>
      <c r="J575" s="29" t="str">
        <f t="shared" si="73"/>
        <v>1</v>
      </c>
      <c r="K575" s="54" t="str">
        <f t="shared" si="74"/>
        <v>1</v>
      </c>
      <c r="L575" s="69" t="str">
        <f t="shared" si="81"/>
        <v>0</v>
      </c>
      <c r="M575" s="74" t="str">
        <f t="shared" si="75"/>
        <v>1</v>
      </c>
      <c r="N575" s="29" t="str">
        <f t="shared" si="76"/>
        <v>0</v>
      </c>
      <c r="O575" s="61">
        <v>1</v>
      </c>
      <c r="P575" s="65">
        <v>1</v>
      </c>
      <c r="Q575" s="46">
        <f t="shared" si="80"/>
        <v>5</v>
      </c>
      <c r="R575" s="83" t="str">
        <f t="shared" si="79"/>
        <v>ผ่าน</v>
      </c>
      <c r="S575" s="3" t="s">
        <v>28</v>
      </c>
      <c r="Y575" s="36">
        <v>6410403206</v>
      </c>
    </row>
    <row r="576" spans="1:25" ht="18" customHeight="1">
      <c r="A576" s="3">
        <v>574</v>
      </c>
      <c r="B576" s="3">
        <v>6315964112</v>
      </c>
      <c r="C576" s="4" t="s">
        <v>22</v>
      </c>
      <c r="D576" s="4" t="s">
        <v>1490</v>
      </c>
      <c r="E576" s="4" t="s">
        <v>1491</v>
      </c>
      <c r="F576" s="4" t="s">
        <v>1492</v>
      </c>
      <c r="G576" s="4" t="s">
        <v>1334</v>
      </c>
      <c r="H576" s="4" t="s">
        <v>1449</v>
      </c>
      <c r="I576" s="3">
        <v>4</v>
      </c>
      <c r="J576" s="29" t="str">
        <f t="shared" si="73"/>
        <v>1</v>
      </c>
      <c r="K576" s="54" t="str">
        <f t="shared" si="74"/>
        <v>1</v>
      </c>
      <c r="L576" s="69" t="str">
        <f t="shared" si="81"/>
        <v>0</v>
      </c>
      <c r="M576" s="74" t="str">
        <f t="shared" si="75"/>
        <v>1</v>
      </c>
      <c r="N576" s="29" t="str">
        <f t="shared" si="76"/>
        <v>0</v>
      </c>
      <c r="O576" s="61">
        <v>1</v>
      </c>
      <c r="P576" s="65">
        <v>1</v>
      </c>
      <c r="Q576" s="46">
        <f t="shared" si="80"/>
        <v>5</v>
      </c>
      <c r="R576" s="83" t="str">
        <f t="shared" si="79"/>
        <v>ผ่าน</v>
      </c>
      <c r="S576" s="3" t="s">
        <v>28</v>
      </c>
      <c r="Y576" s="36">
        <v>6510106120</v>
      </c>
    </row>
    <row r="577" spans="1:25" ht="18" customHeight="1">
      <c r="A577" s="3">
        <v>575</v>
      </c>
      <c r="B577" s="3">
        <v>6315964113</v>
      </c>
      <c r="C577" s="4" t="s">
        <v>22</v>
      </c>
      <c r="D577" s="4" t="s">
        <v>1493</v>
      </c>
      <c r="E577" s="4" t="s">
        <v>1494</v>
      </c>
      <c r="F577" s="4" t="s">
        <v>1290</v>
      </c>
      <c r="G577" s="4" t="s">
        <v>1334</v>
      </c>
      <c r="H577" s="4" t="s">
        <v>1449</v>
      </c>
      <c r="I577" s="3">
        <v>4</v>
      </c>
      <c r="J577" s="29" t="str">
        <f t="shared" si="73"/>
        <v>0</v>
      </c>
      <c r="K577" s="54" t="str">
        <f t="shared" si="74"/>
        <v>0</v>
      </c>
      <c r="L577" s="69" t="str">
        <f t="shared" si="81"/>
        <v>0</v>
      </c>
      <c r="M577" s="74" t="str">
        <f t="shared" si="75"/>
        <v>0</v>
      </c>
      <c r="N577" s="29" t="str">
        <f t="shared" si="76"/>
        <v>0</v>
      </c>
      <c r="O577" s="61">
        <v>1</v>
      </c>
      <c r="P577" s="65">
        <v>1</v>
      </c>
      <c r="Q577" s="46">
        <f t="shared" si="80"/>
        <v>2</v>
      </c>
      <c r="R577" s="3" t="str">
        <f t="shared" si="79"/>
        <v>ไม่ผ่าน</v>
      </c>
      <c r="S577" s="3" t="s">
        <v>28</v>
      </c>
      <c r="Y577" s="36">
        <v>6410488219</v>
      </c>
    </row>
    <row r="578" spans="1:25" ht="18" customHeight="1">
      <c r="A578" s="3">
        <v>576</v>
      </c>
      <c r="B578" s="3">
        <v>6315964117</v>
      </c>
      <c r="C578" s="4" t="s">
        <v>29</v>
      </c>
      <c r="D578" s="4" t="s">
        <v>1495</v>
      </c>
      <c r="E578" s="4" t="s">
        <v>1496</v>
      </c>
      <c r="F578" s="4" t="s">
        <v>924</v>
      </c>
      <c r="G578" s="4" t="s">
        <v>1334</v>
      </c>
      <c r="H578" s="4" t="s">
        <v>1449</v>
      </c>
      <c r="I578" s="3">
        <v>4</v>
      </c>
      <c r="J578" s="29" t="str">
        <f t="shared" si="73"/>
        <v>1</v>
      </c>
      <c r="K578" s="54" t="str">
        <f t="shared" si="74"/>
        <v>1</v>
      </c>
      <c r="L578" s="69" t="str">
        <f t="shared" si="81"/>
        <v>0</v>
      </c>
      <c r="M578" s="74" t="str">
        <f t="shared" si="75"/>
        <v>1</v>
      </c>
      <c r="N578" s="29" t="str">
        <f t="shared" si="76"/>
        <v>0</v>
      </c>
      <c r="O578" s="61">
        <v>1</v>
      </c>
      <c r="P578" s="65">
        <v>1</v>
      </c>
      <c r="Q578" s="46">
        <f t="shared" si="80"/>
        <v>5</v>
      </c>
      <c r="R578" s="83" t="str">
        <f t="shared" si="79"/>
        <v>ผ่าน</v>
      </c>
      <c r="S578" s="3" t="s">
        <v>28</v>
      </c>
      <c r="Y578" s="36">
        <v>6412866216</v>
      </c>
    </row>
    <row r="579" spans="1:25" ht="18" customHeight="1">
      <c r="A579" s="3">
        <v>577</v>
      </c>
      <c r="B579" s="3">
        <v>6315964118</v>
      </c>
      <c r="C579" s="4" t="s">
        <v>29</v>
      </c>
      <c r="D579" s="4" t="s">
        <v>782</v>
      </c>
      <c r="E579" s="4" t="s">
        <v>1497</v>
      </c>
      <c r="F579" s="4" t="s">
        <v>127</v>
      </c>
      <c r="G579" s="4" t="s">
        <v>1334</v>
      </c>
      <c r="H579" s="4" t="s">
        <v>1449</v>
      </c>
      <c r="I579" s="3">
        <v>4</v>
      </c>
      <c r="J579" s="29" t="str">
        <f t="shared" ref="J579:J642" si="82">IF(IFERROR(VLOOKUP(B579,DATA,1,FALSE),),"1","0")</f>
        <v>1</v>
      </c>
      <c r="K579" s="54" t="str">
        <f t="shared" ref="K579:K642" si="83">IF(IFERROR(VLOOKUP(B579,DATA8,1,FALSE),),"1","0")</f>
        <v>0</v>
      </c>
      <c r="L579" s="69" t="str">
        <f t="shared" si="81"/>
        <v>0</v>
      </c>
      <c r="M579" s="74" t="str">
        <f t="shared" ref="M579:M642" si="84">IF(IFERROR(VLOOKUP(B579,DATA9,1,FALSE),),"1","0")</f>
        <v>1</v>
      </c>
      <c r="N579" s="29" t="str">
        <f t="shared" ref="N579:N642" si="85">IF(IFERROR(VLOOKUP(B579,DATA10,1,FALSE),),"1","0")</f>
        <v>0</v>
      </c>
      <c r="O579" s="61">
        <v>1</v>
      </c>
      <c r="P579" s="65">
        <v>1</v>
      </c>
      <c r="Q579" s="46">
        <f t="shared" si="80"/>
        <v>4</v>
      </c>
      <c r="R579" s="83" t="str">
        <f t="shared" ref="R579:R642" si="86">IF(Q579&gt;=3,"ผ่าน",IF(Q579&lt;3,"ไม่ผ่าน"))</f>
        <v>ผ่าน</v>
      </c>
      <c r="S579" s="3" t="s">
        <v>28</v>
      </c>
      <c r="Y579" s="36">
        <v>6610488126</v>
      </c>
    </row>
    <row r="580" spans="1:25" ht="18" customHeight="1">
      <c r="A580" s="3">
        <v>578</v>
      </c>
      <c r="B580" s="3">
        <v>6315964119</v>
      </c>
      <c r="C580" s="4" t="s">
        <v>29</v>
      </c>
      <c r="D580" s="4" t="s">
        <v>295</v>
      </c>
      <c r="E580" s="4" t="s">
        <v>106</v>
      </c>
      <c r="F580" s="4" t="s">
        <v>421</v>
      </c>
      <c r="G580" s="4" t="s">
        <v>1334</v>
      </c>
      <c r="H580" s="4" t="s">
        <v>1449</v>
      </c>
      <c r="I580" s="3">
        <v>4</v>
      </c>
      <c r="J580" s="29" t="str">
        <f t="shared" si="82"/>
        <v>1</v>
      </c>
      <c r="K580" s="54" t="str">
        <f t="shared" si="83"/>
        <v>1</v>
      </c>
      <c r="L580" s="69" t="str">
        <f t="shared" si="81"/>
        <v>0</v>
      </c>
      <c r="M580" s="74" t="str">
        <f t="shared" si="84"/>
        <v>1</v>
      </c>
      <c r="N580" s="29" t="str">
        <f t="shared" si="85"/>
        <v>0</v>
      </c>
      <c r="O580" s="61">
        <v>1</v>
      </c>
      <c r="P580" s="65">
        <v>1</v>
      </c>
      <c r="Q580" s="46">
        <f t="shared" ref="Q580:Q643" si="87">J580+K580+L580+M580+N580+O580+P580</f>
        <v>5</v>
      </c>
      <c r="R580" s="83" t="str">
        <f t="shared" si="86"/>
        <v>ผ่าน</v>
      </c>
      <c r="S580" s="3" t="s">
        <v>28</v>
      </c>
      <c r="Y580" s="36">
        <v>6610488125</v>
      </c>
    </row>
    <row r="581" spans="1:25" ht="18" customHeight="1">
      <c r="A581" s="3">
        <v>579</v>
      </c>
      <c r="B581" s="3">
        <v>6315964127</v>
      </c>
      <c r="C581" s="4" t="s">
        <v>22</v>
      </c>
      <c r="D581" s="4" t="s">
        <v>1498</v>
      </c>
      <c r="E581" s="4" t="s">
        <v>1499</v>
      </c>
      <c r="F581" s="4" t="s">
        <v>850</v>
      </c>
      <c r="G581" s="4" t="s">
        <v>1334</v>
      </c>
      <c r="H581" s="4" t="s">
        <v>1449</v>
      </c>
      <c r="I581" s="3">
        <v>4</v>
      </c>
      <c r="J581" s="29" t="str">
        <f t="shared" si="82"/>
        <v>1</v>
      </c>
      <c r="K581" s="54">
        <v>1</v>
      </c>
      <c r="L581" s="69" t="str">
        <f t="shared" si="81"/>
        <v>0</v>
      </c>
      <c r="M581" s="74" t="str">
        <f t="shared" si="84"/>
        <v>1</v>
      </c>
      <c r="N581" s="29" t="str">
        <f t="shared" si="85"/>
        <v>0</v>
      </c>
      <c r="O581" s="61">
        <v>1</v>
      </c>
      <c r="P581" s="65">
        <v>1</v>
      </c>
      <c r="Q581" s="46">
        <f t="shared" si="87"/>
        <v>5</v>
      </c>
      <c r="R581" s="83" t="str">
        <f t="shared" si="86"/>
        <v>ผ่าน</v>
      </c>
      <c r="S581" s="3" t="s">
        <v>28</v>
      </c>
      <c r="Y581" s="36">
        <v>6412743239</v>
      </c>
    </row>
    <row r="582" spans="1:25" ht="18" customHeight="1">
      <c r="A582" s="3">
        <v>580</v>
      </c>
      <c r="B582" s="3">
        <v>6612732108</v>
      </c>
      <c r="C582" s="4" t="s">
        <v>22</v>
      </c>
      <c r="D582" s="4" t="s">
        <v>1500</v>
      </c>
      <c r="E582" s="4" t="s">
        <v>1501</v>
      </c>
      <c r="F582" s="4" t="s">
        <v>1046</v>
      </c>
      <c r="G582" s="4" t="s">
        <v>1334</v>
      </c>
      <c r="H582" s="4" t="s">
        <v>1502</v>
      </c>
      <c r="I582" s="3">
        <v>1</v>
      </c>
      <c r="J582" s="29" t="str">
        <f t="shared" si="82"/>
        <v>1</v>
      </c>
      <c r="K582" s="54" t="str">
        <f t="shared" si="83"/>
        <v>1</v>
      </c>
      <c r="L582" s="69" t="str">
        <f t="shared" si="81"/>
        <v>0</v>
      </c>
      <c r="M582" s="74" t="str">
        <f t="shared" si="84"/>
        <v>1</v>
      </c>
      <c r="N582" s="29" t="str">
        <f t="shared" si="85"/>
        <v>0</v>
      </c>
      <c r="O582" s="61" t="str">
        <f t="shared" ref="O579:O642" ca="1" si="88">IF(IFERROR(VLOOKUP(B582,DATA11,1,FALSE),),"1","0")</f>
        <v>1</v>
      </c>
      <c r="P582" s="65" t="str">
        <f t="shared" ref="P579:P642" si="89">IF(IFERROR(VLOOKUP(B582,DATA12,1,FALSE),),"1","0")</f>
        <v>1</v>
      </c>
      <c r="Q582" s="46">
        <f t="shared" ca="1" si="87"/>
        <v>5</v>
      </c>
      <c r="R582" s="83" t="str">
        <f t="shared" ca="1" si="86"/>
        <v>ผ่าน</v>
      </c>
      <c r="S582" s="3" t="s">
        <v>28</v>
      </c>
      <c r="Y582" s="36">
        <v>6412743202</v>
      </c>
    </row>
    <row r="583" spans="1:25" ht="18" customHeight="1">
      <c r="A583" s="3">
        <v>581</v>
      </c>
      <c r="B583" s="3">
        <v>6612732118</v>
      </c>
      <c r="C583" s="4" t="s">
        <v>22</v>
      </c>
      <c r="D583" s="4" t="s">
        <v>1503</v>
      </c>
      <c r="E583" s="4" t="s">
        <v>1504</v>
      </c>
      <c r="F583" s="4" t="s">
        <v>616</v>
      </c>
      <c r="G583" s="4" t="s">
        <v>1334</v>
      </c>
      <c r="H583" s="4" t="s">
        <v>1502</v>
      </c>
      <c r="I583" s="3">
        <v>1</v>
      </c>
      <c r="J583" s="29" t="str">
        <f t="shared" si="82"/>
        <v>1</v>
      </c>
      <c r="K583" s="54" t="str">
        <f t="shared" si="83"/>
        <v>1</v>
      </c>
      <c r="L583" s="69" t="str">
        <f t="shared" si="81"/>
        <v>0</v>
      </c>
      <c r="M583" s="74" t="str">
        <f t="shared" si="84"/>
        <v>1</v>
      </c>
      <c r="N583" s="29" t="str">
        <f t="shared" si="85"/>
        <v>0</v>
      </c>
      <c r="O583" s="61" t="str">
        <f t="shared" ca="1" si="88"/>
        <v>1</v>
      </c>
      <c r="P583" s="65" t="str">
        <f t="shared" si="89"/>
        <v>1</v>
      </c>
      <c r="Q583" s="46">
        <f t="shared" ca="1" si="87"/>
        <v>5</v>
      </c>
      <c r="R583" s="83" t="str">
        <f t="shared" ca="1" si="86"/>
        <v>ผ่าน</v>
      </c>
      <c r="S583" s="3" t="s">
        <v>28</v>
      </c>
      <c r="Y583" s="36">
        <v>6510633224</v>
      </c>
    </row>
    <row r="584" spans="1:25" ht="18" customHeight="1">
      <c r="A584" s="3">
        <v>582</v>
      </c>
      <c r="B584" s="3">
        <v>6612732121</v>
      </c>
      <c r="C584" s="4" t="s">
        <v>22</v>
      </c>
      <c r="D584" s="4" t="s">
        <v>1505</v>
      </c>
      <c r="E584" s="4" t="s">
        <v>1506</v>
      </c>
      <c r="F584" s="4" t="s">
        <v>616</v>
      </c>
      <c r="G584" s="4" t="s">
        <v>1334</v>
      </c>
      <c r="H584" s="4" t="s">
        <v>1502</v>
      </c>
      <c r="I584" s="3">
        <v>1</v>
      </c>
      <c r="J584" s="29" t="str">
        <f t="shared" si="82"/>
        <v>0</v>
      </c>
      <c r="K584" s="54" t="str">
        <f t="shared" si="83"/>
        <v>1</v>
      </c>
      <c r="L584" s="69" t="str">
        <f t="shared" si="81"/>
        <v>0</v>
      </c>
      <c r="M584" s="74" t="str">
        <f t="shared" si="84"/>
        <v>1</v>
      </c>
      <c r="N584" s="29" t="str">
        <f t="shared" si="85"/>
        <v>0</v>
      </c>
      <c r="O584" s="61" t="str">
        <f t="shared" ca="1" si="88"/>
        <v>1</v>
      </c>
      <c r="P584" s="65" t="str">
        <f t="shared" si="89"/>
        <v>1</v>
      </c>
      <c r="Q584" s="46">
        <f t="shared" ca="1" si="87"/>
        <v>4</v>
      </c>
      <c r="R584" s="83" t="str">
        <f t="shared" ca="1" si="86"/>
        <v>ผ่าน</v>
      </c>
      <c r="S584" s="3" t="s">
        <v>28</v>
      </c>
      <c r="Y584" s="36">
        <v>6610403121</v>
      </c>
    </row>
    <row r="585" spans="1:25" ht="18" customHeight="1">
      <c r="A585" s="3">
        <v>583</v>
      </c>
      <c r="B585" s="3">
        <v>6512732101</v>
      </c>
      <c r="C585" s="4" t="s">
        <v>22</v>
      </c>
      <c r="D585" s="4" t="s">
        <v>429</v>
      </c>
      <c r="E585" s="4" t="s">
        <v>1507</v>
      </c>
      <c r="F585" s="4" t="s">
        <v>431</v>
      </c>
      <c r="G585" s="4" t="s">
        <v>1334</v>
      </c>
      <c r="H585" s="4" t="s">
        <v>1502</v>
      </c>
      <c r="I585" s="3">
        <v>2</v>
      </c>
      <c r="J585" s="29" t="str">
        <f t="shared" si="82"/>
        <v>0</v>
      </c>
      <c r="K585" s="54" t="str">
        <f t="shared" si="83"/>
        <v>0</v>
      </c>
      <c r="L585" s="69" t="str">
        <f t="shared" si="81"/>
        <v>0</v>
      </c>
      <c r="M585" s="74" t="str">
        <f t="shared" si="84"/>
        <v>0</v>
      </c>
      <c r="N585" s="29" t="str">
        <f t="shared" si="85"/>
        <v>0</v>
      </c>
      <c r="O585" s="61" t="str">
        <f t="shared" ca="1" si="88"/>
        <v>0</v>
      </c>
      <c r="P585" s="65" t="str">
        <f t="shared" si="89"/>
        <v>0</v>
      </c>
      <c r="Q585" s="46">
        <f t="shared" ca="1" si="87"/>
        <v>0</v>
      </c>
      <c r="R585" s="3" t="str">
        <f t="shared" ca="1" si="86"/>
        <v>ไม่ผ่าน</v>
      </c>
      <c r="S585" s="3" t="s">
        <v>28</v>
      </c>
      <c r="Y585" s="36">
        <v>6412258129</v>
      </c>
    </row>
    <row r="586" spans="1:25" ht="18" customHeight="1">
      <c r="A586" s="3">
        <v>584</v>
      </c>
      <c r="B586" s="3">
        <v>6512732102</v>
      </c>
      <c r="C586" s="4" t="s">
        <v>22</v>
      </c>
      <c r="D586" s="4" t="s">
        <v>1508</v>
      </c>
      <c r="E586" s="4" t="s">
        <v>1509</v>
      </c>
      <c r="F586" s="4" t="s">
        <v>383</v>
      </c>
      <c r="G586" s="4" t="s">
        <v>1334</v>
      </c>
      <c r="H586" s="4" t="s">
        <v>1502</v>
      </c>
      <c r="I586" s="3">
        <v>2</v>
      </c>
      <c r="J586" s="29" t="str">
        <f t="shared" si="82"/>
        <v>1</v>
      </c>
      <c r="K586" s="54" t="str">
        <f t="shared" si="83"/>
        <v>0</v>
      </c>
      <c r="L586" s="69" t="str">
        <f t="shared" si="81"/>
        <v>0</v>
      </c>
      <c r="M586" s="74" t="str">
        <f t="shared" si="84"/>
        <v>0</v>
      </c>
      <c r="N586" s="29" t="str">
        <f t="shared" si="85"/>
        <v>0</v>
      </c>
      <c r="O586" s="61" t="str">
        <f t="shared" ca="1" si="88"/>
        <v>0</v>
      </c>
      <c r="P586" s="65" t="str">
        <f t="shared" si="89"/>
        <v>0</v>
      </c>
      <c r="Q586" s="46">
        <f t="shared" ca="1" si="87"/>
        <v>1</v>
      </c>
      <c r="R586" s="3" t="str">
        <f t="shared" ca="1" si="86"/>
        <v>ไม่ผ่าน</v>
      </c>
      <c r="S586" s="3" t="s">
        <v>28</v>
      </c>
      <c r="Y586" s="36">
        <v>6612258203</v>
      </c>
    </row>
    <row r="587" spans="1:25" ht="18" customHeight="1">
      <c r="A587" s="3">
        <v>585</v>
      </c>
      <c r="B587" s="3">
        <v>6512732111</v>
      </c>
      <c r="C587" s="4" t="s">
        <v>22</v>
      </c>
      <c r="D587" s="4" t="s">
        <v>280</v>
      </c>
      <c r="E587" s="4" t="s">
        <v>1510</v>
      </c>
      <c r="F587" s="4" t="s">
        <v>1511</v>
      </c>
      <c r="G587" s="4" t="s">
        <v>1334</v>
      </c>
      <c r="H587" s="4" t="s">
        <v>1502</v>
      </c>
      <c r="I587" s="3">
        <v>2</v>
      </c>
      <c r="J587" s="29">
        <v>1</v>
      </c>
      <c r="K587" s="54" t="str">
        <f t="shared" si="83"/>
        <v>0</v>
      </c>
      <c r="L587" s="69" t="str">
        <f t="shared" si="81"/>
        <v>1</v>
      </c>
      <c r="M587" s="74" t="str">
        <f t="shared" si="84"/>
        <v>0</v>
      </c>
      <c r="N587" s="29" t="str">
        <f t="shared" si="85"/>
        <v>0</v>
      </c>
      <c r="O587" s="61" t="str">
        <f t="shared" ca="1" si="88"/>
        <v>0</v>
      </c>
      <c r="P587" s="65" t="str">
        <f t="shared" si="89"/>
        <v>0</v>
      </c>
      <c r="Q587" s="46">
        <f t="shared" ca="1" si="87"/>
        <v>2</v>
      </c>
      <c r="R587" s="84" t="s">
        <v>395</v>
      </c>
      <c r="S587" s="3" t="s">
        <v>28</v>
      </c>
      <c r="Y587" s="36">
        <v>6610488129</v>
      </c>
    </row>
    <row r="588" spans="1:25" ht="18" customHeight="1">
      <c r="A588" s="3">
        <v>586</v>
      </c>
      <c r="B588" s="3">
        <v>6610048243</v>
      </c>
      <c r="C588" s="4" t="s">
        <v>22</v>
      </c>
      <c r="D588" s="4" t="s">
        <v>1512</v>
      </c>
      <c r="E588" s="4" t="s">
        <v>1513</v>
      </c>
      <c r="F588" s="4" t="s">
        <v>1514</v>
      </c>
      <c r="G588" s="4" t="s">
        <v>1334</v>
      </c>
      <c r="H588" s="4" t="s">
        <v>1515</v>
      </c>
      <c r="I588" s="3">
        <v>1</v>
      </c>
      <c r="J588" s="29" t="str">
        <f t="shared" si="82"/>
        <v>1</v>
      </c>
      <c r="K588" s="54" t="str">
        <f t="shared" si="83"/>
        <v>0</v>
      </c>
      <c r="L588" s="69" t="str">
        <f t="shared" si="81"/>
        <v>0</v>
      </c>
      <c r="M588" s="74" t="str">
        <f t="shared" si="84"/>
        <v>0</v>
      </c>
      <c r="N588" s="29" t="str">
        <f t="shared" si="85"/>
        <v>0</v>
      </c>
      <c r="O588" s="61" t="str">
        <f t="shared" ca="1" si="88"/>
        <v>0</v>
      </c>
      <c r="P588" s="65" t="str">
        <f t="shared" si="89"/>
        <v>0</v>
      </c>
      <c r="Q588" s="46">
        <f t="shared" ca="1" si="87"/>
        <v>1</v>
      </c>
      <c r="R588" s="3" t="str">
        <f t="shared" ca="1" si="86"/>
        <v>ไม่ผ่าน</v>
      </c>
      <c r="S588" s="3" t="s">
        <v>28</v>
      </c>
      <c r="Y588" s="36">
        <v>6612743212</v>
      </c>
    </row>
    <row r="589" spans="1:25" ht="18" customHeight="1">
      <c r="A589" s="3">
        <v>587</v>
      </c>
      <c r="B589" s="3">
        <v>6410048102</v>
      </c>
      <c r="C589" s="4" t="s">
        <v>22</v>
      </c>
      <c r="D589" s="4" t="s">
        <v>1516</v>
      </c>
      <c r="E589" s="4" t="s">
        <v>1517</v>
      </c>
      <c r="F589" s="4" t="s">
        <v>401</v>
      </c>
      <c r="G589" s="4" t="s">
        <v>1334</v>
      </c>
      <c r="H589" s="4" t="s">
        <v>1515</v>
      </c>
      <c r="I589" s="3">
        <v>3</v>
      </c>
      <c r="J589" s="29" t="str">
        <f t="shared" si="82"/>
        <v>1</v>
      </c>
      <c r="K589" s="54">
        <v>1</v>
      </c>
      <c r="L589" s="69" t="str">
        <f t="shared" si="81"/>
        <v>0</v>
      </c>
      <c r="M589" s="74" t="str">
        <f t="shared" si="84"/>
        <v>0</v>
      </c>
      <c r="N589" s="29" t="str">
        <f t="shared" si="85"/>
        <v>0</v>
      </c>
      <c r="O589" s="61" t="str">
        <f t="shared" ca="1" si="88"/>
        <v>1</v>
      </c>
      <c r="P589" s="65" t="str">
        <f t="shared" si="89"/>
        <v>1</v>
      </c>
      <c r="Q589" s="46">
        <f t="shared" ca="1" si="87"/>
        <v>4</v>
      </c>
      <c r="R589" s="83" t="str">
        <f t="shared" ca="1" si="86"/>
        <v>ผ่าน</v>
      </c>
      <c r="S589" s="3" t="s">
        <v>28</v>
      </c>
      <c r="Y589" s="36">
        <v>6612798102</v>
      </c>
    </row>
    <row r="590" spans="1:25" ht="18" customHeight="1">
      <c r="A590" s="3">
        <v>588</v>
      </c>
      <c r="B590" s="3">
        <v>6410048103</v>
      </c>
      <c r="C590" s="4" t="s">
        <v>22</v>
      </c>
      <c r="D590" s="4" t="s">
        <v>1518</v>
      </c>
      <c r="E590" s="4" t="s">
        <v>1519</v>
      </c>
      <c r="F590" s="4" t="s">
        <v>1520</v>
      </c>
      <c r="G590" s="4" t="s">
        <v>1334</v>
      </c>
      <c r="H590" s="4" t="s">
        <v>1515</v>
      </c>
      <c r="I590" s="3">
        <v>3</v>
      </c>
      <c r="J590" s="29" t="str">
        <f t="shared" si="82"/>
        <v>1</v>
      </c>
      <c r="K590" s="54" t="str">
        <f t="shared" si="83"/>
        <v>1</v>
      </c>
      <c r="L590" s="69" t="str">
        <f t="shared" si="81"/>
        <v>0</v>
      </c>
      <c r="M590" s="74" t="str">
        <f t="shared" si="84"/>
        <v>0</v>
      </c>
      <c r="N590" s="29" t="str">
        <f t="shared" si="85"/>
        <v>1</v>
      </c>
      <c r="O590" s="61" t="str">
        <f t="shared" ca="1" si="88"/>
        <v>1</v>
      </c>
      <c r="P590" s="65" t="str">
        <f t="shared" si="89"/>
        <v>1</v>
      </c>
      <c r="Q590" s="46">
        <f t="shared" ca="1" si="87"/>
        <v>5</v>
      </c>
      <c r="R590" s="83" t="str">
        <f t="shared" ca="1" si="86"/>
        <v>ผ่าน</v>
      </c>
      <c r="S590" s="3" t="s">
        <v>28</v>
      </c>
      <c r="Y590" s="36">
        <v>6610488224</v>
      </c>
    </row>
    <row r="591" spans="1:25" ht="18" customHeight="1">
      <c r="A591" s="3">
        <v>589</v>
      </c>
      <c r="B591" s="3">
        <v>6410048104</v>
      </c>
      <c r="C591" s="4" t="s">
        <v>22</v>
      </c>
      <c r="D591" s="4" t="s">
        <v>1521</v>
      </c>
      <c r="E591" s="4" t="s">
        <v>1522</v>
      </c>
      <c r="F591" s="4" t="s">
        <v>1432</v>
      </c>
      <c r="G591" s="4" t="s">
        <v>1334</v>
      </c>
      <c r="H591" s="4" t="s">
        <v>1515</v>
      </c>
      <c r="I591" s="3">
        <v>3</v>
      </c>
      <c r="J591" s="29" t="str">
        <f t="shared" si="82"/>
        <v>1</v>
      </c>
      <c r="K591" s="54" t="str">
        <f t="shared" si="83"/>
        <v>1</v>
      </c>
      <c r="L591" s="69" t="str">
        <f t="shared" si="81"/>
        <v>0</v>
      </c>
      <c r="M591" s="74" t="str">
        <f t="shared" si="84"/>
        <v>0</v>
      </c>
      <c r="N591" s="29" t="str">
        <f t="shared" si="85"/>
        <v>1</v>
      </c>
      <c r="O591" s="61" t="str">
        <f t="shared" ca="1" si="88"/>
        <v>1</v>
      </c>
      <c r="P591" s="65" t="str">
        <f t="shared" si="89"/>
        <v>1</v>
      </c>
      <c r="Q591" s="46">
        <f t="shared" ca="1" si="87"/>
        <v>5</v>
      </c>
      <c r="R591" s="83" t="str">
        <f t="shared" ca="1" si="86"/>
        <v>ผ่าน</v>
      </c>
      <c r="S591" s="3" t="s">
        <v>28</v>
      </c>
      <c r="Y591" s="36">
        <v>6310488219</v>
      </c>
    </row>
    <row r="592" spans="1:25" ht="18" customHeight="1">
      <c r="A592" s="3">
        <v>590</v>
      </c>
      <c r="B592" s="3">
        <v>6410048108</v>
      </c>
      <c r="C592" s="4" t="s">
        <v>22</v>
      </c>
      <c r="D592" s="4" t="s">
        <v>1523</v>
      </c>
      <c r="E592" s="4" t="s">
        <v>1524</v>
      </c>
      <c r="F592" s="4" t="s">
        <v>1525</v>
      </c>
      <c r="G592" s="4" t="s">
        <v>1334</v>
      </c>
      <c r="H592" s="4" t="s">
        <v>1515</v>
      </c>
      <c r="I592" s="3">
        <v>3</v>
      </c>
      <c r="J592" s="29" t="str">
        <f t="shared" si="82"/>
        <v>1</v>
      </c>
      <c r="K592" s="54" t="str">
        <f t="shared" si="83"/>
        <v>1</v>
      </c>
      <c r="L592" s="69" t="str">
        <f t="shared" si="81"/>
        <v>0</v>
      </c>
      <c r="M592" s="74" t="str">
        <f t="shared" si="84"/>
        <v>0</v>
      </c>
      <c r="N592" s="29" t="str">
        <f t="shared" si="85"/>
        <v>0</v>
      </c>
      <c r="O592" s="61" t="str">
        <f t="shared" ca="1" si="88"/>
        <v>1</v>
      </c>
      <c r="P592" s="65" t="str">
        <f t="shared" si="89"/>
        <v>0</v>
      </c>
      <c r="Q592" s="46">
        <f t="shared" ca="1" si="87"/>
        <v>3</v>
      </c>
      <c r="R592" s="83" t="str">
        <f t="shared" ca="1" si="86"/>
        <v>ผ่าน</v>
      </c>
      <c r="S592" s="3" t="s">
        <v>28</v>
      </c>
      <c r="Y592" s="36">
        <v>6510633230</v>
      </c>
    </row>
    <row r="593" spans="1:25" ht="18" customHeight="1">
      <c r="A593" s="3">
        <v>591</v>
      </c>
      <c r="B593" s="3">
        <v>6410048111</v>
      </c>
      <c r="C593" s="4" t="s">
        <v>22</v>
      </c>
      <c r="D593" s="4" t="s">
        <v>1526</v>
      </c>
      <c r="E593" s="4" t="s">
        <v>1527</v>
      </c>
      <c r="F593" s="4" t="s">
        <v>1528</v>
      </c>
      <c r="G593" s="4" t="s">
        <v>1334</v>
      </c>
      <c r="H593" s="4" t="s">
        <v>1515</v>
      </c>
      <c r="I593" s="3">
        <v>3</v>
      </c>
      <c r="J593" s="29" t="str">
        <f t="shared" si="82"/>
        <v>1</v>
      </c>
      <c r="K593" s="54">
        <v>1</v>
      </c>
      <c r="L593" s="69" t="str">
        <f t="shared" ref="L593:L656" si="90">IF(IFERROR(VLOOKUP(B593,DATA7,1,FALSE),),"1","0")</f>
        <v>0</v>
      </c>
      <c r="M593" s="74" t="str">
        <f t="shared" si="84"/>
        <v>1</v>
      </c>
      <c r="N593" s="29" t="str">
        <f t="shared" si="85"/>
        <v>0</v>
      </c>
      <c r="O593" s="61" t="str">
        <f t="shared" ca="1" si="88"/>
        <v>1</v>
      </c>
      <c r="P593" s="65" t="str">
        <f t="shared" si="89"/>
        <v>0</v>
      </c>
      <c r="Q593" s="46">
        <f t="shared" ca="1" si="87"/>
        <v>4</v>
      </c>
      <c r="R593" s="83" t="str">
        <f t="shared" ca="1" si="86"/>
        <v>ผ่าน</v>
      </c>
      <c r="S593" s="3" t="s">
        <v>28</v>
      </c>
      <c r="Y593" s="36">
        <v>6410488203</v>
      </c>
    </row>
    <row r="594" spans="1:25" ht="18" customHeight="1">
      <c r="A594" s="3">
        <v>592</v>
      </c>
      <c r="B594" s="3">
        <v>6410048116</v>
      </c>
      <c r="C594" s="4" t="s">
        <v>22</v>
      </c>
      <c r="D594" s="4" t="s">
        <v>22</v>
      </c>
      <c r="E594" s="4" t="s">
        <v>1529</v>
      </c>
      <c r="F594" s="4" t="s">
        <v>1530</v>
      </c>
      <c r="G594" s="4" t="s">
        <v>1334</v>
      </c>
      <c r="H594" s="4" t="s">
        <v>1515</v>
      </c>
      <c r="I594" s="3">
        <v>3</v>
      </c>
      <c r="J594" s="29" t="str">
        <f t="shared" si="82"/>
        <v>1</v>
      </c>
      <c r="K594" s="54" t="str">
        <f t="shared" si="83"/>
        <v>1</v>
      </c>
      <c r="L594" s="69" t="str">
        <f t="shared" si="90"/>
        <v>0</v>
      </c>
      <c r="M594" s="74" t="str">
        <f t="shared" si="84"/>
        <v>1</v>
      </c>
      <c r="N594" s="29" t="str">
        <f t="shared" si="85"/>
        <v>0</v>
      </c>
      <c r="O594" s="61" t="str">
        <f t="shared" ca="1" si="88"/>
        <v>1</v>
      </c>
      <c r="P594" s="65" t="str">
        <f t="shared" si="89"/>
        <v>1</v>
      </c>
      <c r="Q594" s="46">
        <f t="shared" ca="1" si="87"/>
        <v>5</v>
      </c>
      <c r="R594" s="83" t="str">
        <f t="shared" ca="1" si="86"/>
        <v>ผ่าน</v>
      </c>
      <c r="S594" s="3" t="s">
        <v>28</v>
      </c>
      <c r="Y594" s="36">
        <v>6510633211</v>
      </c>
    </row>
    <row r="595" spans="1:25" ht="18" customHeight="1">
      <c r="A595" s="3">
        <v>593</v>
      </c>
      <c r="B595" s="3">
        <v>6410048122</v>
      </c>
      <c r="C595" s="4" t="s">
        <v>22</v>
      </c>
      <c r="D595" s="4" t="s">
        <v>1531</v>
      </c>
      <c r="E595" s="4" t="s">
        <v>1532</v>
      </c>
      <c r="F595" s="4" t="s">
        <v>616</v>
      </c>
      <c r="G595" s="4" t="s">
        <v>1334</v>
      </c>
      <c r="H595" s="4" t="s">
        <v>1515</v>
      </c>
      <c r="I595" s="3">
        <v>3</v>
      </c>
      <c r="J595" s="29" t="str">
        <f t="shared" si="82"/>
        <v>1</v>
      </c>
      <c r="K595" s="54">
        <v>1</v>
      </c>
      <c r="L595" s="69" t="str">
        <f t="shared" si="90"/>
        <v>0</v>
      </c>
      <c r="M595" s="74" t="str">
        <f t="shared" si="84"/>
        <v>0</v>
      </c>
      <c r="N595" s="29" t="str">
        <f t="shared" si="85"/>
        <v>0</v>
      </c>
      <c r="O595" s="61" t="str">
        <f t="shared" ca="1" si="88"/>
        <v>1</v>
      </c>
      <c r="P595" s="65" t="str">
        <f t="shared" si="89"/>
        <v>1</v>
      </c>
      <c r="Q595" s="46">
        <f t="shared" ca="1" si="87"/>
        <v>4</v>
      </c>
      <c r="R595" s="83" t="str">
        <f t="shared" ca="1" si="86"/>
        <v>ผ่าน</v>
      </c>
      <c r="S595" s="3" t="s">
        <v>28</v>
      </c>
      <c r="Y595" s="36">
        <v>6410068203</v>
      </c>
    </row>
    <row r="596" spans="1:25" ht="18" customHeight="1">
      <c r="A596" s="3">
        <v>594</v>
      </c>
      <c r="B596" s="3">
        <v>6410048127</v>
      </c>
      <c r="C596" s="4" t="s">
        <v>22</v>
      </c>
      <c r="D596" s="4" t="s">
        <v>1533</v>
      </c>
      <c r="E596" s="4" t="s">
        <v>1534</v>
      </c>
      <c r="F596" s="4" t="s">
        <v>1342</v>
      </c>
      <c r="G596" s="4" t="s">
        <v>1334</v>
      </c>
      <c r="H596" s="4" t="s">
        <v>1515</v>
      </c>
      <c r="I596" s="3">
        <v>3</v>
      </c>
      <c r="J596" s="29" t="str">
        <f t="shared" si="82"/>
        <v>1</v>
      </c>
      <c r="K596" s="54" t="str">
        <f t="shared" si="83"/>
        <v>1</v>
      </c>
      <c r="L596" s="69" t="str">
        <f t="shared" si="90"/>
        <v>0</v>
      </c>
      <c r="M596" s="74" t="str">
        <f t="shared" si="84"/>
        <v>1</v>
      </c>
      <c r="N596" s="29" t="str">
        <f t="shared" si="85"/>
        <v>0</v>
      </c>
      <c r="O596" s="61" t="str">
        <f t="shared" ca="1" si="88"/>
        <v>1</v>
      </c>
      <c r="P596" s="65" t="str">
        <f t="shared" si="89"/>
        <v>0</v>
      </c>
      <c r="Q596" s="46">
        <f t="shared" ca="1" si="87"/>
        <v>4</v>
      </c>
      <c r="R596" s="83" t="str">
        <f t="shared" ca="1" si="86"/>
        <v>ผ่าน</v>
      </c>
      <c r="S596" s="3" t="s">
        <v>28</v>
      </c>
      <c r="Y596" s="36">
        <v>6610488116</v>
      </c>
    </row>
    <row r="597" spans="1:25" ht="18" customHeight="1">
      <c r="A597" s="3">
        <v>595</v>
      </c>
      <c r="B597" s="3">
        <v>6410048128</v>
      </c>
      <c r="C597" s="4" t="s">
        <v>22</v>
      </c>
      <c r="D597" s="4" t="s">
        <v>1535</v>
      </c>
      <c r="E597" s="4" t="s">
        <v>1536</v>
      </c>
      <c r="F597" s="4" t="s">
        <v>704</v>
      </c>
      <c r="G597" s="4" t="s">
        <v>1334</v>
      </c>
      <c r="H597" s="4" t="s">
        <v>1515</v>
      </c>
      <c r="I597" s="3">
        <v>3</v>
      </c>
      <c r="J597" s="29" t="str">
        <f t="shared" si="82"/>
        <v>0</v>
      </c>
      <c r="K597" s="54" t="str">
        <f t="shared" si="83"/>
        <v>0</v>
      </c>
      <c r="L597" s="69" t="str">
        <f t="shared" si="90"/>
        <v>0</v>
      </c>
      <c r="M597" s="74" t="str">
        <f t="shared" si="84"/>
        <v>0</v>
      </c>
      <c r="N597" s="29" t="str">
        <f t="shared" si="85"/>
        <v>0</v>
      </c>
      <c r="O597" s="61" t="str">
        <f t="shared" ca="1" si="88"/>
        <v>0</v>
      </c>
      <c r="P597" s="65" t="str">
        <f t="shared" si="89"/>
        <v>0</v>
      </c>
      <c r="Q597" s="46">
        <f t="shared" ca="1" si="87"/>
        <v>0</v>
      </c>
      <c r="R597" s="3" t="str">
        <f t="shared" ca="1" si="86"/>
        <v>ไม่ผ่าน</v>
      </c>
      <c r="S597" s="3" t="s">
        <v>28</v>
      </c>
      <c r="Y597" s="36">
        <v>6610403109</v>
      </c>
    </row>
    <row r="598" spans="1:25" ht="18" customHeight="1">
      <c r="A598" s="3">
        <v>596</v>
      </c>
      <c r="B598" s="3">
        <v>6410048131</v>
      </c>
      <c r="C598" s="4" t="s">
        <v>22</v>
      </c>
      <c r="D598" s="4" t="s">
        <v>1537</v>
      </c>
      <c r="E598" s="4" t="s">
        <v>1538</v>
      </c>
      <c r="F598" s="4" t="s">
        <v>1539</v>
      </c>
      <c r="G598" s="4" t="s">
        <v>1334</v>
      </c>
      <c r="H598" s="4" t="s">
        <v>1515</v>
      </c>
      <c r="I598" s="3">
        <v>3</v>
      </c>
      <c r="J598" s="29" t="str">
        <f t="shared" si="82"/>
        <v>1</v>
      </c>
      <c r="K598" s="54" t="str">
        <f t="shared" si="83"/>
        <v>1</v>
      </c>
      <c r="L598" s="69" t="str">
        <f t="shared" si="90"/>
        <v>0</v>
      </c>
      <c r="M598" s="74" t="str">
        <f t="shared" si="84"/>
        <v>0</v>
      </c>
      <c r="N598" s="29" t="str">
        <f t="shared" si="85"/>
        <v>0</v>
      </c>
      <c r="O598" s="61" t="str">
        <f t="shared" ca="1" si="88"/>
        <v>1</v>
      </c>
      <c r="P598" s="65" t="str">
        <f t="shared" si="89"/>
        <v>0</v>
      </c>
      <c r="Q598" s="46">
        <f t="shared" ca="1" si="87"/>
        <v>3</v>
      </c>
      <c r="R598" s="83" t="str">
        <f t="shared" ca="1" si="86"/>
        <v>ผ่าน</v>
      </c>
      <c r="S598" s="3" t="s">
        <v>28</v>
      </c>
      <c r="Y598" s="36">
        <v>6510633115</v>
      </c>
    </row>
    <row r="599" spans="1:25" ht="18" customHeight="1">
      <c r="A599" s="3">
        <v>597</v>
      </c>
      <c r="B599" s="3">
        <v>6410048139</v>
      </c>
      <c r="C599" s="4" t="s">
        <v>22</v>
      </c>
      <c r="D599" s="4" t="s">
        <v>1540</v>
      </c>
      <c r="E599" s="4" t="s">
        <v>1541</v>
      </c>
      <c r="F599" s="4" t="s">
        <v>1542</v>
      </c>
      <c r="G599" s="4" t="s">
        <v>1334</v>
      </c>
      <c r="H599" s="4" t="s">
        <v>1515</v>
      </c>
      <c r="I599" s="3">
        <v>3</v>
      </c>
      <c r="J599" s="29" t="str">
        <f t="shared" si="82"/>
        <v>1</v>
      </c>
      <c r="K599" s="54" t="str">
        <f t="shared" si="83"/>
        <v>1</v>
      </c>
      <c r="L599" s="69" t="str">
        <f t="shared" si="90"/>
        <v>0</v>
      </c>
      <c r="M599" s="74" t="str">
        <f t="shared" si="84"/>
        <v>1</v>
      </c>
      <c r="N599" s="29" t="str">
        <f t="shared" si="85"/>
        <v>0</v>
      </c>
      <c r="O599" s="61" t="str">
        <f t="shared" ca="1" si="88"/>
        <v>1</v>
      </c>
      <c r="P599" s="65" t="str">
        <f t="shared" si="89"/>
        <v>0</v>
      </c>
      <c r="Q599" s="46">
        <f t="shared" ca="1" si="87"/>
        <v>4</v>
      </c>
      <c r="R599" s="83" t="str">
        <f t="shared" ca="1" si="86"/>
        <v>ผ่าน</v>
      </c>
      <c r="S599" s="3" t="s">
        <v>28</v>
      </c>
      <c r="Y599" s="36">
        <v>6410488102</v>
      </c>
    </row>
    <row r="600" spans="1:25" ht="18" customHeight="1">
      <c r="A600" s="3">
        <v>598</v>
      </c>
      <c r="B600" s="3">
        <v>6410048141</v>
      </c>
      <c r="C600" s="4" t="s">
        <v>22</v>
      </c>
      <c r="D600" s="4" t="s">
        <v>1543</v>
      </c>
      <c r="E600" s="4" t="s">
        <v>1544</v>
      </c>
      <c r="F600" s="4" t="s">
        <v>1545</v>
      </c>
      <c r="G600" s="4" t="s">
        <v>1334</v>
      </c>
      <c r="H600" s="4" t="s">
        <v>1515</v>
      </c>
      <c r="I600" s="3">
        <v>3</v>
      </c>
      <c r="J600" s="29" t="str">
        <f t="shared" si="82"/>
        <v>1</v>
      </c>
      <c r="K600" s="54" t="str">
        <f t="shared" si="83"/>
        <v>1</v>
      </c>
      <c r="L600" s="69" t="str">
        <f t="shared" si="90"/>
        <v>0</v>
      </c>
      <c r="M600" s="74" t="str">
        <f t="shared" si="84"/>
        <v>0</v>
      </c>
      <c r="N600" s="29" t="str">
        <f t="shared" si="85"/>
        <v>0</v>
      </c>
      <c r="O600" s="61" t="str">
        <f t="shared" ca="1" si="88"/>
        <v>1</v>
      </c>
      <c r="P600" s="65" t="str">
        <f t="shared" si="89"/>
        <v>0</v>
      </c>
      <c r="Q600" s="46">
        <f t="shared" ca="1" si="87"/>
        <v>3</v>
      </c>
      <c r="R600" s="83" t="str">
        <f t="shared" ca="1" si="86"/>
        <v>ผ่าน</v>
      </c>
      <c r="S600" s="3" t="s">
        <v>28</v>
      </c>
      <c r="Y600" s="36">
        <v>6610073105</v>
      </c>
    </row>
    <row r="601" spans="1:25" ht="18" customHeight="1">
      <c r="A601" s="3">
        <v>599</v>
      </c>
      <c r="B601" s="3">
        <v>6410048143</v>
      </c>
      <c r="C601" s="4" t="s">
        <v>22</v>
      </c>
      <c r="D601" s="4" t="s">
        <v>1546</v>
      </c>
      <c r="E601" s="4" t="s">
        <v>1547</v>
      </c>
      <c r="F601" s="4" t="s">
        <v>1548</v>
      </c>
      <c r="G601" s="4" t="s">
        <v>1334</v>
      </c>
      <c r="H601" s="4" t="s">
        <v>1515</v>
      </c>
      <c r="I601" s="3">
        <v>3</v>
      </c>
      <c r="J601" s="29" t="str">
        <f t="shared" si="82"/>
        <v>1</v>
      </c>
      <c r="K601" s="54" t="str">
        <f t="shared" si="83"/>
        <v>0</v>
      </c>
      <c r="L601" s="69" t="str">
        <f t="shared" si="90"/>
        <v>0</v>
      </c>
      <c r="M601" s="74" t="str">
        <f t="shared" si="84"/>
        <v>0</v>
      </c>
      <c r="N601" s="29" t="str">
        <f t="shared" si="85"/>
        <v>0</v>
      </c>
      <c r="O601" s="61" t="str">
        <f t="shared" ca="1" si="88"/>
        <v>0</v>
      </c>
      <c r="P601" s="65" t="str">
        <f t="shared" si="89"/>
        <v>0</v>
      </c>
      <c r="Q601" s="46">
        <f t="shared" ca="1" si="87"/>
        <v>1</v>
      </c>
      <c r="R601" s="3" t="str">
        <f t="shared" ca="1" si="86"/>
        <v>ไม่ผ่าน</v>
      </c>
      <c r="S601" s="3" t="s">
        <v>28</v>
      </c>
      <c r="Y601" s="36">
        <v>6510633106</v>
      </c>
    </row>
    <row r="602" spans="1:25" ht="18" customHeight="1">
      <c r="A602" s="3">
        <v>600</v>
      </c>
      <c r="B602" s="3">
        <v>6410048144</v>
      </c>
      <c r="C602" s="4" t="s">
        <v>22</v>
      </c>
      <c r="D602" s="4" t="s">
        <v>1549</v>
      </c>
      <c r="E602" s="4" t="s">
        <v>1550</v>
      </c>
      <c r="F602" s="4" t="s">
        <v>1551</v>
      </c>
      <c r="G602" s="4" t="s">
        <v>1334</v>
      </c>
      <c r="H602" s="4" t="s">
        <v>1515</v>
      </c>
      <c r="I602" s="3">
        <v>3</v>
      </c>
      <c r="J602" s="29" t="str">
        <f t="shared" si="82"/>
        <v>1</v>
      </c>
      <c r="K602" s="54" t="str">
        <f t="shared" si="83"/>
        <v>1</v>
      </c>
      <c r="L602" s="69" t="str">
        <f t="shared" si="90"/>
        <v>0</v>
      </c>
      <c r="M602" s="74" t="str">
        <f t="shared" si="84"/>
        <v>0</v>
      </c>
      <c r="N602" s="29" t="str">
        <f t="shared" si="85"/>
        <v>0</v>
      </c>
      <c r="O602" s="61" t="str">
        <f t="shared" ca="1" si="88"/>
        <v>0</v>
      </c>
      <c r="P602" s="65" t="str">
        <f t="shared" si="89"/>
        <v>0</v>
      </c>
      <c r="Q602" s="46">
        <f t="shared" ca="1" si="87"/>
        <v>2</v>
      </c>
      <c r="R602" s="3" t="str">
        <f t="shared" ca="1" si="86"/>
        <v>ไม่ผ่าน</v>
      </c>
      <c r="S602" s="3" t="s">
        <v>28</v>
      </c>
      <c r="Y602" s="36">
        <v>6410403232</v>
      </c>
    </row>
    <row r="603" spans="1:25" ht="18" customHeight="1">
      <c r="A603" s="3">
        <v>601</v>
      </c>
      <c r="B603" s="3">
        <v>6410048152</v>
      </c>
      <c r="C603" s="4" t="s">
        <v>29</v>
      </c>
      <c r="D603" s="4" t="s">
        <v>1552</v>
      </c>
      <c r="E603" s="4" t="s">
        <v>1553</v>
      </c>
      <c r="F603" s="4" t="s">
        <v>1554</v>
      </c>
      <c r="G603" s="4" t="s">
        <v>1334</v>
      </c>
      <c r="H603" s="4" t="s">
        <v>1515</v>
      </c>
      <c r="I603" s="3">
        <v>3</v>
      </c>
      <c r="J603" s="29" t="str">
        <f t="shared" si="82"/>
        <v>1</v>
      </c>
      <c r="K603" s="54">
        <v>1</v>
      </c>
      <c r="L603" s="69" t="str">
        <f t="shared" si="90"/>
        <v>0</v>
      </c>
      <c r="M603" s="74" t="str">
        <f t="shared" si="84"/>
        <v>1</v>
      </c>
      <c r="N603" s="29" t="str">
        <f t="shared" si="85"/>
        <v>0</v>
      </c>
      <c r="O603" s="61" t="str">
        <f t="shared" ca="1" si="88"/>
        <v>1</v>
      </c>
      <c r="P603" s="65" t="str">
        <f t="shared" si="89"/>
        <v>1</v>
      </c>
      <c r="Q603" s="46">
        <f t="shared" ca="1" si="87"/>
        <v>5</v>
      </c>
      <c r="R603" s="83" t="str">
        <f t="shared" ca="1" si="86"/>
        <v>ผ่าน</v>
      </c>
      <c r="S603" s="3" t="s">
        <v>28</v>
      </c>
      <c r="Y603" s="36">
        <v>6510403222</v>
      </c>
    </row>
    <row r="604" spans="1:25" ht="18" customHeight="1">
      <c r="A604" s="3">
        <v>602</v>
      </c>
      <c r="B604" s="3">
        <v>6410048153</v>
      </c>
      <c r="C604" s="4" t="s">
        <v>29</v>
      </c>
      <c r="D604" s="4" t="s">
        <v>1555</v>
      </c>
      <c r="E604" s="4" t="s">
        <v>310</v>
      </c>
      <c r="F604" s="4" t="s">
        <v>1556</v>
      </c>
      <c r="G604" s="4" t="s">
        <v>1334</v>
      </c>
      <c r="H604" s="4" t="s">
        <v>1515</v>
      </c>
      <c r="I604" s="3">
        <v>3</v>
      </c>
      <c r="J604" s="29" t="str">
        <f t="shared" si="82"/>
        <v>0</v>
      </c>
      <c r="K604" s="54" t="str">
        <f t="shared" si="83"/>
        <v>1</v>
      </c>
      <c r="L604" s="69" t="str">
        <f t="shared" si="90"/>
        <v>0</v>
      </c>
      <c r="M604" s="74" t="str">
        <f t="shared" si="84"/>
        <v>0</v>
      </c>
      <c r="N604" s="29" t="str">
        <f t="shared" si="85"/>
        <v>0</v>
      </c>
      <c r="O604" s="61" t="str">
        <f t="shared" ca="1" si="88"/>
        <v>1</v>
      </c>
      <c r="P604" s="65" t="str">
        <f t="shared" si="89"/>
        <v>0</v>
      </c>
      <c r="Q604" s="46">
        <f t="shared" ca="1" si="87"/>
        <v>2</v>
      </c>
      <c r="R604" s="3" t="str">
        <f t="shared" ca="1" si="86"/>
        <v>ไม่ผ่าน</v>
      </c>
      <c r="S604" s="3" t="s">
        <v>28</v>
      </c>
      <c r="Y604" s="36">
        <v>6510403210</v>
      </c>
    </row>
    <row r="605" spans="1:25" ht="18" customHeight="1">
      <c r="A605" s="3">
        <v>603</v>
      </c>
      <c r="B605" s="3">
        <v>6410048154</v>
      </c>
      <c r="C605" s="4" t="s">
        <v>29</v>
      </c>
      <c r="D605" s="4" t="s">
        <v>1557</v>
      </c>
      <c r="E605" s="4" t="s">
        <v>1558</v>
      </c>
      <c r="F605" s="4" t="s">
        <v>946</v>
      </c>
      <c r="G605" s="4" t="s">
        <v>1334</v>
      </c>
      <c r="H605" s="4" t="s">
        <v>1515</v>
      </c>
      <c r="I605" s="3">
        <v>3</v>
      </c>
      <c r="J605" s="29" t="str">
        <f t="shared" si="82"/>
        <v>1</v>
      </c>
      <c r="K605" s="54" t="str">
        <f t="shared" si="83"/>
        <v>1</v>
      </c>
      <c r="L605" s="69" t="str">
        <f t="shared" si="90"/>
        <v>0</v>
      </c>
      <c r="M605" s="74" t="str">
        <f t="shared" si="84"/>
        <v>1</v>
      </c>
      <c r="N605" s="29" t="str">
        <f t="shared" si="85"/>
        <v>0</v>
      </c>
      <c r="O605" s="61" t="str">
        <f t="shared" ca="1" si="88"/>
        <v>0</v>
      </c>
      <c r="P605" s="65" t="str">
        <f t="shared" si="89"/>
        <v>1</v>
      </c>
      <c r="Q605" s="46">
        <f t="shared" ca="1" si="87"/>
        <v>4</v>
      </c>
      <c r="R605" s="83" t="str">
        <f t="shared" ca="1" si="86"/>
        <v>ผ่าน</v>
      </c>
      <c r="S605" s="3" t="s">
        <v>28</v>
      </c>
      <c r="Y605" s="36">
        <v>6610073103</v>
      </c>
    </row>
    <row r="606" spans="1:25" ht="18" customHeight="1">
      <c r="A606" s="3">
        <v>604</v>
      </c>
      <c r="B606" s="3">
        <v>6410048156</v>
      </c>
      <c r="C606" s="4" t="s">
        <v>29</v>
      </c>
      <c r="D606" s="4" t="s">
        <v>1559</v>
      </c>
      <c r="E606" s="4" t="s">
        <v>1560</v>
      </c>
      <c r="F606" s="4" t="s">
        <v>1561</v>
      </c>
      <c r="G606" s="4" t="s">
        <v>1334</v>
      </c>
      <c r="H606" s="4" t="s">
        <v>1515</v>
      </c>
      <c r="I606" s="3">
        <v>3</v>
      </c>
      <c r="J606" s="29" t="str">
        <f t="shared" si="82"/>
        <v>1</v>
      </c>
      <c r="K606" s="54">
        <v>1</v>
      </c>
      <c r="L606" s="69" t="str">
        <f t="shared" si="90"/>
        <v>0</v>
      </c>
      <c r="M606" s="74" t="str">
        <f t="shared" si="84"/>
        <v>1</v>
      </c>
      <c r="N606" s="29" t="str">
        <f t="shared" si="85"/>
        <v>0</v>
      </c>
      <c r="O606" s="61" t="str">
        <f t="shared" ca="1" si="88"/>
        <v>1</v>
      </c>
      <c r="P606" s="65" t="str">
        <f t="shared" si="89"/>
        <v>1</v>
      </c>
      <c r="Q606" s="46">
        <f t="shared" ca="1" si="87"/>
        <v>5</v>
      </c>
      <c r="R606" s="83" t="str">
        <f t="shared" ca="1" si="86"/>
        <v>ผ่าน</v>
      </c>
      <c r="S606" s="3" t="s">
        <v>28</v>
      </c>
      <c r="Y606" s="36">
        <v>6410083110</v>
      </c>
    </row>
    <row r="607" spans="1:25" ht="18" customHeight="1">
      <c r="A607" s="3">
        <v>605</v>
      </c>
      <c r="B607" s="3">
        <v>6410048157</v>
      </c>
      <c r="C607" s="4" t="s">
        <v>29</v>
      </c>
      <c r="D607" s="4" t="s">
        <v>1562</v>
      </c>
      <c r="E607" s="4" t="s">
        <v>803</v>
      </c>
      <c r="F607" s="4" t="s">
        <v>1397</v>
      </c>
      <c r="G607" s="4" t="s">
        <v>1334</v>
      </c>
      <c r="H607" s="4" t="s">
        <v>1515</v>
      </c>
      <c r="I607" s="3">
        <v>3</v>
      </c>
      <c r="J607" s="29" t="str">
        <f t="shared" si="82"/>
        <v>1</v>
      </c>
      <c r="K607" s="54" t="str">
        <f t="shared" si="83"/>
        <v>1</v>
      </c>
      <c r="L607" s="69" t="str">
        <f t="shared" si="90"/>
        <v>0</v>
      </c>
      <c r="M607" s="74" t="str">
        <f t="shared" si="84"/>
        <v>1</v>
      </c>
      <c r="N607" s="29" t="str">
        <f t="shared" si="85"/>
        <v>0</v>
      </c>
      <c r="O607" s="61" t="str">
        <f t="shared" ca="1" si="88"/>
        <v>1</v>
      </c>
      <c r="P607" s="65" t="str">
        <f t="shared" si="89"/>
        <v>1</v>
      </c>
      <c r="Q607" s="46">
        <f t="shared" ca="1" si="87"/>
        <v>5</v>
      </c>
      <c r="R607" s="83" t="str">
        <f t="shared" ca="1" si="86"/>
        <v>ผ่าน</v>
      </c>
      <c r="S607" s="3" t="s">
        <v>28</v>
      </c>
      <c r="Y607" s="36">
        <v>6610073114</v>
      </c>
    </row>
    <row r="608" spans="1:25" ht="18" customHeight="1">
      <c r="A608" s="3">
        <v>606</v>
      </c>
      <c r="B608" s="3">
        <v>6410048158</v>
      </c>
      <c r="C608" s="4" t="s">
        <v>29</v>
      </c>
      <c r="D608" s="4" t="s">
        <v>1563</v>
      </c>
      <c r="E608" s="4" t="s">
        <v>1564</v>
      </c>
      <c r="F608" s="4" t="s">
        <v>391</v>
      </c>
      <c r="G608" s="4" t="s">
        <v>1334</v>
      </c>
      <c r="H608" s="4" t="s">
        <v>1515</v>
      </c>
      <c r="I608" s="3">
        <v>3</v>
      </c>
      <c r="J608" s="29" t="str">
        <f t="shared" si="82"/>
        <v>1</v>
      </c>
      <c r="K608" s="54" t="str">
        <f t="shared" si="83"/>
        <v>1</v>
      </c>
      <c r="L608" s="69" t="str">
        <f t="shared" si="90"/>
        <v>0</v>
      </c>
      <c r="M608" s="74" t="str">
        <f t="shared" si="84"/>
        <v>1</v>
      </c>
      <c r="N608" s="29" t="str">
        <f t="shared" si="85"/>
        <v>0</v>
      </c>
      <c r="O608" s="61" t="str">
        <f t="shared" ca="1" si="88"/>
        <v>1</v>
      </c>
      <c r="P608" s="65" t="str">
        <f t="shared" si="89"/>
        <v>1</v>
      </c>
      <c r="Q608" s="46">
        <f t="shared" ca="1" si="87"/>
        <v>5</v>
      </c>
      <c r="R608" s="83" t="str">
        <f t="shared" ca="1" si="86"/>
        <v>ผ่าน</v>
      </c>
      <c r="S608" s="3" t="s">
        <v>28</v>
      </c>
      <c r="Y608" s="36">
        <v>6410068205</v>
      </c>
    </row>
    <row r="609" spans="1:25" ht="18" customHeight="1">
      <c r="A609" s="3">
        <v>607</v>
      </c>
      <c r="B609" s="3">
        <v>6410048159</v>
      </c>
      <c r="C609" s="4" t="s">
        <v>29</v>
      </c>
      <c r="D609" s="4" t="s">
        <v>1565</v>
      </c>
      <c r="E609" s="4" t="s">
        <v>1566</v>
      </c>
      <c r="F609" s="4" t="s">
        <v>1567</v>
      </c>
      <c r="G609" s="4" t="s">
        <v>1334</v>
      </c>
      <c r="H609" s="4" t="s">
        <v>1515</v>
      </c>
      <c r="I609" s="3">
        <v>3</v>
      </c>
      <c r="J609" s="29" t="str">
        <f t="shared" si="82"/>
        <v>0</v>
      </c>
      <c r="K609" s="54" t="str">
        <f t="shared" si="83"/>
        <v>0</v>
      </c>
      <c r="L609" s="69" t="str">
        <f t="shared" si="90"/>
        <v>0</v>
      </c>
      <c r="M609" s="74" t="str">
        <f t="shared" si="84"/>
        <v>0</v>
      </c>
      <c r="N609" s="29" t="str">
        <f t="shared" si="85"/>
        <v>0</v>
      </c>
      <c r="O609" s="61" t="str">
        <f t="shared" ca="1" si="88"/>
        <v>0</v>
      </c>
      <c r="P609" s="65" t="str">
        <f t="shared" si="89"/>
        <v>0</v>
      </c>
      <c r="Q609" s="46">
        <f t="shared" ca="1" si="87"/>
        <v>0</v>
      </c>
      <c r="R609" s="3" t="str">
        <f t="shared" ca="1" si="86"/>
        <v>ไม่ผ่าน</v>
      </c>
      <c r="S609" s="3" t="s">
        <v>28</v>
      </c>
      <c r="Y609" s="36">
        <v>6610414208</v>
      </c>
    </row>
    <row r="610" spans="1:25" ht="18" customHeight="1">
      <c r="A610" s="3">
        <v>608</v>
      </c>
      <c r="B610" s="3">
        <v>6410048160</v>
      </c>
      <c r="C610" s="4" t="s">
        <v>29</v>
      </c>
      <c r="D610" s="4" t="s">
        <v>1568</v>
      </c>
      <c r="E610" s="4" t="s">
        <v>1569</v>
      </c>
      <c r="F610" s="4" t="s">
        <v>391</v>
      </c>
      <c r="G610" s="4" t="s">
        <v>1334</v>
      </c>
      <c r="H610" s="4" t="s">
        <v>1515</v>
      </c>
      <c r="I610" s="3">
        <v>3</v>
      </c>
      <c r="J610" s="29" t="str">
        <f t="shared" si="82"/>
        <v>1</v>
      </c>
      <c r="K610" s="54" t="str">
        <f t="shared" si="83"/>
        <v>1</v>
      </c>
      <c r="L610" s="69" t="str">
        <f t="shared" si="90"/>
        <v>0</v>
      </c>
      <c r="M610" s="74" t="str">
        <f t="shared" si="84"/>
        <v>1</v>
      </c>
      <c r="N610" s="29" t="str">
        <f t="shared" si="85"/>
        <v>0</v>
      </c>
      <c r="O610" s="61" t="str">
        <f t="shared" ca="1" si="88"/>
        <v>0</v>
      </c>
      <c r="P610" s="65" t="str">
        <f t="shared" si="89"/>
        <v>0</v>
      </c>
      <c r="Q610" s="46">
        <f t="shared" ca="1" si="87"/>
        <v>3</v>
      </c>
      <c r="R610" s="83" t="str">
        <f t="shared" ca="1" si="86"/>
        <v>ผ่าน</v>
      </c>
      <c r="S610" s="3" t="s">
        <v>28</v>
      </c>
      <c r="Y610" s="36">
        <v>6412236205</v>
      </c>
    </row>
    <row r="611" spans="1:25" ht="18" customHeight="1">
      <c r="A611" s="3">
        <v>609</v>
      </c>
      <c r="B611" s="3">
        <v>6410048161</v>
      </c>
      <c r="C611" s="4" t="s">
        <v>29</v>
      </c>
      <c r="D611" s="4" t="s">
        <v>84</v>
      </c>
      <c r="E611" s="4" t="s">
        <v>1570</v>
      </c>
      <c r="F611" s="4" t="s">
        <v>1571</v>
      </c>
      <c r="G611" s="4" t="s">
        <v>1334</v>
      </c>
      <c r="H611" s="4" t="s">
        <v>1515</v>
      </c>
      <c r="I611" s="3">
        <v>3</v>
      </c>
      <c r="J611" s="29" t="str">
        <f t="shared" si="82"/>
        <v>1</v>
      </c>
      <c r="K611" s="54" t="str">
        <f t="shared" si="83"/>
        <v>1</v>
      </c>
      <c r="L611" s="69" t="str">
        <f t="shared" si="90"/>
        <v>0</v>
      </c>
      <c r="M611" s="74" t="str">
        <f t="shared" si="84"/>
        <v>1</v>
      </c>
      <c r="N611" s="29" t="str">
        <f t="shared" si="85"/>
        <v>0</v>
      </c>
      <c r="O611" s="61" t="str">
        <f t="shared" ca="1" si="88"/>
        <v>1</v>
      </c>
      <c r="P611" s="65" t="str">
        <f t="shared" si="89"/>
        <v>1</v>
      </c>
      <c r="Q611" s="46">
        <f t="shared" ca="1" si="87"/>
        <v>5</v>
      </c>
      <c r="R611" s="83" t="str">
        <f t="shared" ca="1" si="86"/>
        <v>ผ่าน</v>
      </c>
      <c r="S611" s="3" t="s">
        <v>28</v>
      </c>
      <c r="Y611" s="36">
        <v>6510106114</v>
      </c>
    </row>
    <row r="612" spans="1:25" ht="18" customHeight="1">
      <c r="A612" s="3">
        <v>610</v>
      </c>
      <c r="B612" s="3">
        <v>6410048162</v>
      </c>
      <c r="C612" s="4" t="s">
        <v>29</v>
      </c>
      <c r="D612" s="4" t="s">
        <v>1265</v>
      </c>
      <c r="E612" s="4" t="s">
        <v>1572</v>
      </c>
      <c r="F612" s="4" t="s">
        <v>1252</v>
      </c>
      <c r="G612" s="4" t="s">
        <v>1334</v>
      </c>
      <c r="H612" s="4" t="s">
        <v>1515</v>
      </c>
      <c r="I612" s="3">
        <v>3</v>
      </c>
      <c r="J612" s="29" t="str">
        <f t="shared" si="82"/>
        <v>1</v>
      </c>
      <c r="K612" s="54" t="str">
        <f t="shared" si="83"/>
        <v>1</v>
      </c>
      <c r="L612" s="69" t="str">
        <f t="shared" si="90"/>
        <v>0</v>
      </c>
      <c r="M612" s="74" t="str">
        <f t="shared" si="84"/>
        <v>0</v>
      </c>
      <c r="N612" s="29" t="str">
        <f t="shared" si="85"/>
        <v>0</v>
      </c>
      <c r="O612" s="61" t="str">
        <f t="shared" ca="1" si="88"/>
        <v>1</v>
      </c>
      <c r="P612" s="65" t="str">
        <f t="shared" si="89"/>
        <v>1</v>
      </c>
      <c r="Q612" s="46">
        <f t="shared" ca="1" si="87"/>
        <v>4</v>
      </c>
      <c r="R612" s="83" t="str">
        <f t="shared" ca="1" si="86"/>
        <v>ผ่าน</v>
      </c>
      <c r="S612" s="3" t="s">
        <v>28</v>
      </c>
      <c r="Y612" s="36">
        <v>6410488216</v>
      </c>
    </row>
    <row r="613" spans="1:25" ht="18" customHeight="1">
      <c r="A613" s="3">
        <v>611</v>
      </c>
      <c r="B613" s="3">
        <v>6410048201</v>
      </c>
      <c r="C613" s="4" t="s">
        <v>22</v>
      </c>
      <c r="D613" s="4" t="s">
        <v>481</v>
      </c>
      <c r="E613" s="4" t="s">
        <v>1573</v>
      </c>
      <c r="F613" s="4" t="s">
        <v>1574</v>
      </c>
      <c r="G613" s="4" t="s">
        <v>1334</v>
      </c>
      <c r="H613" s="4" t="s">
        <v>1515</v>
      </c>
      <c r="I613" s="3">
        <v>3</v>
      </c>
      <c r="J613" s="29" t="str">
        <f t="shared" si="82"/>
        <v>0</v>
      </c>
      <c r="K613" s="54">
        <v>1</v>
      </c>
      <c r="L613" s="69" t="str">
        <f t="shared" si="90"/>
        <v>0</v>
      </c>
      <c r="M613" s="74" t="str">
        <f t="shared" si="84"/>
        <v>1</v>
      </c>
      <c r="N613" s="29" t="str">
        <f t="shared" si="85"/>
        <v>0</v>
      </c>
      <c r="O613" s="61" t="str">
        <f t="shared" ca="1" si="88"/>
        <v>1</v>
      </c>
      <c r="P613" s="65" t="str">
        <f t="shared" si="89"/>
        <v>0</v>
      </c>
      <c r="Q613" s="46">
        <f t="shared" ca="1" si="87"/>
        <v>3</v>
      </c>
      <c r="R613" s="83" t="str">
        <f t="shared" ca="1" si="86"/>
        <v>ผ่าน</v>
      </c>
      <c r="S613" s="3" t="s">
        <v>28</v>
      </c>
      <c r="Y613" s="36">
        <v>6410488125</v>
      </c>
    </row>
    <row r="614" spans="1:25" ht="18" customHeight="1">
      <c r="A614" s="3">
        <v>612</v>
      </c>
      <c r="B614" s="3">
        <v>6410048207</v>
      </c>
      <c r="C614" s="4" t="s">
        <v>22</v>
      </c>
      <c r="D614" s="4" t="s">
        <v>1575</v>
      </c>
      <c r="E614" s="4" t="s">
        <v>1576</v>
      </c>
      <c r="F614" s="4" t="s">
        <v>1577</v>
      </c>
      <c r="G614" s="4" t="s">
        <v>1334</v>
      </c>
      <c r="H614" s="4" t="s">
        <v>1515</v>
      </c>
      <c r="I614" s="3">
        <v>3</v>
      </c>
      <c r="J614" s="29" t="str">
        <f t="shared" si="82"/>
        <v>1</v>
      </c>
      <c r="K614" s="54" t="str">
        <f t="shared" si="83"/>
        <v>1</v>
      </c>
      <c r="L614" s="69" t="str">
        <f t="shared" si="90"/>
        <v>0</v>
      </c>
      <c r="M614" s="74" t="str">
        <f t="shared" si="84"/>
        <v>0</v>
      </c>
      <c r="N614" s="29" t="str">
        <f t="shared" si="85"/>
        <v>1</v>
      </c>
      <c r="O614" s="61" t="str">
        <f t="shared" ca="1" si="88"/>
        <v>1</v>
      </c>
      <c r="P614" s="65" t="str">
        <f t="shared" si="89"/>
        <v>1</v>
      </c>
      <c r="Q614" s="46">
        <f t="shared" ca="1" si="87"/>
        <v>5</v>
      </c>
      <c r="R614" s="83" t="str">
        <f t="shared" ca="1" si="86"/>
        <v>ผ่าน</v>
      </c>
      <c r="S614" s="3" t="s">
        <v>28</v>
      </c>
      <c r="Y614" s="36">
        <v>6610392226</v>
      </c>
    </row>
    <row r="615" spans="1:25" ht="18" customHeight="1">
      <c r="A615" s="3">
        <v>613</v>
      </c>
      <c r="B615" s="3">
        <v>6410048223</v>
      </c>
      <c r="C615" s="4" t="s">
        <v>22</v>
      </c>
      <c r="D615" s="4" t="s">
        <v>1226</v>
      </c>
      <c r="E615" s="4" t="s">
        <v>1578</v>
      </c>
      <c r="F615" s="4" t="s">
        <v>1579</v>
      </c>
      <c r="G615" s="4" t="s">
        <v>1334</v>
      </c>
      <c r="H615" s="4" t="s">
        <v>1515</v>
      </c>
      <c r="I615" s="3">
        <v>3</v>
      </c>
      <c r="J615" s="29" t="str">
        <f t="shared" si="82"/>
        <v>0</v>
      </c>
      <c r="K615" s="54" t="str">
        <f t="shared" si="83"/>
        <v>0</v>
      </c>
      <c r="L615" s="69" t="str">
        <f t="shared" si="90"/>
        <v>0</v>
      </c>
      <c r="M615" s="74" t="str">
        <f t="shared" si="84"/>
        <v>0</v>
      </c>
      <c r="N615" s="29" t="str">
        <f t="shared" si="85"/>
        <v>0</v>
      </c>
      <c r="O615" s="61" t="str">
        <f t="shared" ca="1" si="88"/>
        <v>0</v>
      </c>
      <c r="P615" s="65" t="str">
        <f t="shared" si="89"/>
        <v>0</v>
      </c>
      <c r="Q615" s="46">
        <f t="shared" ca="1" si="87"/>
        <v>0</v>
      </c>
      <c r="R615" s="3" t="str">
        <f t="shared" ca="1" si="86"/>
        <v>ไม่ผ่าน</v>
      </c>
      <c r="S615" s="3" t="s">
        <v>28</v>
      </c>
      <c r="Y615" s="36">
        <v>6610068113</v>
      </c>
    </row>
    <row r="616" spans="1:25" ht="18" customHeight="1">
      <c r="A616" s="3">
        <v>614</v>
      </c>
      <c r="B616" s="3">
        <v>6410048229</v>
      </c>
      <c r="C616" s="4" t="s">
        <v>22</v>
      </c>
      <c r="D616" s="4" t="s">
        <v>1580</v>
      </c>
      <c r="E616" s="4" t="s">
        <v>1581</v>
      </c>
      <c r="F616" s="4" t="s">
        <v>1582</v>
      </c>
      <c r="G616" s="4" t="s">
        <v>1334</v>
      </c>
      <c r="H616" s="4" t="s">
        <v>1515</v>
      </c>
      <c r="I616" s="3">
        <v>3</v>
      </c>
      <c r="J616" s="29" t="str">
        <f t="shared" si="82"/>
        <v>0</v>
      </c>
      <c r="K616" s="54" t="str">
        <f t="shared" si="83"/>
        <v>0</v>
      </c>
      <c r="L616" s="69" t="str">
        <f t="shared" si="90"/>
        <v>0</v>
      </c>
      <c r="M616" s="74" t="str">
        <f t="shared" si="84"/>
        <v>0</v>
      </c>
      <c r="N616" s="29" t="str">
        <f t="shared" si="85"/>
        <v>0</v>
      </c>
      <c r="O616" s="61" t="str">
        <f t="shared" ca="1" si="88"/>
        <v>0</v>
      </c>
      <c r="P616" s="65" t="str">
        <f t="shared" si="89"/>
        <v>0</v>
      </c>
      <c r="Q616" s="46">
        <f t="shared" ca="1" si="87"/>
        <v>0</v>
      </c>
      <c r="R616" s="3" t="str">
        <f t="shared" ca="1" si="86"/>
        <v>ไม่ผ่าน</v>
      </c>
      <c r="S616" s="3" t="s">
        <v>28</v>
      </c>
      <c r="Y616" s="36">
        <v>6410403113</v>
      </c>
    </row>
    <row r="617" spans="1:25" ht="18" customHeight="1">
      <c r="A617" s="3">
        <v>615</v>
      </c>
      <c r="B617" s="3">
        <v>6410048235</v>
      </c>
      <c r="C617" s="4" t="s">
        <v>22</v>
      </c>
      <c r="D617" s="4" t="s">
        <v>1583</v>
      </c>
      <c r="E617" s="4" t="s">
        <v>1584</v>
      </c>
      <c r="F617" s="4" t="s">
        <v>1585</v>
      </c>
      <c r="G617" s="4" t="s">
        <v>1334</v>
      </c>
      <c r="H617" s="4" t="s">
        <v>1515</v>
      </c>
      <c r="I617" s="3">
        <v>3</v>
      </c>
      <c r="J617" s="29" t="str">
        <f t="shared" si="82"/>
        <v>0</v>
      </c>
      <c r="K617" s="54" t="str">
        <f t="shared" si="83"/>
        <v>0</v>
      </c>
      <c r="L617" s="69" t="str">
        <f t="shared" si="90"/>
        <v>0</v>
      </c>
      <c r="M617" s="74" t="str">
        <f t="shared" si="84"/>
        <v>0</v>
      </c>
      <c r="N617" s="29" t="str">
        <f t="shared" si="85"/>
        <v>0</v>
      </c>
      <c r="O617" s="61" t="str">
        <f t="shared" ca="1" si="88"/>
        <v>0</v>
      </c>
      <c r="P617" s="65" t="str">
        <f t="shared" si="89"/>
        <v>0</v>
      </c>
      <c r="Q617" s="46">
        <f t="shared" ca="1" si="87"/>
        <v>0</v>
      </c>
      <c r="R617" s="3" t="str">
        <f t="shared" ca="1" si="86"/>
        <v>ไม่ผ่าน</v>
      </c>
      <c r="S617" s="3" t="s">
        <v>28</v>
      </c>
      <c r="Y617" s="36">
        <v>6610392203</v>
      </c>
    </row>
    <row r="618" spans="1:25" ht="18" customHeight="1">
      <c r="A618" s="3">
        <v>616</v>
      </c>
      <c r="B618" s="3">
        <v>6410048242</v>
      </c>
      <c r="C618" s="4" t="s">
        <v>22</v>
      </c>
      <c r="D618" s="4" t="s">
        <v>1586</v>
      </c>
      <c r="E618" s="4" t="s">
        <v>1587</v>
      </c>
      <c r="F618" s="4" t="s">
        <v>1588</v>
      </c>
      <c r="G618" s="4" t="s">
        <v>1334</v>
      </c>
      <c r="H618" s="4" t="s">
        <v>1515</v>
      </c>
      <c r="I618" s="3">
        <v>3</v>
      </c>
      <c r="J618" s="29" t="str">
        <f t="shared" si="82"/>
        <v>1</v>
      </c>
      <c r="K618" s="54" t="str">
        <f t="shared" si="83"/>
        <v>1</v>
      </c>
      <c r="L618" s="69" t="str">
        <f t="shared" si="90"/>
        <v>0</v>
      </c>
      <c r="M618" s="74" t="str">
        <f t="shared" si="84"/>
        <v>0</v>
      </c>
      <c r="N618" s="29" t="str">
        <f t="shared" si="85"/>
        <v>1</v>
      </c>
      <c r="O618" s="61" t="str">
        <f t="shared" ca="1" si="88"/>
        <v>0</v>
      </c>
      <c r="P618" s="65" t="str">
        <f t="shared" si="89"/>
        <v>1</v>
      </c>
      <c r="Q618" s="46">
        <f t="shared" ca="1" si="87"/>
        <v>4</v>
      </c>
      <c r="R618" s="83" t="str">
        <f t="shared" ca="1" si="86"/>
        <v>ผ่าน</v>
      </c>
      <c r="S618" s="3" t="s">
        <v>28</v>
      </c>
    </row>
    <row r="619" spans="1:25" ht="18" customHeight="1">
      <c r="A619" s="3">
        <v>617</v>
      </c>
      <c r="B619" s="3">
        <v>6410048243</v>
      </c>
      <c r="C619" s="4" t="s">
        <v>22</v>
      </c>
      <c r="D619" s="4" t="s">
        <v>1589</v>
      </c>
      <c r="E619" s="4" t="s">
        <v>1590</v>
      </c>
      <c r="F619" s="4" t="s">
        <v>1591</v>
      </c>
      <c r="G619" s="4" t="s">
        <v>1334</v>
      </c>
      <c r="H619" s="4" t="s">
        <v>1515</v>
      </c>
      <c r="I619" s="3">
        <v>3</v>
      </c>
      <c r="J619" s="29" t="str">
        <f t="shared" si="82"/>
        <v>0</v>
      </c>
      <c r="K619" s="54" t="str">
        <f t="shared" si="83"/>
        <v>0</v>
      </c>
      <c r="L619" s="69" t="str">
        <f t="shared" si="90"/>
        <v>0</v>
      </c>
      <c r="M619" s="74" t="str">
        <f t="shared" si="84"/>
        <v>0</v>
      </c>
      <c r="N619" s="29" t="str">
        <f t="shared" si="85"/>
        <v>0</v>
      </c>
      <c r="O619" s="61" t="str">
        <f t="shared" ca="1" si="88"/>
        <v>1</v>
      </c>
      <c r="P619" s="65" t="str">
        <f t="shared" si="89"/>
        <v>0</v>
      </c>
      <c r="Q619" s="46">
        <f t="shared" ca="1" si="87"/>
        <v>1</v>
      </c>
      <c r="R619" s="3" t="str">
        <f t="shared" ca="1" si="86"/>
        <v>ไม่ผ่าน</v>
      </c>
      <c r="S619" s="3" t="s">
        <v>28</v>
      </c>
    </row>
    <row r="620" spans="1:25" ht="18" customHeight="1">
      <c r="A620" s="3">
        <v>618</v>
      </c>
      <c r="B620" s="3">
        <v>6410048260</v>
      </c>
      <c r="C620" s="4" t="s">
        <v>29</v>
      </c>
      <c r="D620" s="4" t="s">
        <v>1592</v>
      </c>
      <c r="E620" s="4" t="s">
        <v>1593</v>
      </c>
      <c r="F620" s="4" t="s">
        <v>1594</v>
      </c>
      <c r="G620" s="4" t="s">
        <v>1334</v>
      </c>
      <c r="H620" s="4" t="s">
        <v>1515</v>
      </c>
      <c r="I620" s="3">
        <v>3</v>
      </c>
      <c r="J620" s="29" t="str">
        <f t="shared" si="82"/>
        <v>1</v>
      </c>
      <c r="K620" s="54" t="str">
        <f t="shared" si="83"/>
        <v>1</v>
      </c>
      <c r="L620" s="69" t="str">
        <f t="shared" si="90"/>
        <v>0</v>
      </c>
      <c r="M620" s="74" t="str">
        <f t="shared" si="84"/>
        <v>1</v>
      </c>
      <c r="N620" s="29" t="str">
        <f t="shared" si="85"/>
        <v>0</v>
      </c>
      <c r="O620" s="61" t="str">
        <f t="shared" ca="1" si="88"/>
        <v>1</v>
      </c>
      <c r="P620" s="65" t="str">
        <f t="shared" si="89"/>
        <v>1</v>
      </c>
      <c r="Q620" s="46">
        <f t="shared" ca="1" si="87"/>
        <v>5</v>
      </c>
      <c r="R620" s="83" t="str">
        <f t="shared" ca="1" si="86"/>
        <v>ผ่าน</v>
      </c>
      <c r="S620" s="3" t="s">
        <v>28</v>
      </c>
    </row>
    <row r="621" spans="1:25" ht="18" customHeight="1">
      <c r="A621" s="3">
        <v>619</v>
      </c>
      <c r="B621" s="3">
        <v>6410048262</v>
      </c>
      <c r="C621" s="4" t="s">
        <v>29</v>
      </c>
      <c r="D621" s="4" t="s">
        <v>1595</v>
      </c>
      <c r="E621" s="4" t="s">
        <v>1596</v>
      </c>
      <c r="F621" s="4" t="s">
        <v>1597</v>
      </c>
      <c r="G621" s="4" t="s">
        <v>1334</v>
      </c>
      <c r="H621" s="4" t="s">
        <v>1515</v>
      </c>
      <c r="I621" s="3">
        <v>3</v>
      </c>
      <c r="J621" s="29" t="str">
        <f t="shared" si="82"/>
        <v>1</v>
      </c>
      <c r="K621" s="54" t="str">
        <f t="shared" si="83"/>
        <v>1</v>
      </c>
      <c r="L621" s="69" t="str">
        <f t="shared" si="90"/>
        <v>0</v>
      </c>
      <c r="M621" s="74" t="str">
        <f t="shared" si="84"/>
        <v>1</v>
      </c>
      <c r="N621" s="29" t="str">
        <f t="shared" si="85"/>
        <v>0</v>
      </c>
      <c r="O621" s="61" t="str">
        <f t="shared" ca="1" si="88"/>
        <v>1</v>
      </c>
      <c r="P621" s="65" t="str">
        <f t="shared" si="89"/>
        <v>1</v>
      </c>
      <c r="Q621" s="46">
        <f t="shared" ca="1" si="87"/>
        <v>5</v>
      </c>
      <c r="R621" s="83" t="str">
        <f t="shared" ca="1" si="86"/>
        <v>ผ่าน</v>
      </c>
      <c r="S621" s="3" t="s">
        <v>28</v>
      </c>
    </row>
    <row r="622" spans="1:25" ht="18" customHeight="1">
      <c r="A622" s="3">
        <v>620</v>
      </c>
      <c r="B622" s="3">
        <v>6410058264</v>
      </c>
      <c r="C622" s="4" t="s">
        <v>22</v>
      </c>
      <c r="D622" s="4" t="s">
        <v>1598</v>
      </c>
      <c r="E622" s="4" t="s">
        <v>1599</v>
      </c>
      <c r="F622" s="4" t="s">
        <v>1600</v>
      </c>
      <c r="G622" s="4" t="s">
        <v>1334</v>
      </c>
      <c r="H622" s="4" t="s">
        <v>1515</v>
      </c>
      <c r="I622" s="3">
        <v>3</v>
      </c>
      <c r="J622" s="29" t="str">
        <f t="shared" si="82"/>
        <v>0</v>
      </c>
      <c r="K622" s="54" t="str">
        <f t="shared" si="83"/>
        <v>0</v>
      </c>
      <c r="L622" s="69" t="str">
        <f t="shared" si="90"/>
        <v>0</v>
      </c>
      <c r="M622" s="74" t="str">
        <f t="shared" si="84"/>
        <v>0</v>
      </c>
      <c r="N622" s="29" t="str">
        <f t="shared" si="85"/>
        <v>0</v>
      </c>
      <c r="O622" s="61" t="str">
        <f t="shared" ca="1" si="88"/>
        <v>0</v>
      </c>
      <c r="P622" s="65" t="str">
        <f t="shared" si="89"/>
        <v>0</v>
      </c>
      <c r="Q622" s="46">
        <f t="shared" ca="1" si="87"/>
        <v>0</v>
      </c>
      <c r="R622" s="3" t="str">
        <f t="shared" ca="1" si="86"/>
        <v>ไม่ผ่าน</v>
      </c>
      <c r="S622" s="3" t="s">
        <v>28</v>
      </c>
    </row>
    <row r="623" spans="1:25" ht="18" customHeight="1">
      <c r="A623" s="3">
        <v>621</v>
      </c>
      <c r="B623" s="3">
        <v>6310048131</v>
      </c>
      <c r="C623" s="4" t="s">
        <v>29</v>
      </c>
      <c r="D623" s="4" t="s">
        <v>1601</v>
      </c>
      <c r="E623" s="4"/>
      <c r="F623" s="4" t="s">
        <v>1602</v>
      </c>
      <c r="G623" s="4" t="s">
        <v>1334</v>
      </c>
      <c r="H623" s="4" t="s">
        <v>1515</v>
      </c>
      <c r="I623" s="3">
        <v>4</v>
      </c>
      <c r="J623" s="29" t="str">
        <f t="shared" si="82"/>
        <v>1</v>
      </c>
      <c r="K623" s="54" t="str">
        <f t="shared" si="83"/>
        <v>1</v>
      </c>
      <c r="L623" s="69" t="str">
        <f t="shared" si="90"/>
        <v>0</v>
      </c>
      <c r="M623" s="74" t="str">
        <f t="shared" si="84"/>
        <v>1</v>
      </c>
      <c r="N623" s="29" t="str">
        <f t="shared" si="85"/>
        <v>0</v>
      </c>
      <c r="O623" s="61">
        <v>1</v>
      </c>
      <c r="P623" s="65">
        <v>1</v>
      </c>
      <c r="Q623" s="46">
        <f t="shared" si="87"/>
        <v>5</v>
      </c>
      <c r="R623" s="83" t="str">
        <f t="shared" si="86"/>
        <v>ผ่าน</v>
      </c>
      <c r="S623" s="3" t="s">
        <v>28</v>
      </c>
    </row>
    <row r="624" spans="1:25" ht="18" customHeight="1">
      <c r="A624" s="3">
        <v>622</v>
      </c>
      <c r="B624" s="3">
        <v>6310048219</v>
      </c>
      <c r="C624" s="4" t="s">
        <v>22</v>
      </c>
      <c r="D624" s="4" t="s">
        <v>853</v>
      </c>
      <c r="E624" s="4" t="s">
        <v>1603</v>
      </c>
      <c r="F624" s="4" t="s">
        <v>498</v>
      </c>
      <c r="G624" s="4" t="s">
        <v>1334</v>
      </c>
      <c r="H624" s="4" t="s">
        <v>1515</v>
      </c>
      <c r="I624" s="3">
        <v>4</v>
      </c>
      <c r="J624" s="29" t="str">
        <f t="shared" si="82"/>
        <v>0</v>
      </c>
      <c r="K624" s="54">
        <v>1</v>
      </c>
      <c r="L624" s="69" t="str">
        <f t="shared" si="90"/>
        <v>0</v>
      </c>
      <c r="M624" s="74" t="str">
        <f t="shared" si="84"/>
        <v>1</v>
      </c>
      <c r="N624" s="29" t="str">
        <f t="shared" si="85"/>
        <v>0</v>
      </c>
      <c r="O624" s="61">
        <v>1</v>
      </c>
      <c r="P624" s="65">
        <v>1</v>
      </c>
      <c r="Q624" s="46">
        <f t="shared" si="87"/>
        <v>4</v>
      </c>
      <c r="R624" s="83" t="str">
        <f t="shared" si="86"/>
        <v>ผ่าน</v>
      </c>
      <c r="S624" s="3" t="s">
        <v>28</v>
      </c>
    </row>
    <row r="625" spans="1:19" ht="18" customHeight="1">
      <c r="A625" s="3">
        <v>623</v>
      </c>
      <c r="B625" s="3">
        <v>6310084104</v>
      </c>
      <c r="C625" s="4" t="s">
        <v>29</v>
      </c>
      <c r="D625" s="4" t="s">
        <v>1604</v>
      </c>
      <c r="E625" s="4" t="s">
        <v>1605</v>
      </c>
      <c r="F625" s="4" t="s">
        <v>1252</v>
      </c>
      <c r="G625" s="4" t="s">
        <v>1334</v>
      </c>
      <c r="H625" s="4" t="s">
        <v>1606</v>
      </c>
      <c r="I625" s="3">
        <v>4</v>
      </c>
      <c r="J625" s="29" t="str">
        <f t="shared" si="82"/>
        <v>0</v>
      </c>
      <c r="K625" s="54">
        <v>1</v>
      </c>
      <c r="L625" s="69" t="str">
        <f t="shared" si="90"/>
        <v>0</v>
      </c>
      <c r="M625" s="74" t="str">
        <f t="shared" si="84"/>
        <v>1</v>
      </c>
      <c r="N625" s="29" t="str">
        <f t="shared" si="85"/>
        <v>0</v>
      </c>
      <c r="O625" s="61" t="str">
        <f t="shared" ca="1" si="88"/>
        <v>1</v>
      </c>
      <c r="P625" s="65">
        <v>1</v>
      </c>
      <c r="Q625" s="46">
        <f t="shared" ca="1" si="87"/>
        <v>4</v>
      </c>
      <c r="R625" s="83" t="str">
        <f t="shared" ca="1" si="86"/>
        <v>ผ่าน</v>
      </c>
      <c r="S625" s="3" t="s">
        <v>28</v>
      </c>
    </row>
    <row r="626" spans="1:19" ht="18" customHeight="1">
      <c r="A626" s="3">
        <v>624</v>
      </c>
      <c r="B626" s="3">
        <v>6310084105</v>
      </c>
      <c r="C626" s="4" t="s">
        <v>29</v>
      </c>
      <c r="D626" s="4" t="s">
        <v>1607</v>
      </c>
      <c r="E626" s="4" t="s">
        <v>1608</v>
      </c>
      <c r="F626" s="4" t="s">
        <v>1295</v>
      </c>
      <c r="G626" s="4" t="s">
        <v>1334</v>
      </c>
      <c r="H626" s="4" t="s">
        <v>1606</v>
      </c>
      <c r="I626" s="3">
        <v>4</v>
      </c>
      <c r="J626" s="29" t="str">
        <f t="shared" si="82"/>
        <v>0</v>
      </c>
      <c r="K626" s="54">
        <v>1</v>
      </c>
      <c r="L626" s="69" t="str">
        <f t="shared" si="90"/>
        <v>0</v>
      </c>
      <c r="M626" s="74" t="str">
        <f t="shared" si="84"/>
        <v>1</v>
      </c>
      <c r="N626" s="29" t="str">
        <f t="shared" si="85"/>
        <v>0</v>
      </c>
      <c r="O626" s="61" t="str">
        <f t="shared" ca="1" si="88"/>
        <v>1</v>
      </c>
      <c r="P626" s="65">
        <v>1</v>
      </c>
      <c r="Q626" s="46">
        <f t="shared" ca="1" si="87"/>
        <v>4</v>
      </c>
      <c r="R626" s="83" t="str">
        <f t="shared" ca="1" si="86"/>
        <v>ผ่าน</v>
      </c>
      <c r="S626" s="3" t="s">
        <v>28</v>
      </c>
    </row>
    <row r="627" spans="1:19" ht="18" customHeight="1">
      <c r="A627" s="3">
        <v>625</v>
      </c>
      <c r="B627" s="3">
        <v>6310084108</v>
      </c>
      <c r="C627" s="4" t="s">
        <v>29</v>
      </c>
      <c r="D627" s="4" t="s">
        <v>1609</v>
      </c>
      <c r="E627" s="4" t="s">
        <v>1610</v>
      </c>
      <c r="F627" s="4" t="s">
        <v>1611</v>
      </c>
      <c r="G627" s="4" t="s">
        <v>1334</v>
      </c>
      <c r="H627" s="4" t="s">
        <v>1606</v>
      </c>
      <c r="I627" s="3">
        <v>4</v>
      </c>
      <c r="J627" s="29" t="str">
        <f t="shared" si="82"/>
        <v>0</v>
      </c>
      <c r="K627" s="54">
        <v>1</v>
      </c>
      <c r="L627" s="69" t="str">
        <f t="shared" si="90"/>
        <v>0</v>
      </c>
      <c r="M627" s="74" t="str">
        <f t="shared" si="84"/>
        <v>1</v>
      </c>
      <c r="N627" s="29" t="str">
        <f t="shared" si="85"/>
        <v>0</v>
      </c>
      <c r="O627" s="61" t="str">
        <f t="shared" ca="1" si="88"/>
        <v>1</v>
      </c>
      <c r="P627" s="65">
        <v>1</v>
      </c>
      <c r="Q627" s="46">
        <f t="shared" ca="1" si="87"/>
        <v>4</v>
      </c>
      <c r="R627" s="83" t="str">
        <f t="shared" ca="1" si="86"/>
        <v>ผ่าน</v>
      </c>
      <c r="S627" s="3" t="s">
        <v>28</v>
      </c>
    </row>
    <row r="628" spans="1:19" ht="18" customHeight="1">
      <c r="A628" s="3">
        <v>626</v>
      </c>
      <c r="B628" s="3">
        <v>6310084109</v>
      </c>
      <c r="C628" s="4" t="s">
        <v>29</v>
      </c>
      <c r="D628" s="4" t="s">
        <v>1612</v>
      </c>
      <c r="E628" s="4" t="s">
        <v>1613</v>
      </c>
      <c r="F628" s="4" t="s">
        <v>332</v>
      </c>
      <c r="G628" s="4" t="s">
        <v>1334</v>
      </c>
      <c r="H628" s="4" t="s">
        <v>1606</v>
      </c>
      <c r="I628" s="3">
        <v>4</v>
      </c>
      <c r="J628" s="29" t="str">
        <f t="shared" si="82"/>
        <v>0</v>
      </c>
      <c r="K628" s="54">
        <v>1</v>
      </c>
      <c r="L628" s="69" t="str">
        <f t="shared" si="90"/>
        <v>0</v>
      </c>
      <c r="M628" s="74" t="str">
        <f t="shared" si="84"/>
        <v>1</v>
      </c>
      <c r="N628" s="29" t="str">
        <f t="shared" si="85"/>
        <v>0</v>
      </c>
      <c r="O628" s="61" t="str">
        <f t="shared" ca="1" si="88"/>
        <v>1</v>
      </c>
      <c r="P628" s="65">
        <v>1</v>
      </c>
      <c r="Q628" s="46">
        <f t="shared" ca="1" si="87"/>
        <v>4</v>
      </c>
      <c r="R628" s="83" t="str">
        <f t="shared" ca="1" si="86"/>
        <v>ผ่าน</v>
      </c>
      <c r="S628" s="3" t="s">
        <v>28</v>
      </c>
    </row>
    <row r="629" spans="1:19" ht="18" customHeight="1">
      <c r="A629" s="3">
        <v>627</v>
      </c>
      <c r="B629" s="3">
        <v>6510014102</v>
      </c>
      <c r="C629" s="4" t="s">
        <v>22</v>
      </c>
      <c r="D629" s="4" t="s">
        <v>1614</v>
      </c>
      <c r="E629" s="4" t="s">
        <v>1615</v>
      </c>
      <c r="F629" s="4" t="s">
        <v>1616</v>
      </c>
      <c r="G629" s="4" t="s">
        <v>1334</v>
      </c>
      <c r="H629" s="4" t="s">
        <v>1617</v>
      </c>
      <c r="I629" s="3">
        <v>2</v>
      </c>
      <c r="J629" s="29" t="str">
        <f t="shared" si="82"/>
        <v>1</v>
      </c>
      <c r="K629" s="54" t="str">
        <f t="shared" si="83"/>
        <v>1</v>
      </c>
      <c r="L629" s="69" t="str">
        <f t="shared" si="90"/>
        <v>0</v>
      </c>
      <c r="M629" s="74" t="str">
        <f t="shared" si="84"/>
        <v>1</v>
      </c>
      <c r="N629" s="29" t="str">
        <f t="shared" si="85"/>
        <v>0</v>
      </c>
      <c r="O629" s="61" t="str">
        <f t="shared" ca="1" si="88"/>
        <v>1</v>
      </c>
      <c r="P629" s="65" t="str">
        <f t="shared" si="89"/>
        <v>1</v>
      </c>
      <c r="Q629" s="46">
        <f t="shared" ca="1" si="87"/>
        <v>5</v>
      </c>
      <c r="R629" s="83" t="str">
        <f t="shared" ca="1" si="86"/>
        <v>ผ่าน</v>
      </c>
      <c r="S629" s="3" t="s">
        <v>28</v>
      </c>
    </row>
    <row r="630" spans="1:19" ht="18" customHeight="1">
      <c r="A630" s="3">
        <v>628</v>
      </c>
      <c r="B630" s="3">
        <v>6510014104</v>
      </c>
      <c r="C630" s="4" t="s">
        <v>22</v>
      </c>
      <c r="D630" s="4" t="s">
        <v>699</v>
      </c>
      <c r="E630" s="4" t="s">
        <v>1618</v>
      </c>
      <c r="F630" s="4" t="s">
        <v>1078</v>
      </c>
      <c r="G630" s="4" t="s">
        <v>1334</v>
      </c>
      <c r="H630" s="4" t="s">
        <v>1617</v>
      </c>
      <c r="I630" s="3">
        <v>2</v>
      </c>
      <c r="J630" s="29" t="str">
        <f t="shared" si="82"/>
        <v>1</v>
      </c>
      <c r="K630" s="54" t="str">
        <f t="shared" si="83"/>
        <v>1</v>
      </c>
      <c r="L630" s="69" t="str">
        <f t="shared" si="90"/>
        <v>0</v>
      </c>
      <c r="M630" s="74" t="str">
        <f t="shared" si="84"/>
        <v>1</v>
      </c>
      <c r="N630" s="29" t="str">
        <f t="shared" si="85"/>
        <v>0</v>
      </c>
      <c r="O630" s="61" t="str">
        <f t="shared" ca="1" si="88"/>
        <v>1</v>
      </c>
      <c r="P630" s="65" t="str">
        <f t="shared" si="89"/>
        <v>1</v>
      </c>
      <c r="Q630" s="46">
        <f t="shared" ca="1" si="87"/>
        <v>5</v>
      </c>
      <c r="R630" s="83" t="str">
        <f t="shared" ca="1" si="86"/>
        <v>ผ่าน</v>
      </c>
      <c r="S630" s="3" t="s">
        <v>28</v>
      </c>
    </row>
    <row r="631" spans="1:19" ht="18" customHeight="1">
      <c r="A631" s="3">
        <v>629</v>
      </c>
      <c r="B631" s="3">
        <v>6510014106</v>
      </c>
      <c r="C631" s="4" t="s">
        <v>22</v>
      </c>
      <c r="D631" s="4" t="s">
        <v>1619</v>
      </c>
      <c r="E631" s="4" t="s">
        <v>1620</v>
      </c>
      <c r="F631" s="4" t="s">
        <v>1621</v>
      </c>
      <c r="G631" s="4" t="s">
        <v>1334</v>
      </c>
      <c r="H631" s="4" t="s">
        <v>1617</v>
      </c>
      <c r="I631" s="3">
        <v>2</v>
      </c>
      <c r="J631" s="29" t="str">
        <f t="shared" si="82"/>
        <v>1</v>
      </c>
      <c r="K631" s="54" t="str">
        <f t="shared" si="83"/>
        <v>1</v>
      </c>
      <c r="L631" s="69" t="str">
        <f t="shared" si="90"/>
        <v>0</v>
      </c>
      <c r="M631" s="74" t="str">
        <f t="shared" si="84"/>
        <v>1</v>
      </c>
      <c r="N631" s="29" t="str">
        <f t="shared" si="85"/>
        <v>0</v>
      </c>
      <c r="O631" s="61" t="str">
        <f t="shared" ca="1" si="88"/>
        <v>1</v>
      </c>
      <c r="P631" s="65" t="str">
        <f t="shared" si="89"/>
        <v>1</v>
      </c>
      <c r="Q631" s="46">
        <f t="shared" ca="1" si="87"/>
        <v>5</v>
      </c>
      <c r="R631" s="83" t="str">
        <f t="shared" ca="1" si="86"/>
        <v>ผ่าน</v>
      </c>
      <c r="S631" s="3" t="s">
        <v>28</v>
      </c>
    </row>
    <row r="632" spans="1:19" ht="18" customHeight="1">
      <c r="A632" s="3">
        <v>630</v>
      </c>
      <c r="B632" s="3">
        <v>6510014115</v>
      </c>
      <c r="C632" s="4" t="s">
        <v>29</v>
      </c>
      <c r="D632" s="4" t="s">
        <v>1622</v>
      </c>
      <c r="E632" s="4" t="s">
        <v>1623</v>
      </c>
      <c r="F632" s="4" t="s">
        <v>738</v>
      </c>
      <c r="G632" s="4" t="s">
        <v>1334</v>
      </c>
      <c r="H632" s="4" t="s">
        <v>1617</v>
      </c>
      <c r="I632" s="3">
        <v>2</v>
      </c>
      <c r="J632" s="29" t="str">
        <f t="shared" si="82"/>
        <v>1</v>
      </c>
      <c r="K632" s="54" t="str">
        <f t="shared" si="83"/>
        <v>1</v>
      </c>
      <c r="L632" s="69" t="str">
        <f t="shared" si="90"/>
        <v>0</v>
      </c>
      <c r="M632" s="74" t="str">
        <f t="shared" si="84"/>
        <v>1</v>
      </c>
      <c r="N632" s="29" t="str">
        <f t="shared" si="85"/>
        <v>0</v>
      </c>
      <c r="O632" s="61" t="str">
        <f t="shared" ca="1" si="88"/>
        <v>1</v>
      </c>
      <c r="P632" s="65" t="str">
        <f t="shared" si="89"/>
        <v>1</v>
      </c>
      <c r="Q632" s="46">
        <f t="shared" ca="1" si="87"/>
        <v>5</v>
      </c>
      <c r="R632" s="83" t="str">
        <f t="shared" ca="1" si="86"/>
        <v>ผ่าน</v>
      </c>
      <c r="S632" s="3" t="s">
        <v>28</v>
      </c>
    </row>
    <row r="633" spans="1:19" ht="18" customHeight="1">
      <c r="A633" s="3">
        <v>631</v>
      </c>
      <c r="B633" s="3">
        <v>6510014116</v>
      </c>
      <c r="C633" s="4" t="s">
        <v>29</v>
      </c>
      <c r="D633" s="4" t="s">
        <v>1624</v>
      </c>
      <c r="E633" s="4" t="s">
        <v>1625</v>
      </c>
      <c r="F633" s="4" t="s">
        <v>1626</v>
      </c>
      <c r="G633" s="4" t="s">
        <v>1334</v>
      </c>
      <c r="H633" s="4" t="s">
        <v>1617</v>
      </c>
      <c r="I633" s="3">
        <v>2</v>
      </c>
      <c r="J633" s="29" t="str">
        <f t="shared" si="82"/>
        <v>1</v>
      </c>
      <c r="K633" s="54" t="str">
        <f t="shared" si="83"/>
        <v>1</v>
      </c>
      <c r="L633" s="69" t="str">
        <f t="shared" si="90"/>
        <v>0</v>
      </c>
      <c r="M633" s="74" t="str">
        <f t="shared" si="84"/>
        <v>1</v>
      </c>
      <c r="N633" s="29" t="str">
        <f t="shared" si="85"/>
        <v>0</v>
      </c>
      <c r="O633" s="61" t="str">
        <f t="shared" ca="1" si="88"/>
        <v>1</v>
      </c>
      <c r="P633" s="65" t="str">
        <f t="shared" si="89"/>
        <v>1</v>
      </c>
      <c r="Q633" s="46">
        <f t="shared" ca="1" si="87"/>
        <v>5</v>
      </c>
      <c r="R633" s="83" t="str">
        <f t="shared" ca="1" si="86"/>
        <v>ผ่าน</v>
      </c>
      <c r="S633" s="3" t="s">
        <v>28</v>
      </c>
    </row>
    <row r="634" spans="1:19" ht="18" customHeight="1">
      <c r="A634" s="3">
        <v>632</v>
      </c>
      <c r="B634" s="3">
        <v>6611506118</v>
      </c>
      <c r="C634" s="4" t="s">
        <v>29</v>
      </c>
      <c r="D634" s="4" t="s">
        <v>557</v>
      </c>
      <c r="E634" s="4" t="s">
        <v>1627</v>
      </c>
      <c r="F634" s="4" t="s">
        <v>507</v>
      </c>
      <c r="G634" s="4" t="s">
        <v>1334</v>
      </c>
      <c r="H634" s="4" t="s">
        <v>1628</v>
      </c>
      <c r="I634" s="3">
        <v>1</v>
      </c>
      <c r="J634" s="29" t="str">
        <f t="shared" si="82"/>
        <v>0</v>
      </c>
      <c r="K634" s="54" t="str">
        <f t="shared" si="83"/>
        <v>1</v>
      </c>
      <c r="L634" s="69" t="str">
        <f t="shared" si="90"/>
        <v>0</v>
      </c>
      <c r="M634" s="74" t="str">
        <f t="shared" si="84"/>
        <v>1</v>
      </c>
      <c r="N634" s="29" t="str">
        <f t="shared" si="85"/>
        <v>0</v>
      </c>
      <c r="O634" s="61" t="str">
        <f t="shared" ca="1" si="88"/>
        <v>1</v>
      </c>
      <c r="P634" s="65" t="str">
        <f t="shared" si="89"/>
        <v>1</v>
      </c>
      <c r="Q634" s="46">
        <f t="shared" ca="1" si="87"/>
        <v>4</v>
      </c>
      <c r="R634" s="83" t="str">
        <f t="shared" ca="1" si="86"/>
        <v>ผ่าน</v>
      </c>
      <c r="S634" s="3" t="s">
        <v>28</v>
      </c>
    </row>
    <row r="635" spans="1:19" ht="18" customHeight="1">
      <c r="A635" s="3">
        <v>633</v>
      </c>
      <c r="B635" s="3">
        <v>6611506120</v>
      </c>
      <c r="C635" s="4" t="s">
        <v>29</v>
      </c>
      <c r="D635" s="4" t="s">
        <v>1629</v>
      </c>
      <c r="E635" s="4" t="s">
        <v>1630</v>
      </c>
      <c r="F635" s="4" t="s">
        <v>784</v>
      </c>
      <c r="G635" s="4" t="s">
        <v>1334</v>
      </c>
      <c r="H635" s="4" t="s">
        <v>1628</v>
      </c>
      <c r="I635" s="3">
        <v>1</v>
      </c>
      <c r="J635" s="29" t="str">
        <f t="shared" si="82"/>
        <v>0</v>
      </c>
      <c r="K635" s="54" t="str">
        <f t="shared" si="83"/>
        <v>1</v>
      </c>
      <c r="L635" s="69" t="str">
        <f t="shared" si="90"/>
        <v>0</v>
      </c>
      <c r="M635" s="74" t="str">
        <f t="shared" si="84"/>
        <v>1</v>
      </c>
      <c r="N635" s="29" t="str">
        <f t="shared" si="85"/>
        <v>0</v>
      </c>
      <c r="O635" s="61" t="str">
        <f t="shared" ca="1" si="88"/>
        <v>0</v>
      </c>
      <c r="P635" s="65" t="str">
        <f t="shared" si="89"/>
        <v>1</v>
      </c>
      <c r="Q635" s="46">
        <f t="shared" ca="1" si="87"/>
        <v>3</v>
      </c>
      <c r="R635" s="83" t="str">
        <f t="shared" ca="1" si="86"/>
        <v>ผ่าน</v>
      </c>
      <c r="S635" s="3" t="s">
        <v>28</v>
      </c>
    </row>
    <row r="636" spans="1:19" ht="18" customHeight="1">
      <c r="A636" s="3">
        <v>634</v>
      </c>
      <c r="B636" s="3">
        <v>6511506115</v>
      </c>
      <c r="C636" s="4" t="s">
        <v>29</v>
      </c>
      <c r="D636" s="4" t="s">
        <v>1631</v>
      </c>
      <c r="E636" s="4" t="s">
        <v>1632</v>
      </c>
      <c r="F636" s="4" t="s">
        <v>1132</v>
      </c>
      <c r="G636" s="4" t="s">
        <v>1334</v>
      </c>
      <c r="H636" s="4" t="s">
        <v>1628</v>
      </c>
      <c r="I636" s="3">
        <v>2</v>
      </c>
      <c r="J636" s="29" t="str">
        <f t="shared" si="82"/>
        <v>0</v>
      </c>
      <c r="K636" s="54" t="str">
        <f t="shared" si="83"/>
        <v>1</v>
      </c>
      <c r="L636" s="69" t="str">
        <f t="shared" si="90"/>
        <v>0</v>
      </c>
      <c r="M636" s="74" t="str">
        <f t="shared" si="84"/>
        <v>1</v>
      </c>
      <c r="N636" s="29" t="str">
        <f t="shared" si="85"/>
        <v>0</v>
      </c>
      <c r="O636" s="61" t="str">
        <f t="shared" ca="1" si="88"/>
        <v>1</v>
      </c>
      <c r="P636" s="65" t="str">
        <f t="shared" si="89"/>
        <v>1</v>
      </c>
      <c r="Q636" s="46">
        <f t="shared" ca="1" si="87"/>
        <v>4</v>
      </c>
      <c r="R636" s="83" t="str">
        <f t="shared" ca="1" si="86"/>
        <v>ผ่าน</v>
      </c>
      <c r="S636" s="3" t="s">
        <v>28</v>
      </c>
    </row>
    <row r="637" spans="1:19" ht="18" customHeight="1">
      <c r="A637" s="3">
        <v>635</v>
      </c>
      <c r="B637" s="3">
        <v>6511506128</v>
      </c>
      <c r="C637" s="4" t="s">
        <v>29</v>
      </c>
      <c r="D637" s="4" t="s">
        <v>1583</v>
      </c>
      <c r="E637" s="4" t="s">
        <v>1633</v>
      </c>
      <c r="F637" s="4" t="s">
        <v>143</v>
      </c>
      <c r="G637" s="4" t="s">
        <v>1334</v>
      </c>
      <c r="H637" s="4" t="s">
        <v>1628</v>
      </c>
      <c r="I637" s="3">
        <v>2</v>
      </c>
      <c r="J637" s="29" t="str">
        <f t="shared" si="82"/>
        <v>0</v>
      </c>
      <c r="K637" s="54" t="str">
        <f t="shared" si="83"/>
        <v>1</v>
      </c>
      <c r="L637" s="69" t="str">
        <f t="shared" si="90"/>
        <v>0</v>
      </c>
      <c r="M637" s="74" t="str">
        <f t="shared" si="84"/>
        <v>1</v>
      </c>
      <c r="N637" s="29" t="str">
        <f t="shared" si="85"/>
        <v>0</v>
      </c>
      <c r="O637" s="61" t="str">
        <f t="shared" ca="1" si="88"/>
        <v>1</v>
      </c>
      <c r="P637" s="65" t="str">
        <f t="shared" si="89"/>
        <v>1</v>
      </c>
      <c r="Q637" s="46">
        <f t="shared" ca="1" si="87"/>
        <v>4</v>
      </c>
      <c r="R637" s="83" t="str">
        <f t="shared" ca="1" si="86"/>
        <v>ผ่าน</v>
      </c>
      <c r="S637" s="3" t="s">
        <v>28</v>
      </c>
    </row>
    <row r="638" spans="1:19" ht="18" customHeight="1">
      <c r="A638" s="3">
        <v>636</v>
      </c>
      <c r="B638" s="3">
        <v>6511506214</v>
      </c>
      <c r="C638" s="4" t="s">
        <v>29</v>
      </c>
      <c r="D638" s="4" t="s">
        <v>1634</v>
      </c>
      <c r="E638" s="4" t="s">
        <v>1635</v>
      </c>
      <c r="F638" s="4" t="s">
        <v>78</v>
      </c>
      <c r="G638" s="4" t="s">
        <v>1334</v>
      </c>
      <c r="H638" s="4" t="s">
        <v>1628</v>
      </c>
      <c r="I638" s="3">
        <v>2</v>
      </c>
      <c r="J638" s="29" t="str">
        <f t="shared" si="82"/>
        <v>0</v>
      </c>
      <c r="K638" s="54" t="str">
        <f t="shared" si="83"/>
        <v>1</v>
      </c>
      <c r="L638" s="69" t="str">
        <f t="shared" si="90"/>
        <v>0</v>
      </c>
      <c r="M638" s="74" t="str">
        <f t="shared" si="84"/>
        <v>1</v>
      </c>
      <c r="N638" s="29" t="str">
        <f t="shared" si="85"/>
        <v>0</v>
      </c>
      <c r="O638" s="61" t="str">
        <f t="shared" ca="1" si="88"/>
        <v>1</v>
      </c>
      <c r="P638" s="65" t="str">
        <f t="shared" si="89"/>
        <v>1</v>
      </c>
      <c r="Q638" s="46">
        <f t="shared" ca="1" si="87"/>
        <v>4</v>
      </c>
      <c r="R638" s="83" t="str">
        <f t="shared" ca="1" si="86"/>
        <v>ผ่าน</v>
      </c>
      <c r="S638" s="3" t="s">
        <v>28</v>
      </c>
    </row>
    <row r="639" spans="1:19" ht="18" customHeight="1">
      <c r="A639" s="3">
        <v>637</v>
      </c>
      <c r="B639" s="3">
        <v>6511506215</v>
      </c>
      <c r="C639" s="4" t="s">
        <v>29</v>
      </c>
      <c r="D639" s="4" t="s">
        <v>1636</v>
      </c>
      <c r="E639" s="4" t="s">
        <v>1189</v>
      </c>
      <c r="F639" s="4" t="s">
        <v>1637</v>
      </c>
      <c r="G639" s="4" t="s">
        <v>1334</v>
      </c>
      <c r="H639" s="4" t="s">
        <v>1628</v>
      </c>
      <c r="I639" s="3">
        <v>2</v>
      </c>
      <c r="J639" s="29" t="str">
        <f t="shared" si="82"/>
        <v>1</v>
      </c>
      <c r="K639" s="54" t="str">
        <f t="shared" si="83"/>
        <v>1</v>
      </c>
      <c r="L639" s="69" t="str">
        <f t="shared" si="90"/>
        <v>0</v>
      </c>
      <c r="M639" s="74" t="str">
        <f t="shared" si="84"/>
        <v>1</v>
      </c>
      <c r="N639" s="29" t="str">
        <f t="shared" si="85"/>
        <v>0</v>
      </c>
      <c r="O639" s="61" t="str">
        <f t="shared" ca="1" si="88"/>
        <v>1</v>
      </c>
      <c r="P639" s="65" t="str">
        <f t="shared" si="89"/>
        <v>1</v>
      </c>
      <c r="Q639" s="46">
        <f t="shared" ca="1" si="87"/>
        <v>5</v>
      </c>
      <c r="R639" s="83" t="str">
        <f t="shared" ca="1" si="86"/>
        <v>ผ่าน</v>
      </c>
      <c r="S639" s="3" t="s">
        <v>28</v>
      </c>
    </row>
    <row r="640" spans="1:19" ht="18" customHeight="1">
      <c r="A640" s="3">
        <v>638</v>
      </c>
      <c r="B640" s="3">
        <v>6511506217</v>
      </c>
      <c r="C640" s="4" t="s">
        <v>29</v>
      </c>
      <c r="D640" s="4" t="s">
        <v>1638</v>
      </c>
      <c r="E640" s="4" t="s">
        <v>1639</v>
      </c>
      <c r="F640" s="4" t="s">
        <v>297</v>
      </c>
      <c r="G640" s="4" t="s">
        <v>1334</v>
      </c>
      <c r="H640" s="4" t="s">
        <v>1628</v>
      </c>
      <c r="I640" s="3">
        <v>2</v>
      </c>
      <c r="J640" s="29" t="str">
        <f t="shared" si="82"/>
        <v>0</v>
      </c>
      <c r="K640" s="54" t="str">
        <f t="shared" si="83"/>
        <v>1</v>
      </c>
      <c r="L640" s="69" t="str">
        <f t="shared" si="90"/>
        <v>0</v>
      </c>
      <c r="M640" s="74" t="str">
        <f t="shared" si="84"/>
        <v>1</v>
      </c>
      <c r="N640" s="29" t="str">
        <f t="shared" si="85"/>
        <v>0</v>
      </c>
      <c r="O640" s="61" t="str">
        <f t="shared" ca="1" si="88"/>
        <v>1</v>
      </c>
      <c r="P640" s="65" t="str">
        <f t="shared" si="89"/>
        <v>1</v>
      </c>
      <c r="Q640" s="46">
        <f t="shared" ca="1" si="87"/>
        <v>4</v>
      </c>
      <c r="R640" s="83" t="str">
        <f t="shared" ca="1" si="86"/>
        <v>ผ่าน</v>
      </c>
      <c r="S640" s="3" t="s">
        <v>28</v>
      </c>
    </row>
    <row r="641" spans="1:19" ht="18" customHeight="1">
      <c r="A641" s="3">
        <v>639</v>
      </c>
      <c r="B641" s="3">
        <v>6511506221</v>
      </c>
      <c r="C641" s="4" t="s">
        <v>29</v>
      </c>
      <c r="D641" s="4" t="s">
        <v>1134</v>
      </c>
      <c r="E641" s="4" t="s">
        <v>1640</v>
      </c>
      <c r="F641" s="4" t="s">
        <v>1641</v>
      </c>
      <c r="G641" s="4" t="s">
        <v>1334</v>
      </c>
      <c r="H641" s="4" t="s">
        <v>1628</v>
      </c>
      <c r="I641" s="3">
        <v>2</v>
      </c>
      <c r="J641" s="29" t="str">
        <f t="shared" si="82"/>
        <v>0</v>
      </c>
      <c r="K641" s="54" t="str">
        <f t="shared" si="83"/>
        <v>1</v>
      </c>
      <c r="L641" s="69" t="str">
        <f t="shared" si="90"/>
        <v>0</v>
      </c>
      <c r="M641" s="74" t="str">
        <f t="shared" si="84"/>
        <v>1</v>
      </c>
      <c r="N641" s="29" t="str">
        <f t="shared" si="85"/>
        <v>0</v>
      </c>
      <c r="O641" s="61" t="str">
        <f t="shared" ca="1" si="88"/>
        <v>1</v>
      </c>
      <c r="P641" s="65" t="str">
        <f t="shared" si="89"/>
        <v>1</v>
      </c>
      <c r="Q641" s="46">
        <f t="shared" ca="1" si="87"/>
        <v>4</v>
      </c>
      <c r="R641" s="83" t="str">
        <f t="shared" ca="1" si="86"/>
        <v>ผ่าน</v>
      </c>
      <c r="S641" s="3" t="s">
        <v>28</v>
      </c>
    </row>
    <row r="642" spans="1:19" ht="18" customHeight="1">
      <c r="A642" s="3">
        <v>640</v>
      </c>
      <c r="B642" s="3">
        <v>6511506224</v>
      </c>
      <c r="C642" s="4" t="s">
        <v>29</v>
      </c>
      <c r="D642" s="4" t="s">
        <v>1302</v>
      </c>
      <c r="E642" s="4" t="s">
        <v>1642</v>
      </c>
      <c r="F642" s="4" t="s">
        <v>1643</v>
      </c>
      <c r="G642" s="4" t="s">
        <v>1334</v>
      </c>
      <c r="H642" s="4" t="s">
        <v>1628</v>
      </c>
      <c r="I642" s="3">
        <v>2</v>
      </c>
      <c r="J642" s="29" t="str">
        <f t="shared" si="82"/>
        <v>0</v>
      </c>
      <c r="K642" s="54" t="str">
        <f t="shared" si="83"/>
        <v>1</v>
      </c>
      <c r="L642" s="69" t="str">
        <f t="shared" si="90"/>
        <v>0</v>
      </c>
      <c r="M642" s="74" t="str">
        <f t="shared" si="84"/>
        <v>1</v>
      </c>
      <c r="N642" s="29" t="str">
        <f t="shared" si="85"/>
        <v>0</v>
      </c>
      <c r="O642" s="61" t="str">
        <f t="shared" ca="1" si="88"/>
        <v>1</v>
      </c>
      <c r="P642" s="65" t="str">
        <f t="shared" si="89"/>
        <v>1</v>
      </c>
      <c r="Q642" s="46">
        <f t="shared" ca="1" si="87"/>
        <v>4</v>
      </c>
      <c r="R642" s="83" t="str">
        <f t="shared" ca="1" si="86"/>
        <v>ผ่าน</v>
      </c>
      <c r="S642" s="3" t="s">
        <v>28</v>
      </c>
    </row>
    <row r="643" spans="1:19" ht="18" customHeight="1">
      <c r="A643" s="3">
        <v>641</v>
      </c>
      <c r="B643" s="3">
        <v>6511506226</v>
      </c>
      <c r="C643" s="4" t="s">
        <v>29</v>
      </c>
      <c r="D643" s="4" t="s">
        <v>149</v>
      </c>
      <c r="E643" s="4" t="s">
        <v>1644</v>
      </c>
      <c r="F643" s="4" t="s">
        <v>1645</v>
      </c>
      <c r="G643" s="4" t="s">
        <v>1334</v>
      </c>
      <c r="H643" s="4" t="s">
        <v>1628</v>
      </c>
      <c r="I643" s="3">
        <v>2</v>
      </c>
      <c r="J643" s="29" t="str">
        <f t="shared" ref="J643:J668" si="91">IF(IFERROR(VLOOKUP(B643,DATA,1,FALSE),),"1","0")</f>
        <v>0</v>
      </c>
      <c r="K643" s="54">
        <v>1</v>
      </c>
      <c r="L643" s="69" t="str">
        <f t="shared" si="90"/>
        <v>0</v>
      </c>
      <c r="M643" s="74" t="str">
        <f t="shared" ref="M643:M669" si="92">IF(IFERROR(VLOOKUP(B643,DATA9,1,FALSE),),"1","0")</f>
        <v>1</v>
      </c>
      <c r="N643" s="29" t="str">
        <f t="shared" ref="N643:N669" si="93">IF(IFERROR(VLOOKUP(B643,DATA10,1,FALSE),),"1","0")</f>
        <v>0</v>
      </c>
      <c r="O643" s="61" t="str">
        <f t="shared" ref="O643:O669" ca="1" si="94">IF(IFERROR(VLOOKUP(B643,DATA11,1,FALSE),),"1","0")</f>
        <v>1</v>
      </c>
      <c r="P643" s="65" t="str">
        <f t="shared" ref="P643:P669" si="95">IF(IFERROR(VLOOKUP(B643,DATA12,1,FALSE),),"1","0")</f>
        <v>1</v>
      </c>
      <c r="Q643" s="46">
        <f t="shared" ca="1" si="87"/>
        <v>4</v>
      </c>
      <c r="R643" s="83" t="str">
        <f t="shared" ref="R643:R669" ca="1" si="96">IF(Q643&gt;=3,"ผ่าน",IF(Q643&lt;3,"ไม่ผ่าน"))</f>
        <v>ผ่าน</v>
      </c>
      <c r="S643" s="3" t="s">
        <v>28</v>
      </c>
    </row>
    <row r="644" spans="1:19" ht="18" customHeight="1">
      <c r="A644" s="3">
        <v>642</v>
      </c>
      <c r="B644" s="3">
        <v>6511506240</v>
      </c>
      <c r="C644" s="4" t="s">
        <v>29</v>
      </c>
      <c r="D644" s="4" t="s">
        <v>1646</v>
      </c>
      <c r="E644" s="4" t="s">
        <v>1647</v>
      </c>
      <c r="F644" s="4" t="s">
        <v>1648</v>
      </c>
      <c r="G644" s="4" t="s">
        <v>1334</v>
      </c>
      <c r="H644" s="4" t="s">
        <v>1628</v>
      </c>
      <c r="I644" s="3">
        <v>2</v>
      </c>
      <c r="J644" s="29" t="str">
        <f t="shared" si="91"/>
        <v>0</v>
      </c>
      <c r="K644" s="54">
        <v>1</v>
      </c>
      <c r="L644" s="69" t="str">
        <f t="shared" si="90"/>
        <v>0</v>
      </c>
      <c r="M644" s="74" t="str">
        <f t="shared" si="92"/>
        <v>0</v>
      </c>
      <c r="N644" s="29" t="str">
        <f t="shared" si="93"/>
        <v>0</v>
      </c>
      <c r="O644" s="61" t="str">
        <f t="shared" ca="1" si="94"/>
        <v>0</v>
      </c>
      <c r="P644" s="65" t="str">
        <f t="shared" si="95"/>
        <v>0</v>
      </c>
      <c r="Q644" s="46">
        <f t="shared" ref="Q644:Q669" ca="1" si="97">J644+K644+L644+M644+N644+O644+P644</f>
        <v>1</v>
      </c>
      <c r="R644" s="3" t="str">
        <f t="shared" ca="1" si="96"/>
        <v>ไม่ผ่าน</v>
      </c>
      <c r="S644" s="3" t="s">
        <v>28</v>
      </c>
    </row>
    <row r="645" spans="1:19" ht="18" customHeight="1">
      <c r="A645" s="3">
        <v>643</v>
      </c>
      <c r="B645" s="3">
        <v>6411506114</v>
      </c>
      <c r="C645" s="4" t="s">
        <v>29</v>
      </c>
      <c r="D645" s="4" t="s">
        <v>1649</v>
      </c>
      <c r="E645" s="4" t="s">
        <v>1650</v>
      </c>
      <c r="F645" s="4" t="s">
        <v>1651</v>
      </c>
      <c r="G645" s="4" t="s">
        <v>1334</v>
      </c>
      <c r="H645" s="4" t="s">
        <v>1628</v>
      </c>
      <c r="I645" s="3">
        <v>3</v>
      </c>
      <c r="J645" s="29" t="str">
        <f t="shared" si="91"/>
        <v>1</v>
      </c>
      <c r="K645" s="54">
        <v>1</v>
      </c>
      <c r="L645" s="69" t="str">
        <f t="shared" si="90"/>
        <v>0</v>
      </c>
      <c r="M645" s="74" t="str">
        <f t="shared" si="92"/>
        <v>1</v>
      </c>
      <c r="N645" s="29" t="str">
        <f t="shared" si="93"/>
        <v>0</v>
      </c>
      <c r="O645" s="61" t="str">
        <f t="shared" ca="1" si="94"/>
        <v>1</v>
      </c>
      <c r="P645" s="65" t="str">
        <f t="shared" si="95"/>
        <v>1</v>
      </c>
      <c r="Q645" s="46">
        <f t="shared" ca="1" si="97"/>
        <v>5</v>
      </c>
      <c r="R645" s="83" t="str">
        <f t="shared" ca="1" si="96"/>
        <v>ผ่าน</v>
      </c>
      <c r="S645" s="3" t="s">
        <v>28</v>
      </c>
    </row>
    <row r="646" spans="1:19" ht="18" customHeight="1">
      <c r="A646" s="3">
        <v>644</v>
      </c>
      <c r="B646" s="3">
        <v>6411506131</v>
      </c>
      <c r="C646" s="4" t="s">
        <v>29</v>
      </c>
      <c r="D646" s="4" t="s">
        <v>1047</v>
      </c>
      <c r="E646" s="4" t="s">
        <v>1652</v>
      </c>
      <c r="F646" s="4" t="s">
        <v>1653</v>
      </c>
      <c r="G646" s="4" t="s">
        <v>1334</v>
      </c>
      <c r="H646" s="4" t="s">
        <v>1628</v>
      </c>
      <c r="I646" s="3">
        <v>3</v>
      </c>
      <c r="J646" s="29" t="str">
        <f t="shared" si="91"/>
        <v>1</v>
      </c>
      <c r="K646" s="54">
        <v>1</v>
      </c>
      <c r="L646" s="69" t="str">
        <f t="shared" si="90"/>
        <v>0</v>
      </c>
      <c r="M646" s="74" t="str">
        <f t="shared" si="92"/>
        <v>1</v>
      </c>
      <c r="N646" s="29" t="str">
        <f t="shared" si="93"/>
        <v>0</v>
      </c>
      <c r="O646" s="61" t="str">
        <f t="shared" ca="1" si="94"/>
        <v>1</v>
      </c>
      <c r="P646" s="65" t="str">
        <f t="shared" si="95"/>
        <v>1</v>
      </c>
      <c r="Q646" s="46">
        <f t="shared" ca="1" si="97"/>
        <v>5</v>
      </c>
      <c r="R646" s="83" t="str">
        <f t="shared" ca="1" si="96"/>
        <v>ผ่าน</v>
      </c>
      <c r="S646" s="3" t="s">
        <v>28</v>
      </c>
    </row>
    <row r="647" spans="1:19" ht="18" customHeight="1">
      <c r="A647" s="3">
        <v>645</v>
      </c>
      <c r="B647" s="3">
        <v>6411506137</v>
      </c>
      <c r="C647" s="4" t="s">
        <v>29</v>
      </c>
      <c r="D647" s="4" t="s">
        <v>1654</v>
      </c>
      <c r="E647" s="4" t="s">
        <v>1655</v>
      </c>
      <c r="F647" s="4" t="s">
        <v>1656</v>
      </c>
      <c r="G647" s="4" t="s">
        <v>1334</v>
      </c>
      <c r="H647" s="4" t="s">
        <v>1628</v>
      </c>
      <c r="I647" s="3">
        <v>3</v>
      </c>
      <c r="J647" s="29" t="str">
        <f t="shared" si="91"/>
        <v>1</v>
      </c>
      <c r="K647" s="54">
        <v>1</v>
      </c>
      <c r="L647" s="69" t="str">
        <f t="shared" si="90"/>
        <v>0</v>
      </c>
      <c r="M647" s="74" t="str">
        <f t="shared" si="92"/>
        <v>1</v>
      </c>
      <c r="N647" s="29" t="str">
        <f t="shared" si="93"/>
        <v>0</v>
      </c>
      <c r="O647" s="61" t="str">
        <f t="shared" ca="1" si="94"/>
        <v>1</v>
      </c>
      <c r="P647" s="65" t="str">
        <f t="shared" si="95"/>
        <v>0</v>
      </c>
      <c r="Q647" s="46">
        <f t="shared" ca="1" si="97"/>
        <v>4</v>
      </c>
      <c r="R647" s="83" t="str">
        <f t="shared" ca="1" si="96"/>
        <v>ผ่าน</v>
      </c>
      <c r="S647" s="3" t="s">
        <v>28</v>
      </c>
    </row>
    <row r="648" spans="1:19" ht="18" customHeight="1">
      <c r="A648" s="3">
        <v>646</v>
      </c>
      <c r="B648" s="3">
        <v>6411506219</v>
      </c>
      <c r="C648" s="4" t="s">
        <v>29</v>
      </c>
      <c r="D648" s="4" t="s">
        <v>1657</v>
      </c>
      <c r="E648" s="4" t="s">
        <v>1658</v>
      </c>
      <c r="F648" s="4" t="s">
        <v>644</v>
      </c>
      <c r="G648" s="4" t="s">
        <v>1334</v>
      </c>
      <c r="H648" s="4" t="s">
        <v>1628</v>
      </c>
      <c r="I648" s="3">
        <v>3</v>
      </c>
      <c r="J648" s="29" t="str">
        <f t="shared" si="91"/>
        <v>1</v>
      </c>
      <c r="K648" s="54">
        <v>1</v>
      </c>
      <c r="L648" s="69" t="str">
        <f t="shared" si="90"/>
        <v>0</v>
      </c>
      <c r="M648" s="74" t="str">
        <f t="shared" si="92"/>
        <v>1</v>
      </c>
      <c r="N648" s="29" t="str">
        <f t="shared" si="93"/>
        <v>0</v>
      </c>
      <c r="O648" s="61" t="str">
        <f t="shared" ca="1" si="94"/>
        <v>1</v>
      </c>
      <c r="P648" s="65" t="str">
        <f t="shared" si="95"/>
        <v>1</v>
      </c>
      <c r="Q648" s="46">
        <f t="shared" ca="1" si="97"/>
        <v>5</v>
      </c>
      <c r="R648" s="83" t="str">
        <f t="shared" ca="1" si="96"/>
        <v>ผ่าน</v>
      </c>
      <c r="S648" s="3" t="s">
        <v>28</v>
      </c>
    </row>
    <row r="649" spans="1:19" ht="18" customHeight="1">
      <c r="A649" s="3">
        <v>647</v>
      </c>
      <c r="B649" s="3">
        <v>6411506220</v>
      </c>
      <c r="C649" s="4" t="s">
        <v>29</v>
      </c>
      <c r="D649" s="4" t="s">
        <v>1013</v>
      </c>
      <c r="E649" s="4" t="s">
        <v>1659</v>
      </c>
      <c r="F649" s="4" t="s">
        <v>1637</v>
      </c>
      <c r="G649" s="4" t="s">
        <v>1334</v>
      </c>
      <c r="H649" s="4" t="s">
        <v>1628</v>
      </c>
      <c r="I649" s="3">
        <v>3</v>
      </c>
      <c r="J649" s="29" t="str">
        <f t="shared" si="91"/>
        <v>1</v>
      </c>
      <c r="K649" s="54">
        <v>1</v>
      </c>
      <c r="L649" s="69" t="str">
        <f t="shared" si="90"/>
        <v>0</v>
      </c>
      <c r="M649" s="74" t="str">
        <f t="shared" si="92"/>
        <v>1</v>
      </c>
      <c r="N649" s="29" t="str">
        <f t="shared" si="93"/>
        <v>0</v>
      </c>
      <c r="O649" s="61" t="str">
        <f t="shared" ca="1" si="94"/>
        <v>1</v>
      </c>
      <c r="P649" s="65" t="str">
        <f t="shared" si="95"/>
        <v>1</v>
      </c>
      <c r="Q649" s="46">
        <f t="shared" ca="1" si="97"/>
        <v>5</v>
      </c>
      <c r="R649" s="83" t="str">
        <f t="shared" ca="1" si="96"/>
        <v>ผ่าน</v>
      </c>
      <c r="S649" s="3" t="s">
        <v>28</v>
      </c>
    </row>
    <row r="650" spans="1:19" ht="18" customHeight="1">
      <c r="A650" s="3">
        <v>648</v>
      </c>
      <c r="B650" s="3">
        <v>6411506228</v>
      </c>
      <c r="C650" s="4" t="s">
        <v>29</v>
      </c>
      <c r="D650" s="4" t="s">
        <v>1660</v>
      </c>
      <c r="E650" s="4" t="s">
        <v>1661</v>
      </c>
      <c r="F650" s="4" t="s">
        <v>473</v>
      </c>
      <c r="G650" s="4" t="s">
        <v>1334</v>
      </c>
      <c r="H650" s="4" t="s">
        <v>1628</v>
      </c>
      <c r="I650" s="3">
        <v>3</v>
      </c>
      <c r="J650" s="29" t="str">
        <f t="shared" si="91"/>
        <v>1</v>
      </c>
      <c r="K650" s="54">
        <v>1</v>
      </c>
      <c r="L650" s="69" t="str">
        <f t="shared" si="90"/>
        <v>0</v>
      </c>
      <c r="M650" s="74" t="str">
        <f t="shared" si="92"/>
        <v>1</v>
      </c>
      <c r="N650" s="29" t="str">
        <f t="shared" si="93"/>
        <v>0</v>
      </c>
      <c r="O650" s="61" t="str">
        <f t="shared" ca="1" si="94"/>
        <v>1</v>
      </c>
      <c r="P650" s="65" t="str">
        <f t="shared" si="95"/>
        <v>0</v>
      </c>
      <c r="Q650" s="46">
        <f t="shared" ca="1" si="97"/>
        <v>4</v>
      </c>
      <c r="R650" s="83" t="str">
        <f t="shared" ca="1" si="96"/>
        <v>ผ่าน</v>
      </c>
      <c r="S650" s="3" t="s">
        <v>28</v>
      </c>
    </row>
    <row r="651" spans="1:19" ht="18" customHeight="1">
      <c r="A651" s="3">
        <v>649</v>
      </c>
      <c r="B651" s="3">
        <v>6311506104</v>
      </c>
      <c r="C651" s="4" t="s">
        <v>29</v>
      </c>
      <c r="D651" s="4" t="s">
        <v>1662</v>
      </c>
      <c r="E651" s="4" t="s">
        <v>649</v>
      </c>
      <c r="F651" s="4" t="s">
        <v>1663</v>
      </c>
      <c r="G651" s="4" t="s">
        <v>1334</v>
      </c>
      <c r="H651" s="4" t="s">
        <v>1628</v>
      </c>
      <c r="I651" s="3">
        <v>4</v>
      </c>
      <c r="J651" s="29" t="str">
        <f t="shared" si="91"/>
        <v>0</v>
      </c>
      <c r="K651" s="54" t="str">
        <f t="shared" ref="K643:K669" si="98">IF(IFERROR(VLOOKUP(B651,DATA8,1,FALSE),),"1","0")</f>
        <v>0</v>
      </c>
      <c r="L651" s="69" t="str">
        <f t="shared" si="90"/>
        <v>0</v>
      </c>
      <c r="M651" s="74" t="str">
        <f t="shared" si="92"/>
        <v>1</v>
      </c>
      <c r="N651" s="29" t="str">
        <f t="shared" si="93"/>
        <v>0</v>
      </c>
      <c r="O651" s="61">
        <v>1</v>
      </c>
      <c r="P651" s="65">
        <v>1</v>
      </c>
      <c r="Q651" s="46">
        <f t="shared" si="97"/>
        <v>3</v>
      </c>
      <c r="R651" s="83" t="str">
        <f t="shared" si="96"/>
        <v>ผ่าน</v>
      </c>
      <c r="S651" s="3" t="s">
        <v>28</v>
      </c>
    </row>
    <row r="652" spans="1:19" ht="18" customHeight="1">
      <c r="A652" s="3">
        <v>650</v>
      </c>
      <c r="B652" s="3">
        <v>6311506106</v>
      </c>
      <c r="C652" s="4" t="s">
        <v>29</v>
      </c>
      <c r="D652" s="4" t="s">
        <v>1634</v>
      </c>
      <c r="E652" s="4" t="s">
        <v>1664</v>
      </c>
      <c r="F652" s="4" t="s">
        <v>1665</v>
      </c>
      <c r="G652" s="4" t="s">
        <v>1334</v>
      </c>
      <c r="H652" s="4" t="s">
        <v>1628</v>
      </c>
      <c r="I652" s="3">
        <v>4</v>
      </c>
      <c r="J652" s="29" t="str">
        <f t="shared" si="91"/>
        <v>0</v>
      </c>
      <c r="K652" s="54" t="str">
        <f t="shared" si="98"/>
        <v>1</v>
      </c>
      <c r="L652" s="69" t="str">
        <f t="shared" si="90"/>
        <v>0</v>
      </c>
      <c r="M652" s="74" t="str">
        <f t="shared" si="92"/>
        <v>1</v>
      </c>
      <c r="N652" s="29" t="str">
        <f t="shared" si="93"/>
        <v>0</v>
      </c>
      <c r="O652" s="61">
        <v>1</v>
      </c>
      <c r="P652" s="65">
        <v>1</v>
      </c>
      <c r="Q652" s="46">
        <f t="shared" si="97"/>
        <v>4</v>
      </c>
      <c r="R652" s="83" t="str">
        <f t="shared" si="96"/>
        <v>ผ่าน</v>
      </c>
      <c r="S652" s="3" t="s">
        <v>28</v>
      </c>
    </row>
    <row r="653" spans="1:19" ht="18" customHeight="1">
      <c r="A653" s="3">
        <v>651</v>
      </c>
      <c r="B653" s="3">
        <v>6311506109</v>
      </c>
      <c r="C653" s="4" t="s">
        <v>29</v>
      </c>
      <c r="D653" s="4" t="s">
        <v>1666</v>
      </c>
      <c r="E653" s="4" t="s">
        <v>1667</v>
      </c>
      <c r="F653" s="4" t="s">
        <v>1668</v>
      </c>
      <c r="G653" s="4" t="s">
        <v>1334</v>
      </c>
      <c r="H653" s="4" t="s">
        <v>1628</v>
      </c>
      <c r="I653" s="3">
        <v>4</v>
      </c>
      <c r="J653" s="29" t="str">
        <f t="shared" si="91"/>
        <v>0</v>
      </c>
      <c r="K653" s="54" t="str">
        <f t="shared" si="98"/>
        <v>1</v>
      </c>
      <c r="L653" s="69" t="str">
        <f t="shared" si="90"/>
        <v>0</v>
      </c>
      <c r="M653" s="74" t="str">
        <f t="shared" si="92"/>
        <v>1</v>
      </c>
      <c r="N653" s="29" t="str">
        <f t="shared" si="93"/>
        <v>0</v>
      </c>
      <c r="O653" s="61">
        <v>1</v>
      </c>
      <c r="P653" s="65">
        <v>1</v>
      </c>
      <c r="Q653" s="46">
        <f t="shared" si="97"/>
        <v>4</v>
      </c>
      <c r="R653" s="83" t="str">
        <f t="shared" si="96"/>
        <v>ผ่าน</v>
      </c>
      <c r="S653" s="3" t="s">
        <v>28</v>
      </c>
    </row>
    <row r="654" spans="1:19" ht="18" customHeight="1">
      <c r="A654" s="3">
        <v>652</v>
      </c>
      <c r="B654" s="3">
        <v>6311506115</v>
      </c>
      <c r="C654" s="4" t="s">
        <v>29</v>
      </c>
      <c r="D654" s="4" t="s">
        <v>1669</v>
      </c>
      <c r="E654" s="4" t="s">
        <v>1670</v>
      </c>
      <c r="F654" s="4" t="s">
        <v>110</v>
      </c>
      <c r="G654" s="4" t="s">
        <v>1334</v>
      </c>
      <c r="H654" s="4" t="s">
        <v>1628</v>
      </c>
      <c r="I654" s="3">
        <v>4</v>
      </c>
      <c r="J654" s="29" t="str">
        <f t="shared" si="91"/>
        <v>0</v>
      </c>
      <c r="K654" s="54" t="str">
        <f t="shared" si="98"/>
        <v>1</v>
      </c>
      <c r="L654" s="69" t="str">
        <f t="shared" si="90"/>
        <v>0</v>
      </c>
      <c r="M654" s="74" t="str">
        <f t="shared" si="92"/>
        <v>1</v>
      </c>
      <c r="N654" s="29" t="str">
        <f t="shared" si="93"/>
        <v>0</v>
      </c>
      <c r="O654" s="61">
        <v>1</v>
      </c>
      <c r="P654" s="65">
        <v>1</v>
      </c>
      <c r="Q654" s="46">
        <f t="shared" si="97"/>
        <v>4</v>
      </c>
      <c r="R654" s="83" t="str">
        <f t="shared" si="96"/>
        <v>ผ่าน</v>
      </c>
      <c r="S654" s="3" t="s">
        <v>28</v>
      </c>
    </row>
    <row r="655" spans="1:19" ht="18" customHeight="1">
      <c r="A655" s="3">
        <v>653</v>
      </c>
      <c r="B655" s="3">
        <v>6311506117</v>
      </c>
      <c r="C655" s="4" t="s">
        <v>29</v>
      </c>
      <c r="D655" s="4" t="s">
        <v>211</v>
      </c>
      <c r="E655" s="4" t="s">
        <v>1671</v>
      </c>
      <c r="F655" s="4" t="s">
        <v>898</v>
      </c>
      <c r="G655" s="4" t="s">
        <v>1334</v>
      </c>
      <c r="H655" s="4" t="s">
        <v>1628</v>
      </c>
      <c r="I655" s="3">
        <v>4</v>
      </c>
      <c r="J655" s="29" t="str">
        <f t="shared" si="91"/>
        <v>0</v>
      </c>
      <c r="K655" s="54" t="str">
        <f t="shared" si="98"/>
        <v>1</v>
      </c>
      <c r="L655" s="69" t="str">
        <f t="shared" si="90"/>
        <v>0</v>
      </c>
      <c r="M655" s="74" t="str">
        <f t="shared" si="92"/>
        <v>1</v>
      </c>
      <c r="N655" s="29" t="str">
        <f t="shared" si="93"/>
        <v>0</v>
      </c>
      <c r="O655" s="61">
        <v>1</v>
      </c>
      <c r="P655" s="65">
        <v>1</v>
      </c>
      <c r="Q655" s="46">
        <f t="shared" si="97"/>
        <v>4</v>
      </c>
      <c r="R655" s="83" t="str">
        <f t="shared" si="96"/>
        <v>ผ่าน</v>
      </c>
      <c r="S655" s="3" t="s">
        <v>28</v>
      </c>
    </row>
    <row r="656" spans="1:19" ht="18" customHeight="1">
      <c r="A656" s="3">
        <v>654</v>
      </c>
      <c r="B656" s="3">
        <v>6311506120</v>
      </c>
      <c r="C656" s="4" t="s">
        <v>29</v>
      </c>
      <c r="D656" s="4" t="s">
        <v>1672</v>
      </c>
      <c r="E656" s="4" t="s">
        <v>1673</v>
      </c>
      <c r="F656" s="4" t="s">
        <v>143</v>
      </c>
      <c r="G656" s="4" t="s">
        <v>1334</v>
      </c>
      <c r="H656" s="4" t="s">
        <v>1628</v>
      </c>
      <c r="I656" s="3">
        <v>4</v>
      </c>
      <c r="J656" s="29" t="str">
        <f t="shared" si="91"/>
        <v>0</v>
      </c>
      <c r="K656" s="54" t="str">
        <f t="shared" si="98"/>
        <v>1</v>
      </c>
      <c r="L656" s="69" t="str">
        <f t="shared" si="90"/>
        <v>0</v>
      </c>
      <c r="M656" s="74" t="str">
        <f t="shared" si="92"/>
        <v>1</v>
      </c>
      <c r="N656" s="29" t="str">
        <f t="shared" si="93"/>
        <v>0</v>
      </c>
      <c r="O656" s="61">
        <v>1</v>
      </c>
      <c r="P656" s="65">
        <v>1</v>
      </c>
      <c r="Q656" s="46">
        <f t="shared" si="97"/>
        <v>4</v>
      </c>
      <c r="R656" s="83" t="str">
        <f t="shared" si="96"/>
        <v>ผ่าน</v>
      </c>
      <c r="S656" s="3" t="s">
        <v>28</v>
      </c>
    </row>
    <row r="657" spans="1:19" ht="18" customHeight="1">
      <c r="A657" s="3">
        <v>655</v>
      </c>
      <c r="B657" s="3">
        <v>6311506121</v>
      </c>
      <c r="C657" s="4" t="s">
        <v>29</v>
      </c>
      <c r="D657" s="4" t="s">
        <v>1674</v>
      </c>
      <c r="E657" s="4" t="s">
        <v>1675</v>
      </c>
      <c r="F657" s="4" t="s">
        <v>1676</v>
      </c>
      <c r="G657" s="4" t="s">
        <v>1334</v>
      </c>
      <c r="H657" s="4" t="s">
        <v>1628</v>
      </c>
      <c r="I657" s="3">
        <v>4</v>
      </c>
      <c r="J657" s="29" t="str">
        <f t="shared" si="91"/>
        <v>0</v>
      </c>
      <c r="K657" s="54" t="str">
        <f t="shared" si="98"/>
        <v>1</v>
      </c>
      <c r="L657" s="69" t="str">
        <f t="shared" ref="L657:L669" si="99">IF(IFERROR(VLOOKUP(B657,DATA7,1,FALSE),),"1","0")</f>
        <v>0</v>
      </c>
      <c r="M657" s="74" t="str">
        <f t="shared" si="92"/>
        <v>1</v>
      </c>
      <c r="N657" s="29" t="str">
        <f t="shared" si="93"/>
        <v>0</v>
      </c>
      <c r="O657" s="61">
        <v>1</v>
      </c>
      <c r="P657" s="65">
        <v>1</v>
      </c>
      <c r="Q657" s="46">
        <f t="shared" si="97"/>
        <v>4</v>
      </c>
      <c r="R657" s="83" t="str">
        <f t="shared" si="96"/>
        <v>ผ่าน</v>
      </c>
      <c r="S657" s="3" t="s">
        <v>28</v>
      </c>
    </row>
    <row r="658" spans="1:19" ht="18" customHeight="1">
      <c r="A658" s="3">
        <v>656</v>
      </c>
      <c r="B658" s="3">
        <v>6311506124</v>
      </c>
      <c r="C658" s="4" t="s">
        <v>29</v>
      </c>
      <c r="D658" s="4" t="s">
        <v>1677</v>
      </c>
      <c r="E658" s="4" t="s">
        <v>1678</v>
      </c>
      <c r="F658" s="4" t="s">
        <v>365</v>
      </c>
      <c r="G658" s="4" t="s">
        <v>1334</v>
      </c>
      <c r="H658" s="4" t="s">
        <v>1628</v>
      </c>
      <c r="I658" s="3">
        <v>4</v>
      </c>
      <c r="J658" s="29" t="str">
        <f t="shared" si="91"/>
        <v>0</v>
      </c>
      <c r="K658" s="54" t="str">
        <f t="shared" si="98"/>
        <v>1</v>
      </c>
      <c r="L658" s="69" t="str">
        <f t="shared" si="99"/>
        <v>0</v>
      </c>
      <c r="M658" s="74" t="str">
        <f t="shared" si="92"/>
        <v>1</v>
      </c>
      <c r="N658" s="29" t="str">
        <f t="shared" si="93"/>
        <v>0</v>
      </c>
      <c r="O658" s="61">
        <v>1</v>
      </c>
      <c r="P658" s="65">
        <v>1</v>
      </c>
      <c r="Q658" s="46">
        <f t="shared" si="97"/>
        <v>4</v>
      </c>
      <c r="R658" s="83" t="str">
        <f t="shared" si="96"/>
        <v>ผ่าน</v>
      </c>
      <c r="S658" s="3" t="s">
        <v>28</v>
      </c>
    </row>
    <row r="659" spans="1:19" ht="18" customHeight="1">
      <c r="A659" s="3">
        <v>657</v>
      </c>
      <c r="B659" s="3">
        <v>6311506131</v>
      </c>
      <c r="C659" s="4" t="s">
        <v>22</v>
      </c>
      <c r="D659" s="4" t="s">
        <v>1679</v>
      </c>
      <c r="E659" s="4" t="s">
        <v>1680</v>
      </c>
      <c r="F659" s="4" t="s">
        <v>1681</v>
      </c>
      <c r="G659" s="4" t="s">
        <v>1334</v>
      </c>
      <c r="H659" s="4" t="s">
        <v>1628</v>
      </c>
      <c r="I659" s="3">
        <v>4</v>
      </c>
      <c r="J659" s="29" t="str">
        <f t="shared" si="91"/>
        <v>0</v>
      </c>
      <c r="K659" s="54" t="str">
        <f t="shared" si="98"/>
        <v>1</v>
      </c>
      <c r="L659" s="69" t="str">
        <f t="shared" si="99"/>
        <v>0</v>
      </c>
      <c r="M659" s="74" t="str">
        <f t="shared" si="92"/>
        <v>1</v>
      </c>
      <c r="N659" s="29" t="str">
        <f t="shared" si="93"/>
        <v>0</v>
      </c>
      <c r="O659" s="61">
        <v>1</v>
      </c>
      <c r="P659" s="65">
        <v>1</v>
      </c>
      <c r="Q659" s="46">
        <f t="shared" si="97"/>
        <v>4</v>
      </c>
      <c r="R659" s="83" t="str">
        <f t="shared" si="96"/>
        <v>ผ่าน</v>
      </c>
      <c r="S659" s="3" t="s">
        <v>28</v>
      </c>
    </row>
    <row r="660" spans="1:19" ht="18" customHeight="1">
      <c r="A660" s="3">
        <v>658</v>
      </c>
      <c r="B660" s="3">
        <v>6311506202</v>
      </c>
      <c r="C660" s="4" t="s">
        <v>29</v>
      </c>
      <c r="D660" s="4" t="s">
        <v>1682</v>
      </c>
      <c r="E660" s="4" t="s">
        <v>1683</v>
      </c>
      <c r="F660" s="4" t="s">
        <v>1684</v>
      </c>
      <c r="G660" s="4" t="s">
        <v>1334</v>
      </c>
      <c r="H660" s="4" t="s">
        <v>1628</v>
      </c>
      <c r="I660" s="3">
        <v>4</v>
      </c>
      <c r="J660" s="29" t="str">
        <f t="shared" si="91"/>
        <v>0</v>
      </c>
      <c r="K660" s="54" t="str">
        <f t="shared" si="98"/>
        <v>1</v>
      </c>
      <c r="L660" s="69" t="str">
        <f t="shared" si="99"/>
        <v>0</v>
      </c>
      <c r="M660" s="74" t="str">
        <f t="shared" si="92"/>
        <v>1</v>
      </c>
      <c r="N660" s="29" t="str">
        <f t="shared" si="93"/>
        <v>0</v>
      </c>
      <c r="O660" s="61">
        <v>1</v>
      </c>
      <c r="P660" s="65">
        <v>1</v>
      </c>
      <c r="Q660" s="46">
        <f t="shared" si="97"/>
        <v>4</v>
      </c>
      <c r="R660" s="83" t="str">
        <f t="shared" si="96"/>
        <v>ผ่าน</v>
      </c>
      <c r="S660" s="3" t="s">
        <v>28</v>
      </c>
    </row>
    <row r="661" spans="1:19" ht="18" customHeight="1">
      <c r="A661" s="3">
        <v>659</v>
      </c>
      <c r="B661" s="3">
        <v>6311506205</v>
      </c>
      <c r="C661" s="4" t="s">
        <v>29</v>
      </c>
      <c r="D661" s="4" t="s">
        <v>1685</v>
      </c>
      <c r="E661" s="4" t="s">
        <v>1686</v>
      </c>
      <c r="F661" s="4" t="s">
        <v>1687</v>
      </c>
      <c r="G661" s="4" t="s">
        <v>1334</v>
      </c>
      <c r="H661" s="4" t="s">
        <v>1628</v>
      </c>
      <c r="I661" s="3">
        <v>4</v>
      </c>
      <c r="J661" s="29" t="str">
        <f t="shared" si="91"/>
        <v>0</v>
      </c>
      <c r="K661" s="54" t="str">
        <f t="shared" si="98"/>
        <v>1</v>
      </c>
      <c r="L661" s="69" t="str">
        <f t="shared" si="99"/>
        <v>0</v>
      </c>
      <c r="M661" s="74" t="str">
        <f t="shared" si="92"/>
        <v>1</v>
      </c>
      <c r="N661" s="29" t="str">
        <f t="shared" si="93"/>
        <v>0</v>
      </c>
      <c r="O661" s="61">
        <v>1</v>
      </c>
      <c r="P661" s="65">
        <v>1</v>
      </c>
      <c r="Q661" s="46">
        <f t="shared" si="97"/>
        <v>4</v>
      </c>
      <c r="R661" s="83" t="str">
        <f t="shared" si="96"/>
        <v>ผ่าน</v>
      </c>
      <c r="S661" s="3" t="s">
        <v>28</v>
      </c>
    </row>
    <row r="662" spans="1:19" ht="18" customHeight="1">
      <c r="A662" s="3">
        <v>660</v>
      </c>
      <c r="B662" s="3">
        <v>6311506208</v>
      </c>
      <c r="C662" s="4" t="s">
        <v>29</v>
      </c>
      <c r="D662" s="4" t="s">
        <v>1688</v>
      </c>
      <c r="E662" s="4" t="s">
        <v>1689</v>
      </c>
      <c r="F662" s="4" t="s">
        <v>1690</v>
      </c>
      <c r="G662" s="4" t="s">
        <v>1334</v>
      </c>
      <c r="H662" s="4" t="s">
        <v>1628</v>
      </c>
      <c r="I662" s="3">
        <v>4</v>
      </c>
      <c r="J662" s="29" t="str">
        <f t="shared" si="91"/>
        <v>0</v>
      </c>
      <c r="K662" s="54" t="str">
        <f t="shared" si="98"/>
        <v>1</v>
      </c>
      <c r="L662" s="69" t="str">
        <f t="shared" si="99"/>
        <v>0</v>
      </c>
      <c r="M662" s="74" t="str">
        <f t="shared" si="92"/>
        <v>1</v>
      </c>
      <c r="N662" s="29" t="str">
        <f t="shared" si="93"/>
        <v>0</v>
      </c>
      <c r="O662" s="61">
        <v>1</v>
      </c>
      <c r="P662" s="65">
        <v>1</v>
      </c>
      <c r="Q662" s="46">
        <f t="shared" si="97"/>
        <v>4</v>
      </c>
      <c r="R662" s="83" t="str">
        <f t="shared" si="96"/>
        <v>ผ่าน</v>
      </c>
      <c r="S662" s="3" t="s">
        <v>28</v>
      </c>
    </row>
    <row r="663" spans="1:19" ht="18" customHeight="1">
      <c r="A663" s="3">
        <v>661</v>
      </c>
      <c r="B663" s="3">
        <v>6311506210</v>
      </c>
      <c r="C663" s="4" t="s">
        <v>29</v>
      </c>
      <c r="D663" s="4" t="s">
        <v>1691</v>
      </c>
      <c r="E663" s="4" t="s">
        <v>1692</v>
      </c>
      <c r="F663" s="4" t="s">
        <v>1693</v>
      </c>
      <c r="G663" s="4" t="s">
        <v>1334</v>
      </c>
      <c r="H663" s="4" t="s">
        <v>1628</v>
      </c>
      <c r="I663" s="3">
        <v>4</v>
      </c>
      <c r="J663" s="29" t="str">
        <f t="shared" si="91"/>
        <v>0</v>
      </c>
      <c r="K663" s="54" t="str">
        <f t="shared" si="98"/>
        <v>1</v>
      </c>
      <c r="L663" s="69" t="str">
        <f t="shared" si="99"/>
        <v>0</v>
      </c>
      <c r="M663" s="74" t="str">
        <f t="shared" si="92"/>
        <v>1</v>
      </c>
      <c r="N663" s="29" t="str">
        <f t="shared" si="93"/>
        <v>0</v>
      </c>
      <c r="O663" s="61">
        <v>1</v>
      </c>
      <c r="P663" s="65">
        <v>1</v>
      </c>
      <c r="Q663" s="46">
        <f t="shared" si="97"/>
        <v>4</v>
      </c>
      <c r="R663" s="83" t="str">
        <f t="shared" si="96"/>
        <v>ผ่าน</v>
      </c>
      <c r="S663" s="3" t="s">
        <v>28</v>
      </c>
    </row>
    <row r="664" spans="1:19" ht="18" customHeight="1">
      <c r="A664" s="3">
        <v>662</v>
      </c>
      <c r="B664" s="3">
        <v>6311506218</v>
      </c>
      <c r="C664" s="4" t="s">
        <v>29</v>
      </c>
      <c r="D664" s="4" t="s">
        <v>536</v>
      </c>
      <c r="E664" s="4" t="s">
        <v>1694</v>
      </c>
      <c r="F664" s="4" t="s">
        <v>86</v>
      </c>
      <c r="G664" s="4" t="s">
        <v>1334</v>
      </c>
      <c r="H664" s="4" t="s">
        <v>1628</v>
      </c>
      <c r="I664" s="3">
        <v>4</v>
      </c>
      <c r="J664" s="29" t="str">
        <f t="shared" si="91"/>
        <v>0</v>
      </c>
      <c r="K664" s="54" t="str">
        <f t="shared" si="98"/>
        <v>1</v>
      </c>
      <c r="L664" s="69" t="str">
        <f t="shared" si="99"/>
        <v>0</v>
      </c>
      <c r="M664" s="74" t="str">
        <f t="shared" si="92"/>
        <v>1</v>
      </c>
      <c r="N664" s="29" t="str">
        <f t="shared" si="93"/>
        <v>0</v>
      </c>
      <c r="O664" s="61">
        <v>1</v>
      </c>
      <c r="P664" s="65">
        <v>1</v>
      </c>
      <c r="Q664" s="46">
        <f t="shared" si="97"/>
        <v>4</v>
      </c>
      <c r="R664" s="83" t="str">
        <f t="shared" si="96"/>
        <v>ผ่าน</v>
      </c>
      <c r="S664" s="3" t="s">
        <v>28</v>
      </c>
    </row>
    <row r="665" spans="1:19" ht="18" customHeight="1">
      <c r="A665" s="3">
        <v>663</v>
      </c>
      <c r="B665" s="3">
        <v>6311506220</v>
      </c>
      <c r="C665" s="4" t="s">
        <v>29</v>
      </c>
      <c r="D665" s="4" t="s">
        <v>1695</v>
      </c>
      <c r="E665" s="4" t="s">
        <v>1696</v>
      </c>
      <c r="F665" s="4" t="s">
        <v>1697</v>
      </c>
      <c r="G665" s="4" t="s">
        <v>1334</v>
      </c>
      <c r="H665" s="4" t="s">
        <v>1628</v>
      </c>
      <c r="I665" s="3">
        <v>4</v>
      </c>
      <c r="J665" s="29" t="str">
        <f t="shared" si="91"/>
        <v>0</v>
      </c>
      <c r="K665" s="54" t="str">
        <f t="shared" si="98"/>
        <v>1</v>
      </c>
      <c r="L665" s="69" t="str">
        <f t="shared" si="99"/>
        <v>0</v>
      </c>
      <c r="M665" s="74" t="str">
        <f t="shared" si="92"/>
        <v>1</v>
      </c>
      <c r="N665" s="29" t="str">
        <f t="shared" si="93"/>
        <v>0</v>
      </c>
      <c r="O665" s="61">
        <v>1</v>
      </c>
      <c r="P665" s="65">
        <v>1</v>
      </c>
      <c r="Q665" s="46">
        <f t="shared" si="97"/>
        <v>4</v>
      </c>
      <c r="R665" s="83" t="str">
        <f t="shared" si="96"/>
        <v>ผ่าน</v>
      </c>
      <c r="S665" s="3" t="s">
        <v>28</v>
      </c>
    </row>
    <row r="666" spans="1:19" ht="18" customHeight="1">
      <c r="A666" s="3">
        <v>664</v>
      </c>
      <c r="B666" s="3">
        <v>6311506221</v>
      </c>
      <c r="C666" s="4" t="s">
        <v>29</v>
      </c>
      <c r="D666" s="4" t="s">
        <v>1698</v>
      </c>
      <c r="E666" s="4" t="s">
        <v>1699</v>
      </c>
      <c r="F666" s="4" t="s">
        <v>1700</v>
      </c>
      <c r="G666" s="4" t="s">
        <v>1334</v>
      </c>
      <c r="H666" s="4" t="s">
        <v>1628</v>
      </c>
      <c r="I666" s="3">
        <v>4</v>
      </c>
      <c r="J666" s="29" t="str">
        <f t="shared" si="91"/>
        <v>0</v>
      </c>
      <c r="K666" s="54" t="str">
        <f t="shared" si="98"/>
        <v>0</v>
      </c>
      <c r="L666" s="69" t="str">
        <f t="shared" si="99"/>
        <v>0</v>
      </c>
      <c r="M666" s="74" t="str">
        <f t="shared" si="92"/>
        <v>1</v>
      </c>
      <c r="N666" s="29" t="str">
        <f t="shared" si="93"/>
        <v>0</v>
      </c>
      <c r="O666" s="61">
        <v>1</v>
      </c>
      <c r="P666" s="65">
        <v>1</v>
      </c>
      <c r="Q666" s="46">
        <f t="shared" si="97"/>
        <v>3</v>
      </c>
      <c r="R666" s="83" t="str">
        <f t="shared" si="96"/>
        <v>ผ่าน</v>
      </c>
      <c r="S666" s="3" t="s">
        <v>28</v>
      </c>
    </row>
    <row r="667" spans="1:19" ht="18" customHeight="1">
      <c r="A667" s="3">
        <v>665</v>
      </c>
      <c r="B667" s="3">
        <v>6410059110</v>
      </c>
      <c r="C667" s="4" t="s">
        <v>29</v>
      </c>
      <c r="D667" s="4" t="s">
        <v>1701</v>
      </c>
      <c r="E667" s="4" t="s">
        <v>1702</v>
      </c>
      <c r="F667" s="4" t="s">
        <v>489</v>
      </c>
      <c r="G667" s="4" t="s">
        <v>1334</v>
      </c>
      <c r="H667" s="4" t="s">
        <v>1703</v>
      </c>
      <c r="I667" s="3">
        <v>3</v>
      </c>
      <c r="J667" s="29" t="str">
        <f t="shared" si="91"/>
        <v>0</v>
      </c>
      <c r="K667" s="54" t="str">
        <f t="shared" si="98"/>
        <v>0</v>
      </c>
      <c r="L667" s="69" t="str">
        <f t="shared" si="99"/>
        <v>1</v>
      </c>
      <c r="M667" s="74" t="str">
        <f t="shared" si="92"/>
        <v>0</v>
      </c>
      <c r="N667" s="29" t="str">
        <f t="shared" si="93"/>
        <v>1</v>
      </c>
      <c r="O667" s="61" t="str">
        <f t="shared" ca="1" si="94"/>
        <v>1</v>
      </c>
      <c r="P667" s="65" t="str">
        <f t="shared" si="95"/>
        <v>1</v>
      </c>
      <c r="Q667" s="46">
        <f t="shared" ca="1" si="97"/>
        <v>4</v>
      </c>
      <c r="R667" s="83" t="str">
        <f t="shared" ca="1" si="96"/>
        <v>ผ่าน</v>
      </c>
      <c r="S667" s="3" t="s">
        <v>28</v>
      </c>
    </row>
    <row r="668" spans="1:19" ht="18" customHeight="1">
      <c r="A668" s="3">
        <v>666</v>
      </c>
      <c r="B668" s="3">
        <v>6410059113</v>
      </c>
      <c r="C668" s="4" t="s">
        <v>29</v>
      </c>
      <c r="D668" s="4" t="s">
        <v>1704</v>
      </c>
      <c r="E668" s="4" t="s">
        <v>1705</v>
      </c>
      <c r="F668" s="4" t="s">
        <v>1290</v>
      </c>
      <c r="G668" s="4" t="s">
        <v>1334</v>
      </c>
      <c r="H668" s="4" t="s">
        <v>1703</v>
      </c>
      <c r="I668" s="3">
        <v>3</v>
      </c>
      <c r="J668" s="29" t="str">
        <f t="shared" si="91"/>
        <v>0</v>
      </c>
      <c r="K668" s="54" t="str">
        <f t="shared" si="98"/>
        <v>1</v>
      </c>
      <c r="L668" s="69" t="str">
        <f t="shared" si="99"/>
        <v>0</v>
      </c>
      <c r="M668" s="74" t="str">
        <f t="shared" si="92"/>
        <v>1</v>
      </c>
      <c r="N668" s="29" t="str">
        <f t="shared" si="93"/>
        <v>0</v>
      </c>
      <c r="O668" s="61" t="str">
        <f t="shared" ca="1" si="94"/>
        <v>1</v>
      </c>
      <c r="P668" s="65" t="str">
        <f t="shared" si="95"/>
        <v>1</v>
      </c>
      <c r="Q668" s="46">
        <f t="shared" ca="1" si="97"/>
        <v>4</v>
      </c>
      <c r="R668" s="83" t="str">
        <f t="shared" ca="1" si="96"/>
        <v>ผ่าน</v>
      </c>
      <c r="S668" s="3" t="s">
        <v>28</v>
      </c>
    </row>
    <row r="669" spans="1:19" ht="18" customHeight="1">
      <c r="A669" s="3">
        <v>667</v>
      </c>
      <c r="B669" s="3">
        <v>6312269134</v>
      </c>
      <c r="C669" s="4" t="s">
        <v>22</v>
      </c>
      <c r="D669" s="4" t="s">
        <v>1706</v>
      </c>
      <c r="E669" s="4" t="s">
        <v>1707</v>
      </c>
      <c r="F669" s="4" t="s">
        <v>1708</v>
      </c>
      <c r="G669" s="4" t="s">
        <v>1334</v>
      </c>
      <c r="H669" s="4" t="s">
        <v>1709</v>
      </c>
      <c r="I669" s="3">
        <v>4</v>
      </c>
      <c r="J669" s="29" t="str">
        <f t="shared" ref="J669" si="100">IF(IFERROR(VLOOKUP(B669,DATA,1,FALSE),),"1","0")</f>
        <v>1</v>
      </c>
      <c r="K669" s="54" t="str">
        <f t="shared" si="98"/>
        <v>1</v>
      </c>
      <c r="L669" s="69" t="str">
        <f t="shared" si="99"/>
        <v>0</v>
      </c>
      <c r="M669" s="74" t="str">
        <f t="shared" si="92"/>
        <v>1</v>
      </c>
      <c r="N669" s="29" t="str">
        <f t="shared" si="93"/>
        <v>0</v>
      </c>
      <c r="O669" s="61">
        <v>1</v>
      </c>
      <c r="P669" s="65">
        <v>1</v>
      </c>
      <c r="Q669" s="46">
        <f t="shared" si="97"/>
        <v>5</v>
      </c>
      <c r="R669" s="83" t="str">
        <f t="shared" si="96"/>
        <v>ผ่าน</v>
      </c>
      <c r="S669" s="4" t="s">
        <v>1710</v>
      </c>
    </row>
    <row r="670" spans="1:19" ht="18" customHeight="1">
      <c r="A670" s="7"/>
      <c r="B670" s="8"/>
      <c r="C670" s="7"/>
      <c r="D670" s="7"/>
      <c r="E670" s="7"/>
      <c r="F670" s="7"/>
      <c r="G670" s="7"/>
      <c r="H670" s="92" t="s">
        <v>1711</v>
      </c>
      <c r="I670" s="110"/>
      <c r="J670" s="1">
        <f>COUNTIF(J3:J669,"1")</f>
        <v>374</v>
      </c>
      <c r="K670" s="55">
        <f>COUNTIF(K3:K669,"1")</f>
        <v>484</v>
      </c>
      <c r="L670" s="70">
        <f t="shared" ref="K670:P670" si="101">COUNTIF(L3:L669,"1")</f>
        <v>97</v>
      </c>
      <c r="M670" s="75">
        <f t="shared" si="101"/>
        <v>392</v>
      </c>
      <c r="N670" s="1">
        <f t="shared" si="101"/>
        <v>136</v>
      </c>
      <c r="O670" s="62">
        <f t="shared" ca="1" si="101"/>
        <v>517</v>
      </c>
      <c r="P670" s="66">
        <f t="shared" si="101"/>
        <v>537</v>
      </c>
      <c r="Q670" s="3"/>
      <c r="R670" s="9" t="s">
        <v>1712</v>
      </c>
      <c r="S670" s="7"/>
    </row>
    <row r="671" spans="1:19" ht="18" customHeight="1">
      <c r="A671" s="7"/>
      <c r="B671" s="8"/>
      <c r="C671" s="7"/>
      <c r="D671" s="7"/>
      <c r="E671" s="7"/>
      <c r="F671" s="7"/>
      <c r="G671" s="7"/>
      <c r="H671" s="93" t="s">
        <v>1713</v>
      </c>
      <c r="I671" s="110"/>
      <c r="J671" s="1"/>
      <c r="K671" s="55"/>
      <c r="L671" s="70"/>
      <c r="M671" s="75"/>
      <c r="N671" s="1"/>
      <c r="O671" s="62"/>
      <c r="P671" s="66"/>
      <c r="Q671" s="3"/>
      <c r="R671" s="10" t="s">
        <v>1712</v>
      </c>
      <c r="S671" s="7"/>
    </row>
    <row r="672" spans="1:19" ht="18" customHeight="1">
      <c r="A672" s="7"/>
      <c r="B672" s="8"/>
      <c r="C672" s="7"/>
      <c r="D672" s="7"/>
      <c r="E672" s="7"/>
      <c r="F672" s="7"/>
      <c r="G672" s="7"/>
      <c r="H672" s="94" t="s">
        <v>1714</v>
      </c>
      <c r="I672" s="110"/>
      <c r="J672" s="1"/>
      <c r="K672" s="55"/>
      <c r="L672" s="70"/>
      <c r="M672" s="75"/>
      <c r="N672" s="1"/>
      <c r="O672" s="62"/>
      <c r="P672" s="66"/>
      <c r="Q672" s="3"/>
      <c r="R672" s="11" t="s">
        <v>1712</v>
      </c>
      <c r="S672" s="7"/>
    </row>
    <row r="673" spans="2:19" ht="18" customHeight="1">
      <c r="B673" s="12"/>
      <c r="I673" s="12"/>
      <c r="J673" s="12"/>
      <c r="K673" s="56"/>
      <c r="L673" s="71"/>
      <c r="M673" s="76"/>
      <c r="N673" s="12"/>
      <c r="O673" s="63"/>
      <c r="P673" s="67"/>
      <c r="S673" s="13"/>
    </row>
    <row r="674" spans="2:19" ht="18" customHeight="1">
      <c r="B674" s="12"/>
      <c r="I674" s="12"/>
      <c r="J674" s="12"/>
      <c r="K674" s="56"/>
      <c r="L674" s="71"/>
      <c r="M674" s="76"/>
      <c r="N674" s="12"/>
      <c r="O674" s="63"/>
      <c r="P674" s="67"/>
      <c r="Q674" s="14"/>
      <c r="R674" s="14"/>
      <c r="S674" s="13"/>
    </row>
    <row r="675" spans="2:19" ht="18" customHeight="1">
      <c r="B675" s="12"/>
      <c r="I675" s="12"/>
      <c r="J675" s="12"/>
      <c r="K675" s="56"/>
      <c r="L675" s="71"/>
      <c r="M675" s="76"/>
      <c r="N675" s="12"/>
      <c r="O675" s="63"/>
      <c r="P675" s="67"/>
      <c r="Q675" s="14"/>
      <c r="R675" s="14"/>
      <c r="S675" s="13"/>
    </row>
    <row r="676" spans="2:19" ht="18" customHeight="1">
      <c r="B676" s="12"/>
      <c r="I676" s="12"/>
      <c r="J676" s="12"/>
      <c r="K676" s="56"/>
      <c r="L676" s="71"/>
      <c r="M676" s="76"/>
      <c r="N676" s="12"/>
      <c r="O676" s="63"/>
      <c r="P676" s="67"/>
      <c r="Q676" s="14"/>
      <c r="R676" s="14"/>
      <c r="S676" s="13"/>
    </row>
    <row r="677" spans="2:19" ht="18" customHeight="1">
      <c r="B677" s="12"/>
      <c r="I677" s="12"/>
      <c r="J677" s="12"/>
      <c r="K677" s="56"/>
      <c r="L677" s="71"/>
      <c r="M677" s="76"/>
      <c r="N677" s="12"/>
      <c r="O677" s="63"/>
      <c r="P677" s="67"/>
      <c r="Q677" s="14"/>
      <c r="R677" s="14"/>
      <c r="S677" s="13"/>
    </row>
    <row r="678" spans="2:19" ht="18" customHeight="1">
      <c r="B678" s="12"/>
      <c r="I678" s="12"/>
      <c r="J678" s="12"/>
      <c r="K678" s="56"/>
      <c r="L678" s="71"/>
      <c r="M678" s="76"/>
      <c r="N678" s="12"/>
      <c r="O678" s="63"/>
      <c r="P678" s="67"/>
      <c r="Q678" s="14"/>
      <c r="R678" s="14"/>
      <c r="S678" s="13"/>
    </row>
    <row r="679" spans="2:19" ht="18" customHeight="1">
      <c r="B679" s="12"/>
      <c r="I679" s="12"/>
      <c r="J679" s="12"/>
      <c r="K679" s="56"/>
      <c r="L679" s="71"/>
      <c r="M679" s="76"/>
      <c r="N679" s="12"/>
      <c r="O679" s="63"/>
      <c r="P679" s="67"/>
      <c r="Q679" s="14"/>
      <c r="R679" s="14"/>
      <c r="S679" s="13"/>
    </row>
    <row r="680" spans="2:19" ht="18" customHeight="1">
      <c r="B680" s="12"/>
      <c r="I680" s="12"/>
      <c r="J680" s="12"/>
      <c r="K680" s="56"/>
      <c r="L680" s="71"/>
      <c r="M680" s="76"/>
      <c r="N680" s="12"/>
      <c r="O680" s="63"/>
      <c r="P680" s="67"/>
      <c r="Q680" s="14"/>
      <c r="R680" s="14"/>
      <c r="S680" s="13"/>
    </row>
    <row r="681" spans="2:19" ht="18" customHeight="1">
      <c r="B681" s="12"/>
      <c r="I681" s="12"/>
      <c r="J681" s="12"/>
      <c r="K681" s="56"/>
      <c r="L681" s="71"/>
      <c r="M681" s="76"/>
      <c r="N681" s="12"/>
      <c r="O681" s="63"/>
      <c r="P681" s="67"/>
      <c r="Q681" s="14"/>
      <c r="R681" s="14"/>
      <c r="S681" s="13"/>
    </row>
    <row r="682" spans="2:19" ht="18" customHeight="1">
      <c r="B682" s="12"/>
      <c r="I682" s="12"/>
      <c r="J682" s="12"/>
      <c r="K682" s="56"/>
      <c r="L682" s="71"/>
      <c r="M682" s="76"/>
      <c r="N682" s="12"/>
      <c r="O682" s="63"/>
      <c r="P682" s="67"/>
      <c r="Q682" s="14"/>
      <c r="R682" s="14"/>
      <c r="S682" s="13"/>
    </row>
    <row r="683" spans="2:19" ht="18" customHeight="1">
      <c r="B683" s="12"/>
      <c r="I683" s="12"/>
      <c r="J683" s="12"/>
      <c r="K683" s="56"/>
      <c r="L683" s="71"/>
      <c r="M683" s="76"/>
      <c r="N683" s="12"/>
      <c r="O683" s="63"/>
      <c r="P683" s="67"/>
      <c r="Q683" s="14"/>
      <c r="R683" s="14"/>
      <c r="S683" s="13"/>
    </row>
    <row r="684" spans="2:19" ht="18" customHeight="1">
      <c r="B684" s="12"/>
      <c r="I684" s="12"/>
      <c r="J684" s="12"/>
      <c r="K684" s="56"/>
      <c r="L684" s="71"/>
      <c r="M684" s="76"/>
      <c r="N684" s="12"/>
      <c r="O684" s="63"/>
      <c r="P684" s="67"/>
      <c r="Q684" s="14"/>
      <c r="R684" s="14"/>
      <c r="S684" s="13"/>
    </row>
    <row r="685" spans="2:19" ht="18" customHeight="1">
      <c r="B685" s="12"/>
      <c r="I685" s="12"/>
      <c r="J685" s="12"/>
      <c r="K685" s="56"/>
      <c r="L685" s="71"/>
      <c r="M685" s="76"/>
      <c r="N685" s="12"/>
      <c r="O685" s="63"/>
      <c r="P685" s="67"/>
      <c r="Q685" s="14"/>
      <c r="R685" s="14"/>
      <c r="S685" s="13"/>
    </row>
    <row r="686" spans="2:19" ht="18" customHeight="1">
      <c r="B686" s="12"/>
      <c r="I686" s="12"/>
      <c r="J686" s="12"/>
      <c r="K686" s="56"/>
      <c r="L686" s="71"/>
      <c r="M686" s="76"/>
      <c r="N686" s="12"/>
      <c r="O686" s="63"/>
      <c r="P686" s="67"/>
      <c r="Q686" s="14"/>
      <c r="R686" s="14"/>
      <c r="S686" s="13"/>
    </row>
    <row r="687" spans="2:19" ht="18" customHeight="1">
      <c r="B687" s="12"/>
      <c r="I687" s="12"/>
      <c r="J687" s="12"/>
      <c r="K687" s="56"/>
      <c r="L687" s="71"/>
      <c r="M687" s="76"/>
      <c r="N687" s="12"/>
      <c r="O687" s="63"/>
      <c r="P687" s="67"/>
      <c r="Q687" s="14"/>
      <c r="R687" s="14"/>
      <c r="S687" s="13"/>
    </row>
    <row r="688" spans="2:19" ht="18" customHeight="1">
      <c r="B688" s="12"/>
      <c r="I688" s="12"/>
      <c r="J688" s="12"/>
      <c r="K688" s="56"/>
      <c r="L688" s="71"/>
      <c r="M688" s="76"/>
      <c r="N688" s="12"/>
      <c r="O688" s="63"/>
      <c r="P688" s="67"/>
      <c r="Q688" s="14"/>
      <c r="R688" s="14"/>
      <c r="S688" s="13"/>
    </row>
    <row r="689" spans="2:19" ht="18" customHeight="1">
      <c r="B689" s="12"/>
      <c r="I689" s="12"/>
      <c r="J689" s="12"/>
      <c r="K689" s="56"/>
      <c r="L689" s="71"/>
      <c r="M689" s="76"/>
      <c r="N689" s="12"/>
      <c r="O689" s="63"/>
      <c r="P689" s="67"/>
      <c r="Q689" s="14"/>
      <c r="R689" s="14"/>
      <c r="S689" s="13"/>
    </row>
    <row r="690" spans="2:19" ht="18" customHeight="1">
      <c r="B690" s="12"/>
      <c r="I690" s="12"/>
      <c r="J690" s="12"/>
      <c r="K690" s="56"/>
      <c r="L690" s="71"/>
      <c r="M690" s="76"/>
      <c r="N690" s="12"/>
      <c r="O690" s="63"/>
      <c r="P690" s="67"/>
      <c r="Q690" s="14"/>
      <c r="R690" s="14"/>
      <c r="S690" s="13"/>
    </row>
    <row r="691" spans="2:19" ht="18" customHeight="1">
      <c r="B691" s="12"/>
      <c r="I691" s="12"/>
      <c r="J691" s="12"/>
      <c r="K691" s="56"/>
      <c r="L691" s="71"/>
      <c r="M691" s="76"/>
      <c r="N691" s="12"/>
      <c r="O691" s="63"/>
      <c r="P691" s="67"/>
      <c r="Q691" s="14"/>
      <c r="R691" s="14"/>
      <c r="S691" s="13"/>
    </row>
    <row r="692" spans="2:19" ht="18" customHeight="1">
      <c r="B692" s="12"/>
      <c r="I692" s="12"/>
      <c r="J692" s="12"/>
      <c r="K692" s="56"/>
      <c r="L692" s="71"/>
      <c r="M692" s="76"/>
      <c r="N692" s="12"/>
      <c r="O692" s="63"/>
      <c r="P692" s="67"/>
      <c r="Q692" s="14"/>
      <c r="R692" s="14"/>
      <c r="S692" s="13"/>
    </row>
    <row r="693" spans="2:19" ht="18" customHeight="1">
      <c r="B693" s="12"/>
      <c r="I693" s="12"/>
      <c r="J693" s="12"/>
      <c r="K693" s="56"/>
      <c r="L693" s="71"/>
      <c r="M693" s="76"/>
      <c r="N693" s="12"/>
      <c r="O693" s="63"/>
      <c r="P693" s="67"/>
      <c r="Q693" s="14"/>
      <c r="R693" s="14"/>
      <c r="S693" s="13"/>
    </row>
    <row r="694" spans="2:19" ht="18" customHeight="1">
      <c r="B694" s="12"/>
      <c r="I694" s="12"/>
      <c r="J694" s="12"/>
      <c r="K694" s="56"/>
      <c r="L694" s="71"/>
      <c r="M694" s="76"/>
      <c r="N694" s="12"/>
      <c r="O694" s="63"/>
      <c r="P694" s="67"/>
      <c r="Q694" s="14"/>
      <c r="R694" s="14"/>
      <c r="S694" s="13"/>
    </row>
    <row r="695" spans="2:19" ht="18" customHeight="1">
      <c r="B695" s="12"/>
      <c r="I695" s="12"/>
      <c r="J695" s="12"/>
      <c r="K695" s="56"/>
      <c r="L695" s="71"/>
      <c r="M695" s="76"/>
      <c r="N695" s="12"/>
      <c r="O695" s="63"/>
      <c r="P695" s="67"/>
      <c r="Q695" s="14"/>
      <c r="R695" s="14"/>
      <c r="S695" s="13"/>
    </row>
    <row r="696" spans="2:19" ht="18" customHeight="1">
      <c r="B696" s="12"/>
      <c r="I696" s="12"/>
      <c r="J696" s="12"/>
      <c r="K696" s="56"/>
      <c r="L696" s="71"/>
      <c r="M696" s="76"/>
      <c r="N696" s="12"/>
      <c r="O696" s="63"/>
      <c r="P696" s="67"/>
      <c r="Q696" s="14"/>
      <c r="R696" s="14"/>
      <c r="S696" s="13"/>
    </row>
    <row r="697" spans="2:19" ht="18" customHeight="1">
      <c r="B697" s="12"/>
      <c r="I697" s="12"/>
      <c r="J697" s="12"/>
      <c r="K697" s="56"/>
      <c r="L697" s="71"/>
      <c r="M697" s="76"/>
      <c r="N697" s="12"/>
      <c r="O697" s="63"/>
      <c r="P697" s="67"/>
      <c r="Q697" s="14"/>
      <c r="R697" s="14"/>
      <c r="S697" s="13"/>
    </row>
    <row r="698" spans="2:19" ht="18" customHeight="1">
      <c r="B698" s="12"/>
      <c r="I698" s="12"/>
      <c r="J698" s="12"/>
      <c r="K698" s="56"/>
      <c r="L698" s="71"/>
      <c r="M698" s="76"/>
      <c r="N698" s="12"/>
      <c r="O698" s="63"/>
      <c r="P698" s="67"/>
      <c r="Q698" s="14"/>
      <c r="R698" s="14"/>
      <c r="S698" s="13"/>
    </row>
    <row r="699" spans="2:19" ht="18" customHeight="1">
      <c r="B699" s="12"/>
      <c r="I699" s="12"/>
      <c r="J699" s="12"/>
      <c r="K699" s="56"/>
      <c r="L699" s="71"/>
      <c r="M699" s="76"/>
      <c r="N699" s="12"/>
      <c r="O699" s="63"/>
      <c r="P699" s="67"/>
      <c r="Q699" s="14"/>
      <c r="R699" s="14"/>
      <c r="S699" s="13"/>
    </row>
    <row r="700" spans="2:19" ht="18" customHeight="1">
      <c r="B700" s="12"/>
      <c r="I700" s="12"/>
      <c r="J700" s="12"/>
      <c r="K700" s="56"/>
      <c r="L700" s="71"/>
      <c r="M700" s="76"/>
      <c r="N700" s="12"/>
      <c r="O700" s="63"/>
      <c r="P700" s="67"/>
      <c r="Q700" s="14"/>
      <c r="R700" s="14"/>
      <c r="S700" s="13"/>
    </row>
    <row r="701" spans="2:19" ht="18" customHeight="1">
      <c r="B701" s="12"/>
      <c r="I701" s="12"/>
      <c r="J701" s="12"/>
      <c r="K701" s="56"/>
      <c r="L701" s="71"/>
      <c r="M701" s="76"/>
      <c r="N701" s="12"/>
      <c r="O701" s="63"/>
      <c r="P701" s="67"/>
      <c r="Q701" s="14"/>
      <c r="R701" s="14"/>
      <c r="S701" s="13"/>
    </row>
    <row r="702" spans="2:19" ht="18" customHeight="1">
      <c r="B702" s="12"/>
      <c r="I702" s="12"/>
      <c r="J702" s="12"/>
      <c r="K702" s="56"/>
      <c r="L702" s="71"/>
      <c r="M702" s="76"/>
      <c r="N702" s="12"/>
      <c r="O702" s="63"/>
      <c r="P702" s="67"/>
      <c r="Q702" s="14"/>
      <c r="R702" s="14"/>
      <c r="S702" s="13"/>
    </row>
    <row r="703" spans="2:19" ht="18" customHeight="1">
      <c r="B703" s="12"/>
      <c r="I703" s="12"/>
      <c r="J703" s="12"/>
      <c r="K703" s="56"/>
      <c r="L703" s="71"/>
      <c r="M703" s="76"/>
      <c r="N703" s="12"/>
      <c r="O703" s="63"/>
      <c r="P703" s="67"/>
      <c r="Q703" s="14"/>
      <c r="R703" s="14"/>
      <c r="S703" s="13"/>
    </row>
    <row r="704" spans="2:19" ht="18" customHeight="1">
      <c r="B704" s="12"/>
      <c r="I704" s="12"/>
      <c r="J704" s="12"/>
      <c r="K704" s="56"/>
      <c r="L704" s="71"/>
      <c r="M704" s="76"/>
      <c r="N704" s="12"/>
      <c r="O704" s="63"/>
      <c r="P704" s="67"/>
      <c r="Q704" s="14"/>
      <c r="R704" s="14"/>
      <c r="S704" s="13"/>
    </row>
    <row r="705" spans="2:19" ht="18" customHeight="1">
      <c r="B705" s="12"/>
      <c r="I705" s="12"/>
      <c r="J705" s="12"/>
      <c r="K705" s="56"/>
      <c r="L705" s="71"/>
      <c r="M705" s="76"/>
      <c r="N705" s="12"/>
      <c r="O705" s="63"/>
      <c r="P705" s="67"/>
      <c r="Q705" s="14"/>
      <c r="R705" s="14"/>
      <c r="S705" s="13"/>
    </row>
    <row r="706" spans="2:19" ht="18" customHeight="1">
      <c r="B706" s="12"/>
      <c r="I706" s="12"/>
      <c r="J706" s="12"/>
      <c r="K706" s="56"/>
      <c r="L706" s="71"/>
      <c r="M706" s="76"/>
      <c r="N706" s="12"/>
      <c r="O706" s="63"/>
      <c r="P706" s="67"/>
      <c r="Q706" s="14"/>
      <c r="R706" s="14"/>
      <c r="S706" s="13"/>
    </row>
    <row r="707" spans="2:19" ht="18" customHeight="1">
      <c r="B707" s="12"/>
      <c r="I707" s="12"/>
      <c r="J707" s="12"/>
      <c r="K707" s="56"/>
      <c r="L707" s="71"/>
      <c r="M707" s="76"/>
      <c r="N707" s="12"/>
      <c r="O707" s="63"/>
      <c r="P707" s="67"/>
      <c r="Q707" s="14"/>
      <c r="R707" s="14"/>
      <c r="S707" s="13"/>
    </row>
    <row r="708" spans="2:19" ht="18" customHeight="1">
      <c r="B708" s="12"/>
      <c r="I708" s="12"/>
      <c r="J708" s="12"/>
      <c r="K708" s="56"/>
      <c r="L708" s="71"/>
      <c r="M708" s="76"/>
      <c r="N708" s="12"/>
      <c r="O708" s="63"/>
      <c r="P708" s="67"/>
      <c r="Q708" s="14"/>
      <c r="R708" s="14"/>
      <c r="S708" s="13"/>
    </row>
    <row r="709" spans="2:19" ht="18" customHeight="1">
      <c r="B709" s="12"/>
      <c r="I709" s="12"/>
      <c r="J709" s="12"/>
      <c r="K709" s="56"/>
      <c r="L709" s="71"/>
      <c r="M709" s="76"/>
      <c r="N709" s="12"/>
      <c r="O709" s="63"/>
      <c r="P709" s="67"/>
      <c r="Q709" s="14"/>
      <c r="R709" s="14"/>
      <c r="S709" s="13"/>
    </row>
    <row r="710" spans="2:19" ht="18" customHeight="1">
      <c r="B710" s="12"/>
      <c r="I710" s="12"/>
      <c r="J710" s="12"/>
      <c r="K710" s="56"/>
      <c r="L710" s="71"/>
      <c r="M710" s="76"/>
      <c r="N710" s="12"/>
      <c r="O710" s="63"/>
      <c r="P710" s="67"/>
      <c r="Q710" s="14"/>
      <c r="R710" s="14"/>
      <c r="S710" s="13"/>
    </row>
    <row r="711" spans="2:19" ht="18" customHeight="1">
      <c r="B711" s="12"/>
      <c r="I711" s="12"/>
      <c r="J711" s="12"/>
      <c r="K711" s="56"/>
      <c r="L711" s="71"/>
      <c r="M711" s="76"/>
      <c r="N711" s="12"/>
      <c r="O711" s="63"/>
      <c r="P711" s="67"/>
      <c r="Q711" s="14"/>
      <c r="R711" s="14"/>
      <c r="S711" s="13"/>
    </row>
    <row r="712" spans="2:19" ht="18" customHeight="1">
      <c r="B712" s="12"/>
      <c r="I712" s="12"/>
      <c r="J712" s="12"/>
      <c r="K712" s="56"/>
      <c r="L712" s="71"/>
      <c r="M712" s="76"/>
      <c r="N712" s="12"/>
      <c r="O712" s="63"/>
      <c r="P712" s="67"/>
      <c r="Q712" s="14"/>
      <c r="R712" s="14"/>
      <c r="S712" s="13"/>
    </row>
    <row r="713" spans="2:19" ht="18" customHeight="1">
      <c r="B713" s="12"/>
      <c r="I713" s="12"/>
      <c r="J713" s="12"/>
      <c r="K713" s="56"/>
      <c r="L713" s="71"/>
      <c r="M713" s="76"/>
      <c r="N713" s="12"/>
      <c r="O713" s="63"/>
      <c r="P713" s="67"/>
      <c r="Q713" s="14"/>
      <c r="R713" s="14"/>
      <c r="S713" s="13"/>
    </row>
    <row r="714" spans="2:19" ht="18" customHeight="1">
      <c r="B714" s="12"/>
      <c r="I714" s="12"/>
      <c r="J714" s="12"/>
      <c r="K714" s="56"/>
      <c r="L714" s="71"/>
      <c r="M714" s="76"/>
      <c r="N714" s="12"/>
      <c r="O714" s="63"/>
      <c r="P714" s="67"/>
      <c r="Q714" s="14"/>
      <c r="R714" s="14"/>
      <c r="S714" s="13"/>
    </row>
    <row r="715" spans="2:19" ht="18" customHeight="1">
      <c r="B715" s="12"/>
      <c r="I715" s="12"/>
      <c r="J715" s="12"/>
      <c r="K715" s="56"/>
      <c r="L715" s="71"/>
      <c r="M715" s="76"/>
      <c r="N715" s="12"/>
      <c r="O715" s="63"/>
      <c r="P715" s="67"/>
      <c r="Q715" s="14"/>
      <c r="R715" s="14"/>
      <c r="S715" s="13"/>
    </row>
    <row r="716" spans="2:19" ht="18" customHeight="1">
      <c r="B716" s="12"/>
      <c r="I716" s="12"/>
      <c r="J716" s="12"/>
      <c r="K716" s="56"/>
      <c r="L716" s="71"/>
      <c r="M716" s="76"/>
      <c r="N716" s="12"/>
      <c r="O716" s="63"/>
      <c r="P716" s="67"/>
      <c r="Q716" s="14"/>
      <c r="R716" s="14"/>
      <c r="S716" s="13"/>
    </row>
    <row r="717" spans="2:19" ht="18" customHeight="1">
      <c r="B717" s="12"/>
      <c r="I717" s="12"/>
      <c r="J717" s="12"/>
      <c r="K717" s="56"/>
      <c r="L717" s="71"/>
      <c r="M717" s="76"/>
      <c r="N717" s="12"/>
      <c r="O717" s="63"/>
      <c r="P717" s="67"/>
      <c r="Q717" s="14"/>
      <c r="R717" s="14"/>
      <c r="S717" s="13"/>
    </row>
    <row r="718" spans="2:19" ht="18" customHeight="1">
      <c r="B718" s="12"/>
      <c r="I718" s="12"/>
      <c r="J718" s="12"/>
      <c r="K718" s="56"/>
      <c r="L718" s="71"/>
      <c r="M718" s="76"/>
      <c r="N718" s="12"/>
      <c r="O718" s="63"/>
      <c r="P718" s="67"/>
      <c r="Q718" s="14"/>
      <c r="R718" s="14"/>
      <c r="S718" s="13"/>
    </row>
    <row r="719" spans="2:19" ht="18" customHeight="1">
      <c r="B719" s="12"/>
      <c r="I719" s="12"/>
      <c r="J719" s="12"/>
      <c r="K719" s="56"/>
      <c r="L719" s="71"/>
      <c r="M719" s="76"/>
      <c r="N719" s="12"/>
      <c r="O719" s="63"/>
      <c r="P719" s="67"/>
      <c r="Q719" s="14"/>
      <c r="R719" s="14"/>
      <c r="S719" s="13"/>
    </row>
    <row r="720" spans="2:19" ht="18" customHeight="1">
      <c r="B720" s="12"/>
      <c r="I720" s="12"/>
      <c r="J720" s="12"/>
      <c r="K720" s="56"/>
      <c r="L720" s="71"/>
      <c r="M720" s="76"/>
      <c r="N720" s="12"/>
      <c r="O720" s="63"/>
      <c r="P720" s="67"/>
      <c r="Q720" s="14"/>
      <c r="R720" s="14"/>
      <c r="S720" s="13"/>
    </row>
    <row r="721" spans="2:19" ht="18" customHeight="1">
      <c r="B721" s="12"/>
      <c r="I721" s="12"/>
      <c r="J721" s="12"/>
      <c r="K721" s="56"/>
      <c r="L721" s="71"/>
      <c r="M721" s="76"/>
      <c r="N721" s="12"/>
      <c r="O721" s="63"/>
      <c r="P721" s="67"/>
      <c r="Q721" s="14"/>
      <c r="R721" s="14"/>
      <c r="S721" s="13"/>
    </row>
    <row r="722" spans="2:19" ht="18" customHeight="1">
      <c r="B722" s="12"/>
      <c r="I722" s="12"/>
      <c r="J722" s="12"/>
      <c r="K722" s="56"/>
      <c r="L722" s="71"/>
      <c r="M722" s="76"/>
      <c r="N722" s="12"/>
      <c r="O722" s="63"/>
      <c r="P722" s="67"/>
      <c r="Q722" s="14"/>
      <c r="R722" s="14"/>
      <c r="S722" s="13"/>
    </row>
    <row r="723" spans="2:19" ht="18" customHeight="1">
      <c r="B723" s="12"/>
      <c r="I723" s="12"/>
      <c r="J723" s="12"/>
      <c r="K723" s="56"/>
      <c r="L723" s="71"/>
      <c r="M723" s="76"/>
      <c r="N723" s="12"/>
      <c r="O723" s="63"/>
      <c r="P723" s="67"/>
      <c r="Q723" s="14"/>
      <c r="R723" s="14"/>
      <c r="S723" s="13"/>
    </row>
    <row r="724" spans="2:19" ht="18" customHeight="1">
      <c r="B724" s="12"/>
      <c r="I724" s="12"/>
      <c r="J724" s="12"/>
      <c r="K724" s="56"/>
      <c r="L724" s="71"/>
      <c r="M724" s="76"/>
      <c r="N724" s="12"/>
      <c r="O724" s="63"/>
      <c r="P724" s="67"/>
      <c r="Q724" s="14"/>
      <c r="R724" s="14"/>
      <c r="S724" s="13"/>
    </row>
    <row r="725" spans="2:19" ht="18" customHeight="1">
      <c r="B725" s="12"/>
      <c r="I725" s="12"/>
      <c r="J725" s="12"/>
      <c r="K725" s="56"/>
      <c r="L725" s="71"/>
      <c r="M725" s="76"/>
      <c r="N725" s="12"/>
      <c r="O725" s="63"/>
      <c r="P725" s="67"/>
      <c r="Q725" s="14"/>
      <c r="R725" s="14"/>
      <c r="S725" s="13"/>
    </row>
    <row r="726" spans="2:19" ht="18" customHeight="1">
      <c r="B726" s="12"/>
      <c r="I726" s="12"/>
      <c r="J726" s="12"/>
      <c r="K726" s="56"/>
      <c r="L726" s="71"/>
      <c r="M726" s="76"/>
      <c r="N726" s="12"/>
      <c r="O726" s="63"/>
      <c r="P726" s="67"/>
      <c r="Q726" s="14"/>
      <c r="R726" s="14"/>
      <c r="S726" s="13"/>
    </row>
    <row r="727" spans="2:19" ht="18" customHeight="1">
      <c r="B727" s="12"/>
      <c r="I727" s="12"/>
      <c r="J727" s="12"/>
      <c r="K727" s="56"/>
      <c r="L727" s="71"/>
      <c r="M727" s="76"/>
      <c r="N727" s="12"/>
      <c r="O727" s="63"/>
      <c r="P727" s="67"/>
      <c r="Q727" s="14"/>
      <c r="R727" s="14"/>
      <c r="S727" s="13"/>
    </row>
    <row r="728" spans="2:19" ht="18" customHeight="1">
      <c r="B728" s="12"/>
      <c r="I728" s="12"/>
      <c r="J728" s="12"/>
      <c r="K728" s="56"/>
      <c r="L728" s="71"/>
      <c r="M728" s="76"/>
      <c r="N728" s="12"/>
      <c r="O728" s="63"/>
      <c r="P728" s="67"/>
      <c r="Q728" s="14"/>
      <c r="R728" s="14"/>
      <c r="S728" s="13"/>
    </row>
    <row r="729" spans="2:19" ht="18" customHeight="1">
      <c r="B729" s="12"/>
      <c r="I729" s="12"/>
      <c r="J729" s="12"/>
      <c r="K729" s="56"/>
      <c r="L729" s="71"/>
      <c r="M729" s="76"/>
      <c r="N729" s="12"/>
      <c r="O729" s="63"/>
      <c r="P729" s="67"/>
      <c r="Q729" s="14"/>
      <c r="R729" s="14"/>
      <c r="S729" s="13"/>
    </row>
    <row r="730" spans="2:19" ht="18" customHeight="1">
      <c r="B730" s="12"/>
      <c r="I730" s="12"/>
      <c r="J730" s="12"/>
      <c r="K730" s="56"/>
      <c r="L730" s="71"/>
      <c r="M730" s="76"/>
      <c r="N730" s="12"/>
      <c r="O730" s="63"/>
      <c r="P730" s="67"/>
      <c r="Q730" s="14"/>
      <c r="R730" s="14"/>
      <c r="S730" s="13"/>
    </row>
    <row r="731" spans="2:19" ht="18" customHeight="1">
      <c r="B731" s="12"/>
      <c r="I731" s="12"/>
      <c r="J731" s="12"/>
      <c r="K731" s="56"/>
      <c r="L731" s="71"/>
      <c r="M731" s="76"/>
      <c r="N731" s="12"/>
      <c r="O731" s="63"/>
      <c r="P731" s="67"/>
      <c r="Q731" s="14"/>
      <c r="R731" s="14"/>
      <c r="S731" s="13"/>
    </row>
    <row r="732" spans="2:19" ht="18" customHeight="1">
      <c r="B732" s="12"/>
      <c r="I732" s="12"/>
      <c r="J732" s="12"/>
      <c r="K732" s="56"/>
      <c r="L732" s="71"/>
      <c r="M732" s="76"/>
      <c r="N732" s="12"/>
      <c r="O732" s="63"/>
      <c r="P732" s="67"/>
      <c r="Q732" s="14"/>
      <c r="R732" s="14"/>
      <c r="S732" s="13"/>
    </row>
    <row r="733" spans="2:19" ht="18" customHeight="1">
      <c r="B733" s="12"/>
      <c r="I733" s="12"/>
      <c r="J733" s="12"/>
      <c r="K733" s="56"/>
      <c r="L733" s="71"/>
      <c r="M733" s="76"/>
      <c r="N733" s="12"/>
      <c r="O733" s="63"/>
      <c r="P733" s="67"/>
      <c r="Q733" s="14"/>
      <c r="R733" s="14"/>
      <c r="S733" s="13"/>
    </row>
    <row r="734" spans="2:19" ht="18" customHeight="1">
      <c r="B734" s="12"/>
      <c r="I734" s="12"/>
      <c r="J734" s="12"/>
      <c r="K734" s="56"/>
      <c r="L734" s="71"/>
      <c r="M734" s="76"/>
      <c r="N734" s="12"/>
      <c r="O734" s="63"/>
      <c r="P734" s="67"/>
      <c r="Q734" s="14"/>
      <c r="R734" s="14"/>
      <c r="S734" s="13"/>
    </row>
    <row r="735" spans="2:19" ht="18" customHeight="1">
      <c r="B735" s="12"/>
      <c r="I735" s="12"/>
      <c r="J735" s="12"/>
      <c r="K735" s="56"/>
      <c r="L735" s="71"/>
      <c r="M735" s="76"/>
      <c r="N735" s="12"/>
      <c r="O735" s="63"/>
      <c r="P735" s="67"/>
      <c r="Q735" s="14"/>
      <c r="R735" s="14"/>
      <c r="S735" s="13"/>
    </row>
    <row r="736" spans="2:19" ht="18" customHeight="1">
      <c r="B736" s="12"/>
      <c r="I736" s="12"/>
      <c r="J736" s="12"/>
      <c r="K736" s="56"/>
      <c r="L736" s="71"/>
      <c r="M736" s="76"/>
      <c r="N736" s="12"/>
      <c r="O736" s="63"/>
      <c r="P736" s="67"/>
      <c r="Q736" s="14"/>
      <c r="R736" s="14"/>
      <c r="S736" s="13"/>
    </row>
    <row r="737" spans="2:19" ht="18" customHeight="1">
      <c r="B737" s="12"/>
      <c r="I737" s="12"/>
      <c r="J737" s="12"/>
      <c r="K737" s="56"/>
      <c r="L737" s="71"/>
      <c r="M737" s="76"/>
      <c r="N737" s="12"/>
      <c r="O737" s="63"/>
      <c r="P737" s="67"/>
      <c r="Q737" s="14"/>
      <c r="R737" s="14"/>
      <c r="S737" s="13"/>
    </row>
    <row r="738" spans="2:19" ht="18" customHeight="1">
      <c r="B738" s="12"/>
      <c r="I738" s="12"/>
      <c r="J738" s="12"/>
      <c r="K738" s="56"/>
      <c r="L738" s="71"/>
      <c r="M738" s="76"/>
      <c r="N738" s="12"/>
      <c r="O738" s="63"/>
      <c r="P738" s="67"/>
      <c r="Q738" s="14"/>
      <c r="R738" s="14"/>
      <c r="S738" s="13"/>
    </row>
    <row r="739" spans="2:19" ht="18" customHeight="1">
      <c r="B739" s="12"/>
      <c r="I739" s="12"/>
      <c r="J739" s="12"/>
      <c r="K739" s="56"/>
      <c r="L739" s="71"/>
      <c r="M739" s="76"/>
      <c r="N739" s="12"/>
      <c r="O739" s="63"/>
      <c r="P739" s="67"/>
      <c r="Q739" s="14"/>
      <c r="R739" s="14"/>
      <c r="S739" s="13"/>
    </row>
    <row r="740" spans="2:19" ht="18" customHeight="1">
      <c r="B740" s="12"/>
      <c r="I740" s="12"/>
      <c r="J740" s="12"/>
      <c r="K740" s="56"/>
      <c r="L740" s="71"/>
      <c r="M740" s="76"/>
      <c r="N740" s="12"/>
      <c r="O740" s="63"/>
      <c r="P740" s="67"/>
      <c r="Q740" s="14"/>
      <c r="R740" s="14"/>
      <c r="S740" s="13"/>
    </row>
    <row r="741" spans="2:19" ht="18" customHeight="1">
      <c r="B741" s="12"/>
      <c r="I741" s="12"/>
      <c r="J741" s="12"/>
      <c r="K741" s="56"/>
      <c r="L741" s="71"/>
      <c r="M741" s="76"/>
      <c r="N741" s="12"/>
      <c r="O741" s="63"/>
      <c r="P741" s="67"/>
      <c r="Q741" s="14"/>
      <c r="R741" s="14"/>
      <c r="S741" s="13"/>
    </row>
    <row r="742" spans="2:19" ht="18" customHeight="1">
      <c r="B742" s="12"/>
      <c r="I742" s="12"/>
      <c r="J742" s="12"/>
      <c r="K742" s="56"/>
      <c r="L742" s="71"/>
      <c r="M742" s="76"/>
      <c r="N742" s="12"/>
      <c r="O742" s="63"/>
      <c r="P742" s="67"/>
      <c r="Q742" s="14"/>
      <c r="R742" s="14"/>
      <c r="S742" s="13"/>
    </row>
    <row r="743" spans="2:19" ht="18" customHeight="1">
      <c r="B743" s="12"/>
      <c r="I743" s="12"/>
      <c r="J743" s="12"/>
      <c r="K743" s="56"/>
      <c r="L743" s="71"/>
      <c r="M743" s="76"/>
      <c r="N743" s="12"/>
      <c r="O743" s="63"/>
      <c r="P743" s="67"/>
      <c r="Q743" s="14"/>
      <c r="R743" s="14"/>
      <c r="S743" s="13"/>
    </row>
    <row r="744" spans="2:19" ht="18" customHeight="1">
      <c r="B744" s="12"/>
      <c r="I744" s="12"/>
      <c r="J744" s="12"/>
      <c r="K744" s="56"/>
      <c r="L744" s="71"/>
      <c r="M744" s="76"/>
      <c r="N744" s="12"/>
      <c r="O744" s="63"/>
      <c r="P744" s="67"/>
      <c r="Q744" s="14"/>
      <c r="R744" s="14"/>
      <c r="S744" s="13"/>
    </row>
    <row r="745" spans="2:19" ht="18" customHeight="1">
      <c r="B745" s="12"/>
      <c r="I745" s="12"/>
      <c r="J745" s="12"/>
      <c r="K745" s="56"/>
      <c r="L745" s="71"/>
      <c r="M745" s="76"/>
      <c r="N745" s="12"/>
      <c r="O745" s="63"/>
      <c r="P745" s="67"/>
      <c r="Q745" s="14"/>
      <c r="R745" s="14"/>
      <c r="S745" s="13"/>
    </row>
    <row r="746" spans="2:19" ht="18" customHeight="1">
      <c r="B746" s="12"/>
      <c r="I746" s="12"/>
      <c r="J746" s="12"/>
      <c r="K746" s="56"/>
      <c r="L746" s="71"/>
      <c r="M746" s="76"/>
      <c r="N746" s="12"/>
      <c r="O746" s="63"/>
      <c r="P746" s="67"/>
      <c r="Q746" s="14"/>
      <c r="R746" s="14"/>
      <c r="S746" s="13"/>
    </row>
    <row r="747" spans="2:19" ht="18" customHeight="1">
      <c r="B747" s="12"/>
      <c r="I747" s="12"/>
      <c r="J747" s="12"/>
      <c r="K747" s="56"/>
      <c r="L747" s="71"/>
      <c r="M747" s="76"/>
      <c r="N747" s="12"/>
      <c r="O747" s="63"/>
      <c r="P747" s="67"/>
      <c r="Q747" s="14"/>
      <c r="R747" s="14"/>
      <c r="S747" s="13"/>
    </row>
    <row r="748" spans="2:19" ht="18" customHeight="1">
      <c r="B748" s="12"/>
      <c r="I748" s="12"/>
      <c r="J748" s="12"/>
      <c r="K748" s="56"/>
      <c r="L748" s="71"/>
      <c r="M748" s="76"/>
      <c r="N748" s="12"/>
      <c r="O748" s="63"/>
      <c r="P748" s="67"/>
      <c r="Q748" s="14"/>
      <c r="R748" s="14"/>
      <c r="S748" s="13"/>
    </row>
    <row r="749" spans="2:19" ht="18" customHeight="1">
      <c r="B749" s="12"/>
      <c r="I749" s="12"/>
      <c r="J749" s="12"/>
      <c r="K749" s="56"/>
      <c r="L749" s="71"/>
      <c r="M749" s="76"/>
      <c r="N749" s="12"/>
      <c r="O749" s="63"/>
      <c r="P749" s="67"/>
      <c r="Q749" s="14"/>
      <c r="R749" s="14"/>
      <c r="S749" s="13"/>
    </row>
    <row r="750" spans="2:19" ht="18" customHeight="1">
      <c r="B750" s="12"/>
      <c r="I750" s="12"/>
      <c r="J750" s="12"/>
      <c r="K750" s="56"/>
      <c r="L750" s="71"/>
      <c r="M750" s="76"/>
      <c r="N750" s="12"/>
      <c r="O750" s="63"/>
      <c r="P750" s="67"/>
      <c r="Q750" s="14"/>
      <c r="R750" s="14"/>
      <c r="S750" s="13"/>
    </row>
    <row r="751" spans="2:19" ht="18" customHeight="1">
      <c r="B751" s="12"/>
      <c r="I751" s="12"/>
      <c r="J751" s="12"/>
      <c r="K751" s="56"/>
      <c r="L751" s="71"/>
      <c r="M751" s="76"/>
      <c r="N751" s="12"/>
      <c r="O751" s="63"/>
      <c r="P751" s="67"/>
      <c r="Q751" s="14"/>
      <c r="R751" s="14"/>
      <c r="S751" s="13"/>
    </row>
    <row r="752" spans="2:19" ht="18" customHeight="1">
      <c r="B752" s="12"/>
      <c r="I752" s="12"/>
      <c r="J752" s="12"/>
      <c r="K752" s="56"/>
      <c r="L752" s="71"/>
      <c r="M752" s="76"/>
      <c r="N752" s="12"/>
      <c r="O752" s="63"/>
      <c r="P752" s="67"/>
      <c r="Q752" s="14"/>
      <c r="R752" s="14"/>
      <c r="S752" s="13"/>
    </row>
    <row r="753" spans="2:19" ht="18" customHeight="1">
      <c r="B753" s="12"/>
      <c r="I753" s="12"/>
      <c r="J753" s="12"/>
      <c r="K753" s="56"/>
      <c r="L753" s="71"/>
      <c r="M753" s="76"/>
      <c r="N753" s="12"/>
      <c r="O753" s="63"/>
      <c r="P753" s="67"/>
      <c r="Q753" s="14"/>
      <c r="R753" s="14"/>
      <c r="S753" s="13"/>
    </row>
    <row r="754" spans="2:19" ht="18" customHeight="1">
      <c r="B754" s="12"/>
      <c r="I754" s="12"/>
      <c r="J754" s="12"/>
      <c r="K754" s="56"/>
      <c r="L754" s="71"/>
      <c r="M754" s="76"/>
      <c r="N754" s="12"/>
      <c r="O754" s="63"/>
      <c r="P754" s="67"/>
      <c r="Q754" s="14"/>
      <c r="R754" s="14"/>
      <c r="S754" s="13"/>
    </row>
    <row r="755" spans="2:19" ht="18" customHeight="1">
      <c r="B755" s="12"/>
      <c r="I755" s="12"/>
      <c r="J755" s="12"/>
      <c r="K755" s="56"/>
      <c r="L755" s="71"/>
      <c r="M755" s="76"/>
      <c r="N755" s="12"/>
      <c r="O755" s="63"/>
      <c r="P755" s="67"/>
      <c r="Q755" s="14"/>
      <c r="R755" s="14"/>
      <c r="S755" s="13"/>
    </row>
    <row r="756" spans="2:19" ht="18" customHeight="1">
      <c r="B756" s="12"/>
      <c r="I756" s="12"/>
      <c r="J756" s="12"/>
      <c r="K756" s="56"/>
      <c r="L756" s="71"/>
      <c r="M756" s="76"/>
      <c r="N756" s="12"/>
      <c r="O756" s="63"/>
      <c r="P756" s="67"/>
      <c r="Q756" s="14"/>
      <c r="R756" s="14"/>
      <c r="S756" s="13"/>
    </row>
    <row r="757" spans="2:19" ht="18" customHeight="1">
      <c r="B757" s="12"/>
      <c r="I757" s="12"/>
      <c r="J757" s="12"/>
      <c r="K757" s="56"/>
      <c r="L757" s="71"/>
      <c r="M757" s="76"/>
      <c r="N757" s="12"/>
      <c r="O757" s="63"/>
      <c r="P757" s="67"/>
      <c r="Q757" s="14"/>
      <c r="R757" s="14"/>
      <c r="S757" s="13"/>
    </row>
    <row r="758" spans="2:19" ht="18" customHeight="1">
      <c r="B758" s="12"/>
      <c r="I758" s="12"/>
      <c r="J758" s="12"/>
      <c r="K758" s="56"/>
      <c r="L758" s="71"/>
      <c r="M758" s="76"/>
      <c r="N758" s="12"/>
      <c r="O758" s="63"/>
      <c r="P758" s="67"/>
      <c r="Q758" s="14"/>
      <c r="R758" s="14"/>
      <c r="S758" s="13"/>
    </row>
    <row r="759" spans="2:19" ht="18" customHeight="1">
      <c r="B759" s="12"/>
      <c r="I759" s="12"/>
      <c r="J759" s="12"/>
      <c r="K759" s="56"/>
      <c r="L759" s="71"/>
      <c r="M759" s="76"/>
      <c r="N759" s="12"/>
      <c r="O759" s="63"/>
      <c r="P759" s="67"/>
      <c r="Q759" s="14"/>
      <c r="R759" s="14"/>
      <c r="S759" s="13"/>
    </row>
    <row r="760" spans="2:19" ht="18" customHeight="1">
      <c r="B760" s="12"/>
      <c r="I760" s="12"/>
      <c r="J760" s="12"/>
      <c r="K760" s="56"/>
      <c r="L760" s="71"/>
      <c r="M760" s="76"/>
      <c r="N760" s="12"/>
      <c r="O760" s="63"/>
      <c r="P760" s="67"/>
      <c r="Q760" s="14"/>
      <c r="R760" s="14"/>
      <c r="S760" s="13"/>
    </row>
    <row r="761" spans="2:19" ht="18" customHeight="1">
      <c r="B761" s="12"/>
      <c r="I761" s="12"/>
      <c r="J761" s="12"/>
      <c r="K761" s="56"/>
      <c r="L761" s="71"/>
      <c r="M761" s="76"/>
      <c r="N761" s="12"/>
      <c r="O761" s="63"/>
      <c r="P761" s="67"/>
      <c r="Q761" s="14"/>
      <c r="R761" s="14"/>
      <c r="S761" s="13"/>
    </row>
    <row r="762" spans="2:19" ht="18" customHeight="1">
      <c r="B762" s="12"/>
      <c r="I762" s="12"/>
      <c r="J762" s="12"/>
      <c r="K762" s="56"/>
      <c r="L762" s="71"/>
      <c r="M762" s="76"/>
      <c r="N762" s="12"/>
      <c r="O762" s="63"/>
      <c r="P762" s="67"/>
      <c r="Q762" s="14"/>
      <c r="R762" s="14"/>
      <c r="S762" s="13"/>
    </row>
    <row r="763" spans="2:19" ht="18" customHeight="1">
      <c r="B763" s="12"/>
      <c r="I763" s="12"/>
      <c r="J763" s="12"/>
      <c r="K763" s="56"/>
      <c r="L763" s="71"/>
      <c r="M763" s="76"/>
      <c r="N763" s="12"/>
      <c r="O763" s="63"/>
      <c r="P763" s="67"/>
      <c r="Q763" s="14"/>
      <c r="R763" s="14"/>
      <c r="S763" s="13"/>
    </row>
    <row r="764" spans="2:19" ht="18" customHeight="1">
      <c r="B764" s="12"/>
      <c r="I764" s="12"/>
      <c r="J764" s="12"/>
      <c r="K764" s="56"/>
      <c r="L764" s="71"/>
      <c r="M764" s="76"/>
      <c r="N764" s="12"/>
      <c r="O764" s="63"/>
      <c r="P764" s="67"/>
      <c r="Q764" s="14"/>
      <c r="R764" s="14"/>
      <c r="S764" s="13"/>
    </row>
    <row r="765" spans="2:19" ht="18" customHeight="1">
      <c r="B765" s="12"/>
      <c r="I765" s="12"/>
      <c r="J765" s="12"/>
      <c r="K765" s="56"/>
      <c r="L765" s="71"/>
      <c r="M765" s="76"/>
      <c r="N765" s="12"/>
      <c r="O765" s="63"/>
      <c r="P765" s="67"/>
      <c r="Q765" s="14"/>
      <c r="R765" s="14"/>
      <c r="S765" s="13"/>
    </row>
    <row r="766" spans="2:19" ht="18" customHeight="1">
      <c r="B766" s="12"/>
      <c r="I766" s="12"/>
      <c r="J766" s="12"/>
      <c r="K766" s="56"/>
      <c r="L766" s="71"/>
      <c r="M766" s="76"/>
      <c r="N766" s="12"/>
      <c r="O766" s="63"/>
      <c r="P766" s="67"/>
      <c r="Q766" s="14"/>
      <c r="R766" s="14"/>
      <c r="S766" s="13"/>
    </row>
    <row r="767" spans="2:19" ht="18" customHeight="1">
      <c r="B767" s="12"/>
      <c r="I767" s="12"/>
      <c r="J767" s="12"/>
      <c r="K767" s="56"/>
      <c r="L767" s="71"/>
      <c r="M767" s="76"/>
      <c r="N767" s="12"/>
      <c r="O767" s="63"/>
      <c r="P767" s="67"/>
      <c r="Q767" s="14"/>
      <c r="R767" s="14"/>
      <c r="S767" s="13"/>
    </row>
    <row r="768" spans="2:19" ht="18" customHeight="1">
      <c r="B768" s="12"/>
      <c r="I768" s="12"/>
      <c r="J768" s="12"/>
      <c r="K768" s="56"/>
      <c r="L768" s="71"/>
      <c r="M768" s="76"/>
      <c r="N768" s="12"/>
      <c r="O768" s="63"/>
      <c r="P768" s="67"/>
      <c r="Q768" s="14"/>
      <c r="R768" s="14"/>
      <c r="S768" s="13"/>
    </row>
    <row r="769" spans="2:19" ht="18" customHeight="1">
      <c r="B769" s="12"/>
      <c r="I769" s="12"/>
      <c r="J769" s="12"/>
      <c r="K769" s="56"/>
      <c r="L769" s="71"/>
      <c r="M769" s="76"/>
      <c r="N769" s="12"/>
      <c r="O769" s="63"/>
      <c r="P769" s="67"/>
      <c r="Q769" s="14"/>
      <c r="R769" s="14"/>
      <c r="S769" s="13"/>
    </row>
    <row r="770" spans="2:19" ht="18" customHeight="1">
      <c r="B770" s="12"/>
      <c r="I770" s="12"/>
      <c r="J770" s="12"/>
      <c r="K770" s="56"/>
      <c r="L770" s="71"/>
      <c r="M770" s="76"/>
      <c r="N770" s="12"/>
      <c r="O770" s="63"/>
      <c r="P770" s="67"/>
      <c r="Q770" s="14"/>
      <c r="R770" s="14"/>
      <c r="S770" s="13"/>
    </row>
    <row r="771" spans="2:19" ht="18" customHeight="1">
      <c r="B771" s="12"/>
      <c r="I771" s="12"/>
      <c r="J771" s="12"/>
      <c r="K771" s="56"/>
      <c r="L771" s="71"/>
      <c r="M771" s="76"/>
      <c r="N771" s="12"/>
      <c r="O771" s="63"/>
      <c r="P771" s="67"/>
      <c r="Q771" s="14"/>
      <c r="R771" s="14"/>
      <c r="S771" s="13"/>
    </row>
    <row r="772" spans="2:19" ht="18" customHeight="1">
      <c r="B772" s="12"/>
      <c r="I772" s="12"/>
      <c r="J772" s="12"/>
      <c r="K772" s="56"/>
      <c r="L772" s="71"/>
      <c r="M772" s="76"/>
      <c r="N772" s="12"/>
      <c r="O772" s="63"/>
      <c r="P772" s="67"/>
      <c r="Q772" s="14"/>
      <c r="R772" s="14"/>
      <c r="S772" s="13"/>
    </row>
    <row r="773" spans="2:19" ht="18" customHeight="1">
      <c r="B773" s="12"/>
      <c r="I773" s="12"/>
      <c r="J773" s="12"/>
      <c r="K773" s="56"/>
      <c r="L773" s="71"/>
      <c r="M773" s="76"/>
      <c r="N773" s="12"/>
      <c r="O773" s="63"/>
      <c r="P773" s="67"/>
      <c r="Q773" s="14"/>
      <c r="R773" s="14"/>
      <c r="S773" s="13"/>
    </row>
    <row r="774" spans="2:19" ht="18" customHeight="1">
      <c r="B774" s="12"/>
      <c r="I774" s="12"/>
      <c r="J774" s="12"/>
      <c r="K774" s="56"/>
      <c r="L774" s="71"/>
      <c r="M774" s="76"/>
      <c r="N774" s="12"/>
      <c r="O774" s="63"/>
      <c r="P774" s="67"/>
      <c r="Q774" s="14"/>
      <c r="R774" s="14"/>
      <c r="S774" s="13"/>
    </row>
    <row r="775" spans="2:19" ht="18" customHeight="1">
      <c r="B775" s="12"/>
      <c r="I775" s="12"/>
      <c r="J775" s="12"/>
      <c r="K775" s="56"/>
      <c r="L775" s="71"/>
      <c r="M775" s="76"/>
      <c r="N775" s="12"/>
      <c r="O775" s="63"/>
      <c r="P775" s="67"/>
      <c r="Q775" s="14"/>
      <c r="R775" s="14"/>
      <c r="S775" s="13"/>
    </row>
    <row r="776" spans="2:19" ht="18" customHeight="1">
      <c r="B776" s="12"/>
      <c r="I776" s="12"/>
      <c r="J776" s="12"/>
      <c r="K776" s="56"/>
      <c r="L776" s="71"/>
      <c r="M776" s="76"/>
      <c r="N776" s="12"/>
      <c r="O776" s="63"/>
      <c r="P776" s="67"/>
      <c r="Q776" s="14"/>
      <c r="R776" s="14"/>
      <c r="S776" s="13"/>
    </row>
    <row r="777" spans="2:19" ht="18" customHeight="1">
      <c r="B777" s="12"/>
      <c r="I777" s="12"/>
      <c r="J777" s="12"/>
      <c r="K777" s="56"/>
      <c r="L777" s="71"/>
      <c r="M777" s="76"/>
      <c r="N777" s="12"/>
      <c r="O777" s="63"/>
      <c r="P777" s="67"/>
      <c r="Q777" s="14"/>
      <c r="R777" s="14"/>
      <c r="S777" s="13"/>
    </row>
    <row r="778" spans="2:19" ht="18" customHeight="1">
      <c r="B778" s="12"/>
      <c r="I778" s="12"/>
      <c r="J778" s="12"/>
      <c r="K778" s="56"/>
      <c r="L778" s="71"/>
      <c r="M778" s="76"/>
      <c r="N778" s="12"/>
      <c r="O778" s="63"/>
      <c r="P778" s="67"/>
      <c r="Q778" s="14"/>
      <c r="R778" s="14"/>
      <c r="S778" s="13"/>
    </row>
    <row r="779" spans="2:19" ht="18" customHeight="1">
      <c r="B779" s="12"/>
      <c r="I779" s="12"/>
      <c r="J779" s="12"/>
      <c r="K779" s="56"/>
      <c r="L779" s="71"/>
      <c r="M779" s="76"/>
      <c r="N779" s="12"/>
      <c r="O779" s="63"/>
      <c r="P779" s="67"/>
      <c r="Q779" s="14"/>
      <c r="R779" s="14"/>
      <c r="S779" s="13"/>
    </row>
    <row r="780" spans="2:19" ht="18" customHeight="1">
      <c r="B780" s="12"/>
      <c r="I780" s="12"/>
      <c r="J780" s="12"/>
      <c r="K780" s="56"/>
      <c r="L780" s="71"/>
      <c r="M780" s="76"/>
      <c r="N780" s="12"/>
      <c r="O780" s="63"/>
      <c r="P780" s="67"/>
      <c r="Q780" s="14"/>
      <c r="R780" s="14"/>
      <c r="S780" s="13"/>
    </row>
    <row r="781" spans="2:19" ht="18" customHeight="1">
      <c r="B781" s="12"/>
      <c r="I781" s="12"/>
      <c r="J781" s="12"/>
      <c r="K781" s="56"/>
      <c r="L781" s="71"/>
      <c r="M781" s="76"/>
      <c r="N781" s="12"/>
      <c r="O781" s="63"/>
      <c r="P781" s="67"/>
      <c r="Q781" s="14"/>
      <c r="R781" s="14"/>
      <c r="S781" s="13"/>
    </row>
    <row r="782" spans="2:19" ht="18" customHeight="1">
      <c r="B782" s="12"/>
      <c r="I782" s="12"/>
      <c r="J782" s="12"/>
      <c r="K782" s="56"/>
      <c r="L782" s="71"/>
      <c r="M782" s="76"/>
      <c r="N782" s="12"/>
      <c r="O782" s="63"/>
      <c r="P782" s="67"/>
      <c r="Q782" s="14"/>
      <c r="R782" s="14"/>
      <c r="S782" s="13"/>
    </row>
    <row r="783" spans="2:19" ht="18" customHeight="1">
      <c r="B783" s="12"/>
      <c r="I783" s="12"/>
      <c r="J783" s="12"/>
      <c r="K783" s="56"/>
      <c r="L783" s="71"/>
      <c r="M783" s="76"/>
      <c r="N783" s="12"/>
      <c r="O783" s="63"/>
      <c r="P783" s="67"/>
      <c r="Q783" s="14"/>
      <c r="R783" s="14"/>
      <c r="S783" s="13"/>
    </row>
    <row r="784" spans="2:19" ht="18" customHeight="1">
      <c r="B784" s="12"/>
      <c r="I784" s="12"/>
      <c r="J784" s="12"/>
      <c r="K784" s="56"/>
      <c r="L784" s="71"/>
      <c r="M784" s="76"/>
      <c r="N784" s="12"/>
      <c r="O784" s="63"/>
      <c r="P784" s="67"/>
      <c r="Q784" s="14"/>
      <c r="R784" s="14"/>
      <c r="S784" s="13"/>
    </row>
    <row r="785" spans="2:19" ht="18" customHeight="1">
      <c r="B785" s="12"/>
      <c r="I785" s="12"/>
      <c r="J785" s="12"/>
      <c r="K785" s="56"/>
      <c r="L785" s="71"/>
      <c r="M785" s="76"/>
      <c r="N785" s="12"/>
      <c r="O785" s="63"/>
      <c r="P785" s="67"/>
      <c r="Q785" s="14"/>
      <c r="R785" s="14"/>
      <c r="S785" s="13"/>
    </row>
    <row r="786" spans="2:19" ht="18" customHeight="1">
      <c r="B786" s="12"/>
      <c r="I786" s="12"/>
      <c r="J786" s="12"/>
      <c r="K786" s="56"/>
      <c r="L786" s="71"/>
      <c r="M786" s="76"/>
      <c r="N786" s="12"/>
      <c r="O786" s="63"/>
      <c r="P786" s="67"/>
      <c r="Q786" s="14"/>
      <c r="R786" s="14"/>
      <c r="S786" s="13"/>
    </row>
    <row r="787" spans="2:19" ht="18" customHeight="1">
      <c r="B787" s="12"/>
      <c r="I787" s="12"/>
      <c r="J787" s="12"/>
      <c r="K787" s="56"/>
      <c r="L787" s="71"/>
      <c r="M787" s="76"/>
      <c r="N787" s="12"/>
      <c r="O787" s="63"/>
      <c r="P787" s="67"/>
      <c r="Q787" s="14"/>
      <c r="R787" s="14"/>
      <c r="S787" s="13"/>
    </row>
    <row r="788" spans="2:19" ht="18" customHeight="1">
      <c r="B788" s="12"/>
      <c r="I788" s="12"/>
      <c r="J788" s="12"/>
      <c r="K788" s="56"/>
      <c r="L788" s="71"/>
      <c r="M788" s="76"/>
      <c r="N788" s="12"/>
      <c r="O788" s="63"/>
      <c r="P788" s="67"/>
      <c r="Q788" s="14"/>
      <c r="R788" s="14"/>
      <c r="S788" s="13"/>
    </row>
    <row r="789" spans="2:19" ht="18" customHeight="1">
      <c r="B789" s="12"/>
      <c r="I789" s="12"/>
      <c r="J789" s="12"/>
      <c r="K789" s="56"/>
      <c r="L789" s="71"/>
      <c r="M789" s="76"/>
      <c r="N789" s="12"/>
      <c r="O789" s="63"/>
      <c r="P789" s="67"/>
      <c r="Q789" s="14"/>
      <c r="R789" s="14"/>
      <c r="S789" s="13"/>
    </row>
    <row r="790" spans="2:19" ht="18" customHeight="1">
      <c r="B790" s="12"/>
      <c r="I790" s="12"/>
      <c r="J790" s="12"/>
      <c r="K790" s="56"/>
      <c r="L790" s="71"/>
      <c r="M790" s="76"/>
      <c r="N790" s="12"/>
      <c r="O790" s="63"/>
      <c r="P790" s="67"/>
      <c r="Q790" s="14"/>
      <c r="R790" s="14"/>
      <c r="S790" s="13"/>
    </row>
    <row r="791" spans="2:19" ht="18" customHeight="1">
      <c r="B791" s="12"/>
      <c r="I791" s="12"/>
      <c r="J791" s="12"/>
      <c r="K791" s="56"/>
      <c r="L791" s="71"/>
      <c r="M791" s="76"/>
      <c r="N791" s="12"/>
      <c r="O791" s="63"/>
      <c r="P791" s="67"/>
      <c r="Q791" s="14"/>
      <c r="R791" s="14"/>
      <c r="S791" s="13"/>
    </row>
    <row r="792" spans="2:19" ht="18" customHeight="1">
      <c r="B792" s="12"/>
      <c r="I792" s="12"/>
      <c r="J792" s="12"/>
      <c r="K792" s="56"/>
      <c r="L792" s="71"/>
      <c r="M792" s="76"/>
      <c r="N792" s="12"/>
      <c r="O792" s="63"/>
      <c r="P792" s="67"/>
      <c r="Q792" s="14"/>
      <c r="R792" s="14"/>
      <c r="S792" s="13"/>
    </row>
    <row r="793" spans="2:19" ht="18" customHeight="1">
      <c r="B793" s="12"/>
      <c r="I793" s="12"/>
      <c r="J793" s="12"/>
      <c r="K793" s="56"/>
      <c r="L793" s="71"/>
      <c r="M793" s="76"/>
      <c r="N793" s="12"/>
      <c r="O793" s="63"/>
      <c r="P793" s="67"/>
      <c r="Q793" s="14"/>
      <c r="R793" s="14"/>
      <c r="S793" s="13"/>
    </row>
    <row r="794" spans="2:19" ht="18" customHeight="1">
      <c r="B794" s="12"/>
      <c r="I794" s="12"/>
      <c r="J794" s="12"/>
      <c r="K794" s="56"/>
      <c r="L794" s="71"/>
      <c r="M794" s="76"/>
      <c r="N794" s="12"/>
      <c r="O794" s="63"/>
      <c r="P794" s="67"/>
      <c r="Q794" s="14"/>
      <c r="R794" s="14"/>
      <c r="S794" s="13"/>
    </row>
    <row r="795" spans="2:19" ht="18" customHeight="1">
      <c r="B795" s="12"/>
      <c r="I795" s="12"/>
      <c r="J795" s="12"/>
      <c r="K795" s="56"/>
      <c r="L795" s="71"/>
      <c r="M795" s="76"/>
      <c r="N795" s="12"/>
      <c r="O795" s="63"/>
      <c r="P795" s="67"/>
      <c r="Q795" s="14"/>
      <c r="R795" s="14"/>
      <c r="S795" s="13"/>
    </row>
    <row r="796" spans="2:19" ht="18" customHeight="1">
      <c r="B796" s="12"/>
      <c r="I796" s="12"/>
      <c r="J796" s="12"/>
      <c r="K796" s="56"/>
      <c r="L796" s="71"/>
      <c r="M796" s="76"/>
      <c r="N796" s="12"/>
      <c r="O796" s="63"/>
      <c r="P796" s="67"/>
      <c r="Q796" s="14"/>
      <c r="R796" s="14"/>
      <c r="S796" s="13"/>
    </row>
    <row r="797" spans="2:19" ht="18" customHeight="1">
      <c r="B797" s="12"/>
      <c r="I797" s="12"/>
      <c r="J797" s="12"/>
      <c r="K797" s="56"/>
      <c r="L797" s="71"/>
      <c r="M797" s="76"/>
      <c r="N797" s="12"/>
      <c r="O797" s="63"/>
      <c r="P797" s="67"/>
      <c r="Q797" s="14"/>
      <c r="R797" s="14"/>
      <c r="S797" s="13"/>
    </row>
    <row r="798" spans="2:19" ht="18" customHeight="1">
      <c r="B798" s="12"/>
      <c r="I798" s="12"/>
      <c r="J798" s="12"/>
      <c r="K798" s="56"/>
      <c r="L798" s="71"/>
      <c r="M798" s="76"/>
      <c r="N798" s="12"/>
      <c r="O798" s="63"/>
      <c r="P798" s="67"/>
      <c r="Q798" s="14"/>
      <c r="R798" s="14"/>
      <c r="S798" s="13"/>
    </row>
    <row r="799" spans="2:19" ht="18" customHeight="1">
      <c r="B799" s="12"/>
      <c r="I799" s="12"/>
      <c r="J799" s="12"/>
      <c r="K799" s="56"/>
      <c r="L799" s="71"/>
      <c r="M799" s="76"/>
      <c r="N799" s="12"/>
      <c r="O799" s="63"/>
      <c r="P799" s="67"/>
      <c r="Q799" s="14"/>
      <c r="R799" s="14"/>
      <c r="S799" s="13"/>
    </row>
    <row r="800" spans="2:19" ht="18" customHeight="1">
      <c r="B800" s="12"/>
      <c r="I800" s="12"/>
      <c r="J800" s="12"/>
      <c r="K800" s="56"/>
      <c r="L800" s="71"/>
      <c r="M800" s="76"/>
      <c r="N800" s="12"/>
      <c r="O800" s="63"/>
      <c r="P800" s="67"/>
      <c r="Q800" s="14"/>
      <c r="R800" s="14"/>
      <c r="S800" s="13"/>
    </row>
    <row r="801" spans="2:19" ht="18" customHeight="1">
      <c r="B801" s="12"/>
      <c r="I801" s="12"/>
      <c r="J801" s="12"/>
      <c r="K801" s="56"/>
      <c r="L801" s="71"/>
      <c r="M801" s="76"/>
      <c r="N801" s="12"/>
      <c r="O801" s="63"/>
      <c r="P801" s="67"/>
      <c r="Q801" s="14"/>
      <c r="R801" s="14"/>
      <c r="S801" s="13"/>
    </row>
    <row r="802" spans="2:19" ht="18" customHeight="1">
      <c r="B802" s="12"/>
      <c r="I802" s="12"/>
      <c r="J802" s="12"/>
      <c r="K802" s="56"/>
      <c r="L802" s="71"/>
      <c r="M802" s="76"/>
      <c r="N802" s="12"/>
      <c r="O802" s="63"/>
      <c r="P802" s="67"/>
      <c r="Q802" s="14"/>
      <c r="R802" s="14"/>
      <c r="S802" s="13"/>
    </row>
    <row r="803" spans="2:19" ht="18" customHeight="1">
      <c r="B803" s="12"/>
      <c r="I803" s="12"/>
      <c r="J803" s="12"/>
      <c r="K803" s="56"/>
      <c r="L803" s="71"/>
      <c r="M803" s="76"/>
      <c r="N803" s="12"/>
      <c r="O803" s="63"/>
      <c r="P803" s="67"/>
      <c r="Q803" s="14"/>
      <c r="R803" s="14"/>
      <c r="S803" s="13"/>
    </row>
    <row r="804" spans="2:19" ht="18" customHeight="1">
      <c r="B804" s="12"/>
      <c r="I804" s="12"/>
      <c r="J804" s="12"/>
      <c r="K804" s="56"/>
      <c r="L804" s="71"/>
      <c r="M804" s="76"/>
      <c r="N804" s="12"/>
      <c r="O804" s="63"/>
      <c r="P804" s="67"/>
      <c r="Q804" s="14"/>
      <c r="R804" s="14"/>
      <c r="S804" s="13"/>
    </row>
    <row r="805" spans="2:19" ht="18" customHeight="1">
      <c r="B805" s="12"/>
      <c r="I805" s="12"/>
      <c r="J805" s="12"/>
      <c r="K805" s="56"/>
      <c r="L805" s="71"/>
      <c r="M805" s="76"/>
      <c r="N805" s="12"/>
      <c r="O805" s="63"/>
      <c r="P805" s="67"/>
      <c r="Q805" s="14"/>
      <c r="R805" s="14"/>
      <c r="S805" s="13"/>
    </row>
    <row r="806" spans="2:19" ht="18" customHeight="1">
      <c r="B806" s="12"/>
      <c r="I806" s="12"/>
      <c r="J806" s="12"/>
      <c r="K806" s="56"/>
      <c r="L806" s="71"/>
      <c r="M806" s="76"/>
      <c r="N806" s="12"/>
      <c r="O806" s="63"/>
      <c r="P806" s="67"/>
      <c r="Q806" s="14"/>
      <c r="R806" s="14"/>
      <c r="S806" s="13"/>
    </row>
    <row r="807" spans="2:19" ht="18" customHeight="1">
      <c r="B807" s="12"/>
      <c r="I807" s="12"/>
      <c r="J807" s="12"/>
      <c r="K807" s="56"/>
      <c r="L807" s="71"/>
      <c r="M807" s="76"/>
      <c r="N807" s="12"/>
      <c r="O807" s="63"/>
      <c r="P807" s="67"/>
      <c r="Q807" s="14"/>
      <c r="R807" s="14"/>
      <c r="S807" s="13"/>
    </row>
    <row r="808" spans="2:19" ht="18" customHeight="1">
      <c r="B808" s="12"/>
      <c r="I808" s="12"/>
      <c r="J808" s="12"/>
      <c r="K808" s="56"/>
      <c r="L808" s="71"/>
      <c r="M808" s="76"/>
      <c r="N808" s="12"/>
      <c r="O808" s="63"/>
      <c r="P808" s="67"/>
      <c r="Q808" s="14"/>
      <c r="R808" s="14"/>
      <c r="S808" s="13"/>
    </row>
    <row r="809" spans="2:19" ht="18" customHeight="1">
      <c r="B809" s="12"/>
      <c r="I809" s="12"/>
      <c r="J809" s="12"/>
      <c r="K809" s="56"/>
      <c r="L809" s="71"/>
      <c r="M809" s="76"/>
      <c r="N809" s="12"/>
      <c r="O809" s="63"/>
      <c r="P809" s="67"/>
      <c r="Q809" s="14"/>
      <c r="R809" s="14"/>
      <c r="S809" s="13"/>
    </row>
    <row r="810" spans="2:19" ht="18" customHeight="1">
      <c r="B810" s="12"/>
      <c r="I810" s="12"/>
      <c r="J810" s="12"/>
      <c r="K810" s="56"/>
      <c r="L810" s="71"/>
      <c r="M810" s="76"/>
      <c r="N810" s="12"/>
      <c r="O810" s="63"/>
      <c r="P810" s="67"/>
      <c r="Q810" s="14"/>
      <c r="R810" s="14"/>
      <c r="S810" s="13"/>
    </row>
    <row r="811" spans="2:19" ht="18" customHeight="1">
      <c r="B811" s="12"/>
      <c r="I811" s="12"/>
      <c r="J811" s="12"/>
      <c r="K811" s="56"/>
      <c r="L811" s="71"/>
      <c r="M811" s="76"/>
      <c r="N811" s="12"/>
      <c r="O811" s="63"/>
      <c r="P811" s="67"/>
      <c r="Q811" s="14"/>
      <c r="R811" s="14"/>
      <c r="S811" s="13"/>
    </row>
    <row r="812" spans="2:19" ht="18" customHeight="1">
      <c r="B812" s="12"/>
      <c r="I812" s="12"/>
      <c r="J812" s="12"/>
      <c r="K812" s="56"/>
      <c r="L812" s="71"/>
      <c r="M812" s="76"/>
      <c r="N812" s="12"/>
      <c r="O812" s="63"/>
      <c r="P812" s="67"/>
      <c r="Q812" s="14"/>
      <c r="R812" s="14"/>
      <c r="S812" s="13"/>
    </row>
    <row r="813" spans="2:19" ht="18" customHeight="1">
      <c r="B813" s="12"/>
      <c r="I813" s="12"/>
      <c r="J813" s="12"/>
      <c r="K813" s="56"/>
      <c r="L813" s="71"/>
      <c r="M813" s="76"/>
      <c r="N813" s="12"/>
      <c r="O813" s="63"/>
      <c r="P813" s="67"/>
      <c r="Q813" s="14"/>
      <c r="R813" s="14"/>
      <c r="S813" s="13"/>
    </row>
    <row r="814" spans="2:19" ht="18" customHeight="1">
      <c r="B814" s="12"/>
      <c r="I814" s="12"/>
      <c r="J814" s="12"/>
      <c r="K814" s="56"/>
      <c r="L814" s="71"/>
      <c r="M814" s="76"/>
      <c r="N814" s="12"/>
      <c r="O814" s="63"/>
      <c r="P814" s="67"/>
      <c r="Q814" s="14"/>
      <c r="R814" s="14"/>
      <c r="S814" s="13"/>
    </row>
    <row r="815" spans="2:19" ht="18" customHeight="1">
      <c r="B815" s="12"/>
      <c r="I815" s="12"/>
      <c r="J815" s="12"/>
      <c r="K815" s="56"/>
      <c r="L815" s="71"/>
      <c r="M815" s="76"/>
      <c r="N815" s="12"/>
      <c r="O815" s="63"/>
      <c r="P815" s="67"/>
      <c r="Q815" s="14"/>
      <c r="R815" s="14"/>
      <c r="S815" s="13"/>
    </row>
    <row r="816" spans="2:19" ht="18" customHeight="1">
      <c r="B816" s="12"/>
      <c r="I816" s="12"/>
      <c r="J816" s="12"/>
      <c r="K816" s="56"/>
      <c r="L816" s="71"/>
      <c r="M816" s="76"/>
      <c r="N816" s="12"/>
      <c r="O816" s="63"/>
      <c r="P816" s="67"/>
      <c r="Q816" s="14"/>
      <c r="R816" s="14"/>
      <c r="S816" s="13"/>
    </row>
    <row r="817" spans="2:19" ht="18" customHeight="1">
      <c r="B817" s="12"/>
      <c r="I817" s="12"/>
      <c r="J817" s="12"/>
      <c r="K817" s="56"/>
      <c r="L817" s="71"/>
      <c r="M817" s="76"/>
      <c r="N817" s="12"/>
      <c r="O817" s="63"/>
      <c r="P817" s="67"/>
      <c r="Q817" s="14"/>
      <c r="R817" s="14"/>
      <c r="S817" s="13"/>
    </row>
    <row r="818" spans="2:19" ht="18" customHeight="1">
      <c r="B818" s="12"/>
      <c r="I818" s="12"/>
      <c r="J818" s="12"/>
      <c r="K818" s="56"/>
      <c r="L818" s="71"/>
      <c r="M818" s="76"/>
      <c r="N818" s="12"/>
      <c r="O818" s="63"/>
      <c r="P818" s="67"/>
      <c r="Q818" s="14"/>
      <c r="R818" s="14"/>
      <c r="S818" s="13"/>
    </row>
    <row r="819" spans="2:19" ht="18" customHeight="1">
      <c r="B819" s="12"/>
      <c r="I819" s="12"/>
      <c r="J819" s="12"/>
      <c r="K819" s="56"/>
      <c r="L819" s="71"/>
      <c r="M819" s="76"/>
      <c r="N819" s="12"/>
      <c r="O819" s="63"/>
      <c r="P819" s="67"/>
      <c r="Q819" s="14"/>
      <c r="R819" s="14"/>
      <c r="S819" s="13"/>
    </row>
    <row r="820" spans="2:19" ht="18" customHeight="1">
      <c r="B820" s="12"/>
      <c r="I820" s="12"/>
      <c r="J820" s="12"/>
      <c r="K820" s="56"/>
      <c r="L820" s="71"/>
      <c r="M820" s="76"/>
      <c r="N820" s="12"/>
      <c r="O820" s="63"/>
      <c r="P820" s="67"/>
      <c r="Q820" s="14"/>
      <c r="R820" s="14"/>
      <c r="S820" s="13"/>
    </row>
    <row r="821" spans="2:19" ht="18" customHeight="1">
      <c r="B821" s="12"/>
      <c r="I821" s="12"/>
      <c r="J821" s="12"/>
      <c r="K821" s="56"/>
      <c r="L821" s="71"/>
      <c r="M821" s="76"/>
      <c r="N821" s="12"/>
      <c r="O821" s="63"/>
      <c r="P821" s="67"/>
      <c r="Q821" s="14"/>
      <c r="R821" s="14"/>
      <c r="S821" s="13"/>
    </row>
    <row r="822" spans="2:19" ht="18" customHeight="1">
      <c r="B822" s="12"/>
      <c r="I822" s="12"/>
      <c r="J822" s="12"/>
      <c r="K822" s="56"/>
      <c r="L822" s="71"/>
      <c r="M822" s="76"/>
      <c r="N822" s="12"/>
      <c r="O822" s="63"/>
      <c r="P822" s="67"/>
      <c r="Q822" s="14"/>
      <c r="R822" s="14"/>
      <c r="S822" s="13"/>
    </row>
    <row r="823" spans="2:19" ht="18" customHeight="1">
      <c r="B823" s="12"/>
      <c r="I823" s="12"/>
      <c r="J823" s="12"/>
      <c r="K823" s="56"/>
      <c r="L823" s="71"/>
      <c r="M823" s="76"/>
      <c r="N823" s="12"/>
      <c r="O823" s="63"/>
      <c r="P823" s="67"/>
      <c r="Q823" s="14"/>
      <c r="R823" s="14"/>
      <c r="S823" s="13"/>
    </row>
    <row r="824" spans="2:19" ht="18" customHeight="1">
      <c r="B824" s="12"/>
      <c r="I824" s="12"/>
      <c r="J824" s="12"/>
      <c r="K824" s="56"/>
      <c r="L824" s="71"/>
      <c r="M824" s="76"/>
      <c r="N824" s="12"/>
      <c r="O824" s="63"/>
      <c r="P824" s="67"/>
      <c r="Q824" s="14"/>
      <c r="R824" s="14"/>
      <c r="S824" s="13"/>
    </row>
    <row r="825" spans="2:19" ht="18" customHeight="1">
      <c r="B825" s="12"/>
      <c r="I825" s="12"/>
      <c r="J825" s="12"/>
      <c r="K825" s="56"/>
      <c r="L825" s="71"/>
      <c r="M825" s="76"/>
      <c r="N825" s="12"/>
      <c r="O825" s="63"/>
      <c r="P825" s="67"/>
      <c r="Q825" s="14"/>
      <c r="R825" s="14"/>
      <c r="S825" s="13"/>
    </row>
    <row r="826" spans="2:19" ht="18" customHeight="1">
      <c r="B826" s="12"/>
      <c r="I826" s="12"/>
      <c r="J826" s="12"/>
      <c r="K826" s="56"/>
      <c r="L826" s="71"/>
      <c r="M826" s="76"/>
      <c r="N826" s="12"/>
      <c r="O826" s="63"/>
      <c r="P826" s="67"/>
      <c r="Q826" s="14"/>
      <c r="R826" s="14"/>
      <c r="S826" s="13"/>
    </row>
    <row r="827" spans="2:19" ht="18" customHeight="1">
      <c r="B827" s="12"/>
      <c r="I827" s="12"/>
      <c r="J827" s="12"/>
      <c r="K827" s="56"/>
      <c r="L827" s="71"/>
      <c r="M827" s="76"/>
      <c r="N827" s="12"/>
      <c r="O827" s="63"/>
      <c r="P827" s="67"/>
      <c r="Q827" s="14"/>
      <c r="R827" s="14"/>
      <c r="S827" s="13"/>
    </row>
    <row r="828" spans="2:19" ht="18" customHeight="1">
      <c r="B828" s="12"/>
      <c r="I828" s="12"/>
      <c r="J828" s="12"/>
      <c r="K828" s="56"/>
      <c r="L828" s="71"/>
      <c r="M828" s="76"/>
      <c r="N828" s="12"/>
      <c r="O828" s="63"/>
      <c r="P828" s="67"/>
      <c r="Q828" s="14"/>
      <c r="R828" s="14"/>
      <c r="S828" s="13"/>
    </row>
    <row r="829" spans="2:19" ht="18" customHeight="1">
      <c r="B829" s="12"/>
      <c r="I829" s="12"/>
      <c r="J829" s="12"/>
      <c r="K829" s="56"/>
      <c r="L829" s="71"/>
      <c r="M829" s="76"/>
      <c r="N829" s="12"/>
      <c r="O829" s="63"/>
      <c r="P829" s="67"/>
      <c r="Q829" s="14"/>
      <c r="R829" s="14"/>
      <c r="S829" s="13"/>
    </row>
    <row r="830" spans="2:19" ht="18" customHeight="1">
      <c r="B830" s="12"/>
      <c r="I830" s="12"/>
      <c r="J830" s="12"/>
      <c r="K830" s="56"/>
      <c r="L830" s="71"/>
      <c r="M830" s="76"/>
      <c r="N830" s="12"/>
      <c r="O830" s="63"/>
      <c r="P830" s="67"/>
      <c r="Q830" s="14"/>
      <c r="R830" s="14"/>
      <c r="S830" s="13"/>
    </row>
    <row r="831" spans="2:19" ht="18" customHeight="1">
      <c r="B831" s="12"/>
      <c r="I831" s="12"/>
      <c r="J831" s="12"/>
      <c r="K831" s="56"/>
      <c r="L831" s="71"/>
      <c r="M831" s="76"/>
      <c r="N831" s="12"/>
      <c r="O831" s="63"/>
      <c r="P831" s="67"/>
      <c r="Q831" s="14"/>
      <c r="R831" s="14"/>
      <c r="S831" s="13"/>
    </row>
    <row r="832" spans="2:19" ht="18" customHeight="1">
      <c r="B832" s="12"/>
      <c r="I832" s="12"/>
      <c r="J832" s="12"/>
      <c r="K832" s="56"/>
      <c r="L832" s="71"/>
      <c r="M832" s="76"/>
      <c r="N832" s="12"/>
      <c r="O832" s="63"/>
      <c r="P832" s="67"/>
      <c r="Q832" s="14"/>
      <c r="R832" s="14"/>
      <c r="S832" s="13"/>
    </row>
    <row r="833" spans="2:19" ht="18" customHeight="1">
      <c r="B833" s="12"/>
      <c r="I833" s="12"/>
      <c r="J833" s="12"/>
      <c r="K833" s="56"/>
      <c r="L833" s="71"/>
      <c r="M833" s="76"/>
      <c r="N833" s="12"/>
      <c r="O833" s="63"/>
      <c r="P833" s="67"/>
      <c r="Q833" s="14"/>
      <c r="R833" s="14"/>
      <c r="S833" s="13"/>
    </row>
    <row r="834" spans="2:19" ht="18" customHeight="1">
      <c r="B834" s="12"/>
      <c r="I834" s="12"/>
      <c r="J834" s="12"/>
      <c r="K834" s="56"/>
      <c r="L834" s="71"/>
      <c r="M834" s="76"/>
      <c r="N834" s="12"/>
      <c r="O834" s="63"/>
      <c r="P834" s="67"/>
      <c r="Q834" s="14"/>
      <c r="R834" s="14"/>
      <c r="S834" s="13"/>
    </row>
    <row r="835" spans="2:19" ht="18" customHeight="1">
      <c r="B835" s="12"/>
      <c r="I835" s="12"/>
      <c r="J835" s="12"/>
      <c r="K835" s="56"/>
      <c r="L835" s="71"/>
      <c r="M835" s="76"/>
      <c r="N835" s="12"/>
      <c r="O835" s="63"/>
      <c r="P835" s="67"/>
      <c r="Q835" s="14"/>
      <c r="R835" s="14"/>
      <c r="S835" s="13"/>
    </row>
    <row r="836" spans="2:19" ht="18" customHeight="1">
      <c r="B836" s="12"/>
      <c r="I836" s="12"/>
      <c r="J836" s="12"/>
      <c r="K836" s="56"/>
      <c r="L836" s="71"/>
      <c r="M836" s="76"/>
      <c r="N836" s="12"/>
      <c r="O836" s="63"/>
      <c r="P836" s="67"/>
      <c r="Q836" s="14"/>
      <c r="R836" s="14"/>
      <c r="S836" s="13"/>
    </row>
    <row r="837" spans="2:19" ht="18" customHeight="1">
      <c r="B837" s="12"/>
      <c r="I837" s="12"/>
      <c r="J837" s="12"/>
      <c r="K837" s="56"/>
      <c r="L837" s="71"/>
      <c r="M837" s="76"/>
      <c r="N837" s="12"/>
      <c r="O837" s="63"/>
      <c r="P837" s="67"/>
      <c r="Q837" s="14"/>
      <c r="R837" s="14"/>
      <c r="S837" s="13"/>
    </row>
    <row r="838" spans="2:19" ht="18" customHeight="1">
      <c r="B838" s="12"/>
      <c r="I838" s="12"/>
      <c r="J838" s="12"/>
      <c r="K838" s="56"/>
      <c r="L838" s="71"/>
      <c r="M838" s="76"/>
      <c r="N838" s="12"/>
      <c r="O838" s="63"/>
      <c r="P838" s="67"/>
      <c r="Q838" s="14"/>
      <c r="R838" s="14"/>
      <c r="S838" s="13"/>
    </row>
    <row r="839" spans="2:19" ht="18" customHeight="1">
      <c r="B839" s="12"/>
      <c r="I839" s="12"/>
      <c r="J839" s="12"/>
      <c r="K839" s="56"/>
      <c r="L839" s="71"/>
      <c r="M839" s="76"/>
      <c r="N839" s="12"/>
      <c r="O839" s="63"/>
      <c r="P839" s="67"/>
      <c r="Q839" s="14"/>
      <c r="R839" s="14"/>
      <c r="S839" s="13"/>
    </row>
    <row r="840" spans="2:19" ht="18" customHeight="1">
      <c r="B840" s="12"/>
      <c r="I840" s="12"/>
      <c r="J840" s="12"/>
      <c r="K840" s="56"/>
      <c r="L840" s="71"/>
      <c r="M840" s="76"/>
      <c r="N840" s="12"/>
      <c r="O840" s="63"/>
      <c r="P840" s="67"/>
      <c r="Q840" s="14"/>
      <c r="R840" s="14"/>
      <c r="S840" s="13"/>
    </row>
    <row r="841" spans="2:19" ht="18" customHeight="1">
      <c r="B841" s="12"/>
      <c r="I841" s="12"/>
      <c r="J841" s="12"/>
      <c r="K841" s="56"/>
      <c r="L841" s="71"/>
      <c r="M841" s="76"/>
      <c r="N841" s="12"/>
      <c r="O841" s="63"/>
      <c r="P841" s="67"/>
      <c r="Q841" s="14"/>
      <c r="R841" s="14"/>
      <c r="S841" s="13"/>
    </row>
    <row r="842" spans="2:19" ht="18" customHeight="1">
      <c r="B842" s="12"/>
      <c r="I842" s="12"/>
      <c r="J842" s="12"/>
      <c r="K842" s="56"/>
      <c r="L842" s="71"/>
      <c r="M842" s="76"/>
      <c r="N842" s="12"/>
      <c r="O842" s="63"/>
      <c r="P842" s="67"/>
      <c r="Q842" s="14"/>
      <c r="R842" s="14"/>
      <c r="S842" s="13"/>
    </row>
    <row r="843" spans="2:19" ht="18" customHeight="1">
      <c r="B843" s="12"/>
      <c r="I843" s="12"/>
      <c r="J843" s="12"/>
      <c r="K843" s="56"/>
      <c r="L843" s="71"/>
      <c r="M843" s="76"/>
      <c r="N843" s="12"/>
      <c r="O843" s="63"/>
      <c r="P843" s="67"/>
      <c r="Q843" s="14"/>
      <c r="R843" s="14"/>
      <c r="S843" s="13"/>
    </row>
    <row r="844" spans="2:19" ht="18" customHeight="1">
      <c r="B844" s="12"/>
      <c r="I844" s="12"/>
      <c r="J844" s="12"/>
      <c r="K844" s="56"/>
      <c r="L844" s="71"/>
      <c r="M844" s="76"/>
      <c r="N844" s="12"/>
      <c r="O844" s="63"/>
      <c r="P844" s="67"/>
      <c r="Q844" s="14"/>
      <c r="R844" s="14"/>
      <c r="S844" s="13"/>
    </row>
    <row r="845" spans="2:19" ht="18" customHeight="1">
      <c r="B845" s="12"/>
      <c r="I845" s="12"/>
      <c r="J845" s="12"/>
      <c r="K845" s="56"/>
      <c r="L845" s="71"/>
      <c r="M845" s="76"/>
      <c r="N845" s="12"/>
      <c r="O845" s="63"/>
      <c r="P845" s="67"/>
      <c r="Q845" s="14"/>
      <c r="R845" s="14"/>
      <c r="S845" s="13"/>
    </row>
    <row r="846" spans="2:19" ht="18" customHeight="1">
      <c r="B846" s="12"/>
      <c r="I846" s="12"/>
      <c r="J846" s="12"/>
      <c r="K846" s="56"/>
      <c r="L846" s="71"/>
      <c r="M846" s="76"/>
      <c r="N846" s="12"/>
      <c r="O846" s="63"/>
      <c r="P846" s="67"/>
      <c r="Q846" s="14"/>
      <c r="R846" s="14"/>
      <c r="S846" s="13"/>
    </row>
    <row r="847" spans="2:19" ht="18" customHeight="1">
      <c r="B847" s="12"/>
      <c r="I847" s="12"/>
      <c r="J847" s="12"/>
      <c r="K847" s="56"/>
      <c r="L847" s="71"/>
      <c r="M847" s="76"/>
      <c r="N847" s="12"/>
      <c r="O847" s="63"/>
      <c r="P847" s="67"/>
      <c r="Q847" s="14"/>
      <c r="R847" s="14"/>
      <c r="S847" s="13"/>
    </row>
    <row r="848" spans="2:19" ht="18" customHeight="1">
      <c r="B848" s="12"/>
      <c r="I848" s="12"/>
      <c r="J848" s="12"/>
      <c r="K848" s="56"/>
      <c r="L848" s="71"/>
      <c r="M848" s="76"/>
      <c r="N848" s="12"/>
      <c r="O848" s="63"/>
      <c r="P848" s="67"/>
      <c r="Q848" s="14"/>
      <c r="R848" s="14"/>
      <c r="S848" s="13"/>
    </row>
    <row r="849" spans="2:19" ht="18" customHeight="1">
      <c r="B849" s="12"/>
      <c r="I849" s="12"/>
      <c r="J849" s="12"/>
      <c r="K849" s="56"/>
      <c r="L849" s="71"/>
      <c r="M849" s="76"/>
      <c r="N849" s="12"/>
      <c r="O849" s="63"/>
      <c r="P849" s="67"/>
      <c r="Q849" s="14"/>
      <c r="R849" s="14"/>
      <c r="S849" s="13"/>
    </row>
    <row r="850" spans="2:19" ht="18" customHeight="1">
      <c r="B850" s="12"/>
      <c r="I850" s="12"/>
      <c r="J850" s="12"/>
      <c r="K850" s="56"/>
      <c r="L850" s="71"/>
      <c r="M850" s="76"/>
      <c r="N850" s="12"/>
      <c r="O850" s="63"/>
      <c r="P850" s="67"/>
      <c r="Q850" s="14"/>
      <c r="R850" s="14"/>
      <c r="S850" s="13"/>
    </row>
    <row r="851" spans="2:19" ht="18" customHeight="1">
      <c r="B851" s="12"/>
      <c r="I851" s="12"/>
      <c r="J851" s="12"/>
      <c r="K851" s="56"/>
      <c r="L851" s="71"/>
      <c r="M851" s="76"/>
      <c r="N851" s="12"/>
      <c r="O851" s="63"/>
      <c r="P851" s="67"/>
      <c r="Q851" s="14"/>
      <c r="R851" s="14"/>
      <c r="S851" s="13"/>
    </row>
    <row r="852" spans="2:19" ht="18" customHeight="1">
      <c r="B852" s="12"/>
      <c r="I852" s="12"/>
      <c r="J852" s="12"/>
      <c r="K852" s="56"/>
      <c r="L852" s="71"/>
      <c r="M852" s="76"/>
      <c r="N852" s="12"/>
      <c r="O852" s="63"/>
      <c r="P852" s="67"/>
      <c r="Q852" s="14"/>
      <c r="R852" s="14"/>
      <c r="S852" s="13"/>
    </row>
    <row r="853" spans="2:19" ht="18" customHeight="1">
      <c r="B853" s="12"/>
      <c r="I853" s="12"/>
      <c r="J853" s="12"/>
      <c r="K853" s="56"/>
      <c r="L853" s="71"/>
      <c r="M853" s="76"/>
      <c r="N853" s="12"/>
      <c r="O853" s="63"/>
      <c r="P853" s="67"/>
      <c r="Q853" s="14"/>
      <c r="R853" s="14"/>
      <c r="S853" s="13"/>
    </row>
    <row r="854" spans="2:19" ht="18" customHeight="1">
      <c r="B854" s="12"/>
      <c r="I854" s="12"/>
      <c r="J854" s="12"/>
      <c r="K854" s="56"/>
      <c r="L854" s="71"/>
      <c r="M854" s="76"/>
      <c r="N854" s="12"/>
      <c r="O854" s="63"/>
      <c r="P854" s="67"/>
      <c r="Q854" s="14"/>
      <c r="R854" s="14"/>
      <c r="S854" s="13"/>
    </row>
    <row r="855" spans="2:19" ht="18" customHeight="1">
      <c r="B855" s="12"/>
      <c r="I855" s="12"/>
      <c r="J855" s="12"/>
      <c r="K855" s="56"/>
      <c r="L855" s="71"/>
      <c r="M855" s="76"/>
      <c r="N855" s="12"/>
      <c r="O855" s="63"/>
      <c r="P855" s="67"/>
      <c r="Q855" s="14"/>
      <c r="R855" s="14"/>
      <c r="S855" s="13"/>
    </row>
    <row r="856" spans="2:19" ht="18" customHeight="1">
      <c r="B856" s="12"/>
      <c r="I856" s="12"/>
      <c r="J856" s="12"/>
      <c r="K856" s="56"/>
      <c r="L856" s="71"/>
      <c r="M856" s="76"/>
      <c r="N856" s="12"/>
      <c r="O856" s="63"/>
      <c r="P856" s="67"/>
      <c r="Q856" s="14"/>
      <c r="R856" s="14"/>
      <c r="S856" s="13"/>
    </row>
    <row r="857" spans="2:19" ht="18" customHeight="1">
      <c r="B857" s="12"/>
      <c r="I857" s="12"/>
      <c r="J857" s="12"/>
      <c r="K857" s="56"/>
      <c r="L857" s="71"/>
      <c r="M857" s="76"/>
      <c r="N857" s="12"/>
      <c r="O857" s="63"/>
      <c r="P857" s="67"/>
      <c r="Q857" s="14"/>
      <c r="R857" s="14"/>
      <c r="S857" s="13"/>
    </row>
    <row r="858" spans="2:19" ht="18" customHeight="1">
      <c r="B858" s="12"/>
      <c r="I858" s="12"/>
      <c r="J858" s="12"/>
      <c r="K858" s="56"/>
      <c r="L858" s="71"/>
      <c r="M858" s="76"/>
      <c r="N858" s="12"/>
      <c r="O858" s="63"/>
      <c r="P858" s="67"/>
      <c r="Q858" s="14"/>
      <c r="R858" s="14"/>
      <c r="S858" s="13"/>
    </row>
    <row r="859" spans="2:19" ht="18" customHeight="1">
      <c r="B859" s="12"/>
      <c r="I859" s="12"/>
      <c r="J859" s="12"/>
      <c r="K859" s="56"/>
      <c r="L859" s="71"/>
      <c r="M859" s="76"/>
      <c r="N859" s="12"/>
      <c r="O859" s="63"/>
      <c r="P859" s="67"/>
      <c r="Q859" s="14"/>
      <c r="R859" s="14"/>
      <c r="S859" s="13"/>
    </row>
    <row r="860" spans="2:19" ht="18" customHeight="1">
      <c r="B860" s="12"/>
      <c r="I860" s="12"/>
      <c r="J860" s="12"/>
      <c r="K860" s="56"/>
      <c r="L860" s="71"/>
      <c r="M860" s="76"/>
      <c r="N860" s="12"/>
      <c r="O860" s="63"/>
      <c r="P860" s="67"/>
      <c r="Q860" s="14"/>
      <c r="R860" s="14"/>
      <c r="S860" s="13"/>
    </row>
    <row r="861" spans="2:19" ht="18" customHeight="1">
      <c r="B861" s="12"/>
      <c r="I861" s="12"/>
      <c r="J861" s="12"/>
      <c r="K861" s="56"/>
      <c r="L861" s="71"/>
      <c r="M861" s="76"/>
      <c r="N861" s="12"/>
      <c r="O861" s="63"/>
      <c r="P861" s="67"/>
      <c r="Q861" s="14"/>
      <c r="R861" s="14"/>
      <c r="S861" s="13"/>
    </row>
    <row r="862" spans="2:19" ht="18" customHeight="1">
      <c r="B862" s="12"/>
      <c r="I862" s="12"/>
      <c r="J862" s="12"/>
      <c r="K862" s="56"/>
      <c r="L862" s="71"/>
      <c r="M862" s="76"/>
      <c r="N862" s="12"/>
      <c r="O862" s="63"/>
      <c r="P862" s="67"/>
      <c r="Q862" s="14"/>
      <c r="R862" s="14"/>
      <c r="S862" s="13"/>
    </row>
    <row r="863" spans="2:19" ht="18" customHeight="1">
      <c r="B863" s="12"/>
      <c r="I863" s="12"/>
      <c r="J863" s="12"/>
      <c r="K863" s="56"/>
      <c r="L863" s="71"/>
      <c r="M863" s="76"/>
      <c r="N863" s="12"/>
      <c r="O863" s="63"/>
      <c r="P863" s="67"/>
      <c r="Q863" s="14"/>
      <c r="R863" s="14"/>
      <c r="S863" s="13"/>
    </row>
    <row r="864" spans="2:19" ht="18" customHeight="1">
      <c r="B864" s="12"/>
      <c r="I864" s="12"/>
      <c r="J864" s="12"/>
      <c r="K864" s="56"/>
      <c r="L864" s="71"/>
      <c r="M864" s="76"/>
      <c r="N864" s="12"/>
      <c r="O864" s="63"/>
      <c r="P864" s="67"/>
      <c r="Q864" s="14"/>
      <c r="R864" s="14"/>
      <c r="S864" s="13"/>
    </row>
    <row r="865" spans="2:19" ht="18" customHeight="1">
      <c r="B865" s="12"/>
      <c r="I865" s="12"/>
      <c r="J865" s="12"/>
      <c r="K865" s="56"/>
      <c r="L865" s="71"/>
      <c r="M865" s="76"/>
      <c r="N865" s="12"/>
      <c r="O865" s="63"/>
      <c r="P865" s="67"/>
      <c r="Q865" s="14"/>
      <c r="R865" s="14"/>
      <c r="S865" s="13"/>
    </row>
    <row r="866" spans="2:19" ht="18" customHeight="1">
      <c r="B866" s="12"/>
      <c r="I866" s="12"/>
      <c r="J866" s="12"/>
      <c r="K866" s="56"/>
      <c r="L866" s="71"/>
      <c r="M866" s="76"/>
      <c r="N866" s="12"/>
      <c r="O866" s="63"/>
      <c r="P866" s="67"/>
      <c r="Q866" s="14"/>
      <c r="R866" s="14"/>
      <c r="S866" s="13"/>
    </row>
    <row r="867" spans="2:19" ht="18" customHeight="1">
      <c r="B867" s="12"/>
      <c r="I867" s="12"/>
      <c r="J867" s="12"/>
      <c r="K867" s="56"/>
      <c r="L867" s="71"/>
      <c r="M867" s="76"/>
      <c r="N867" s="12"/>
      <c r="O867" s="63"/>
      <c r="P867" s="67"/>
      <c r="Q867" s="14"/>
      <c r="R867" s="14"/>
      <c r="S867" s="13"/>
    </row>
    <row r="868" spans="2:19" ht="18" customHeight="1">
      <c r="B868" s="12"/>
      <c r="I868" s="12"/>
      <c r="J868" s="12"/>
      <c r="K868" s="56"/>
      <c r="L868" s="71"/>
      <c r="M868" s="76"/>
      <c r="N868" s="12"/>
      <c r="O868" s="63"/>
      <c r="P868" s="67"/>
      <c r="Q868" s="14"/>
      <c r="R868" s="14"/>
      <c r="S868" s="13"/>
    </row>
    <row r="869" spans="2:19" ht="18" customHeight="1">
      <c r="B869" s="12"/>
      <c r="I869" s="12"/>
      <c r="J869" s="12"/>
      <c r="K869" s="56"/>
      <c r="L869" s="71"/>
      <c r="M869" s="76"/>
      <c r="N869" s="12"/>
      <c r="O869" s="63"/>
      <c r="P869" s="67"/>
      <c r="Q869" s="14"/>
      <c r="R869" s="14"/>
      <c r="S869" s="13"/>
    </row>
    <row r="870" spans="2:19" ht="18" customHeight="1">
      <c r="B870" s="12"/>
      <c r="I870" s="12"/>
      <c r="J870" s="12"/>
      <c r="K870" s="56"/>
      <c r="L870" s="71"/>
      <c r="M870" s="76"/>
      <c r="N870" s="12"/>
      <c r="O870" s="63"/>
      <c r="P870" s="67"/>
      <c r="Q870" s="14"/>
      <c r="R870" s="14"/>
      <c r="S870" s="13"/>
    </row>
    <row r="871" spans="2:19" ht="18" customHeight="1">
      <c r="B871" s="12"/>
      <c r="I871" s="12"/>
      <c r="J871" s="12"/>
      <c r="K871" s="56"/>
      <c r="L871" s="71"/>
      <c r="M871" s="76"/>
      <c r="N871" s="12"/>
      <c r="O871" s="63"/>
      <c r="P871" s="67"/>
      <c r="Q871" s="14"/>
      <c r="R871" s="14"/>
      <c r="S871" s="13"/>
    </row>
    <row r="872" spans="2:19" ht="18" customHeight="1">
      <c r="B872" s="12"/>
      <c r="I872" s="12"/>
      <c r="J872" s="12"/>
      <c r="K872" s="56"/>
      <c r="L872" s="71"/>
      <c r="M872" s="76"/>
      <c r="N872" s="12"/>
      <c r="O872" s="63"/>
      <c r="P872" s="67"/>
      <c r="Q872" s="14"/>
      <c r="R872" s="14"/>
      <c r="S872" s="13"/>
    </row>
    <row r="873" spans="2:19" ht="18" customHeight="1">
      <c r="B873" s="12"/>
      <c r="I873" s="12"/>
      <c r="J873" s="12"/>
      <c r="K873" s="56"/>
      <c r="L873" s="71"/>
      <c r="M873" s="76"/>
      <c r="N873" s="12"/>
      <c r="O873" s="63"/>
      <c r="P873" s="67"/>
      <c r="Q873" s="14"/>
      <c r="R873" s="14"/>
      <c r="S873" s="13"/>
    </row>
    <row r="874" spans="2:19" ht="18" customHeight="1">
      <c r="B874" s="12"/>
      <c r="I874" s="12"/>
      <c r="J874" s="12"/>
      <c r="K874" s="56"/>
      <c r="L874" s="71"/>
      <c r="M874" s="76"/>
      <c r="N874" s="12"/>
      <c r="O874" s="63"/>
      <c r="P874" s="67"/>
      <c r="Q874" s="14"/>
      <c r="R874" s="14"/>
      <c r="S874" s="13"/>
    </row>
    <row r="875" spans="2:19" ht="18" customHeight="1">
      <c r="B875" s="12"/>
      <c r="I875" s="12"/>
      <c r="J875" s="12"/>
      <c r="K875" s="56"/>
      <c r="L875" s="71"/>
      <c r="M875" s="76"/>
      <c r="N875" s="12"/>
      <c r="O875" s="63"/>
      <c r="P875" s="67"/>
      <c r="Q875" s="14"/>
      <c r="R875" s="14"/>
      <c r="S875" s="13"/>
    </row>
    <row r="876" spans="2:19" ht="18" customHeight="1">
      <c r="B876" s="12"/>
      <c r="I876" s="12"/>
      <c r="J876" s="12"/>
      <c r="K876" s="56"/>
      <c r="L876" s="71"/>
      <c r="M876" s="76"/>
      <c r="N876" s="12"/>
      <c r="O876" s="63"/>
      <c r="P876" s="67"/>
      <c r="Q876" s="14"/>
      <c r="R876" s="14"/>
      <c r="S876" s="13"/>
    </row>
    <row r="877" spans="2:19" ht="18" customHeight="1">
      <c r="B877" s="12"/>
      <c r="I877" s="12"/>
      <c r="J877" s="12"/>
      <c r="K877" s="56"/>
      <c r="L877" s="71"/>
      <c r="M877" s="76"/>
      <c r="N877" s="12"/>
      <c r="O877" s="63"/>
      <c r="P877" s="67"/>
      <c r="Q877" s="14"/>
      <c r="R877" s="14"/>
      <c r="S877" s="13"/>
    </row>
    <row r="878" spans="2:19" ht="18" customHeight="1">
      <c r="B878" s="12"/>
      <c r="I878" s="12"/>
      <c r="J878" s="12"/>
      <c r="K878" s="56"/>
      <c r="L878" s="71"/>
      <c r="M878" s="76"/>
      <c r="N878" s="12"/>
      <c r="O878" s="63"/>
      <c r="P878" s="67"/>
      <c r="Q878" s="14"/>
      <c r="R878" s="14"/>
      <c r="S878" s="13"/>
    </row>
    <row r="879" spans="2:19" ht="18" customHeight="1">
      <c r="B879" s="12"/>
      <c r="I879" s="12"/>
      <c r="J879" s="12"/>
      <c r="K879" s="56"/>
      <c r="L879" s="71"/>
      <c r="M879" s="76"/>
      <c r="N879" s="12"/>
      <c r="O879" s="63"/>
      <c r="P879" s="67"/>
      <c r="Q879" s="14"/>
      <c r="R879" s="14"/>
      <c r="S879" s="13"/>
    </row>
    <row r="880" spans="2:19" ht="18" customHeight="1">
      <c r="B880" s="12"/>
      <c r="I880" s="12"/>
      <c r="J880" s="12"/>
      <c r="K880" s="56"/>
      <c r="L880" s="71"/>
      <c r="M880" s="76"/>
      <c r="N880" s="12"/>
      <c r="O880" s="63"/>
      <c r="P880" s="67"/>
      <c r="Q880" s="14"/>
      <c r="R880" s="14"/>
      <c r="S880" s="13"/>
    </row>
    <row r="881" spans="2:19" ht="18" customHeight="1">
      <c r="B881" s="12"/>
      <c r="I881" s="12"/>
      <c r="J881" s="12"/>
      <c r="K881" s="56"/>
      <c r="L881" s="71"/>
      <c r="M881" s="76"/>
      <c r="N881" s="12"/>
      <c r="O881" s="63"/>
      <c r="P881" s="67"/>
      <c r="Q881" s="14"/>
      <c r="R881" s="14"/>
      <c r="S881" s="13"/>
    </row>
    <row r="882" spans="2:19" ht="18" customHeight="1">
      <c r="B882" s="12"/>
      <c r="I882" s="12"/>
      <c r="J882" s="12"/>
      <c r="K882" s="56"/>
      <c r="L882" s="71"/>
      <c r="M882" s="76"/>
      <c r="N882" s="12"/>
      <c r="O882" s="63"/>
      <c r="P882" s="67"/>
      <c r="Q882" s="14"/>
      <c r="R882" s="14"/>
      <c r="S882" s="13"/>
    </row>
    <row r="883" spans="2:19" ht="18" customHeight="1">
      <c r="B883" s="12"/>
      <c r="I883" s="12"/>
      <c r="J883" s="12"/>
      <c r="K883" s="56"/>
      <c r="L883" s="71"/>
      <c r="M883" s="76"/>
      <c r="N883" s="12"/>
      <c r="O883" s="63"/>
      <c r="P883" s="67"/>
      <c r="Q883" s="14"/>
      <c r="R883" s="14"/>
      <c r="S883" s="13"/>
    </row>
    <row r="884" spans="2:19" ht="18" customHeight="1">
      <c r="B884" s="12"/>
      <c r="I884" s="12"/>
      <c r="J884" s="12"/>
      <c r="K884" s="56"/>
      <c r="L884" s="71"/>
      <c r="M884" s="76"/>
      <c r="N884" s="12"/>
      <c r="O884" s="63"/>
      <c r="P884" s="67"/>
      <c r="Q884" s="14"/>
      <c r="R884" s="14"/>
      <c r="S884" s="13"/>
    </row>
    <row r="885" spans="2:19" ht="18" customHeight="1">
      <c r="B885" s="12"/>
      <c r="I885" s="12"/>
      <c r="J885" s="12"/>
      <c r="K885" s="56"/>
      <c r="L885" s="71"/>
      <c r="M885" s="76"/>
      <c r="N885" s="12"/>
      <c r="O885" s="63"/>
      <c r="P885" s="67"/>
      <c r="Q885" s="14"/>
      <c r="R885" s="14"/>
      <c r="S885" s="13"/>
    </row>
    <row r="886" spans="2:19" ht="18" customHeight="1">
      <c r="B886" s="12"/>
      <c r="I886" s="12"/>
      <c r="J886" s="12"/>
      <c r="K886" s="56"/>
      <c r="L886" s="71"/>
      <c r="M886" s="76"/>
      <c r="N886" s="12"/>
      <c r="O886" s="63"/>
      <c r="P886" s="67"/>
      <c r="Q886" s="14"/>
      <c r="R886" s="14"/>
      <c r="S886" s="13"/>
    </row>
    <row r="887" spans="2:19" ht="18" customHeight="1">
      <c r="B887" s="12"/>
      <c r="I887" s="12"/>
      <c r="J887" s="12"/>
      <c r="K887" s="56"/>
      <c r="L887" s="71"/>
      <c r="M887" s="76"/>
      <c r="N887" s="12"/>
      <c r="O887" s="63"/>
      <c r="P887" s="67"/>
      <c r="Q887" s="14"/>
      <c r="R887" s="14"/>
      <c r="S887" s="13"/>
    </row>
    <row r="888" spans="2:19" ht="18" customHeight="1">
      <c r="B888" s="12"/>
      <c r="I888" s="12"/>
      <c r="J888" s="12"/>
      <c r="K888" s="56"/>
      <c r="L888" s="71"/>
      <c r="M888" s="76"/>
      <c r="N888" s="12"/>
      <c r="O888" s="63"/>
      <c r="P888" s="67"/>
      <c r="Q888" s="14"/>
      <c r="R888" s="14"/>
      <c r="S888" s="13"/>
    </row>
    <row r="889" spans="2:19" ht="18" customHeight="1">
      <c r="B889" s="12"/>
      <c r="I889" s="12"/>
      <c r="J889" s="12"/>
      <c r="K889" s="56"/>
      <c r="L889" s="71"/>
      <c r="M889" s="76"/>
      <c r="N889" s="12"/>
      <c r="O889" s="63"/>
      <c r="P889" s="67"/>
      <c r="Q889" s="14"/>
      <c r="R889" s="14"/>
      <c r="S889" s="13"/>
    </row>
    <row r="890" spans="2:19" ht="18" customHeight="1">
      <c r="B890" s="12"/>
      <c r="I890" s="12"/>
      <c r="J890" s="12"/>
      <c r="K890" s="56"/>
      <c r="L890" s="71"/>
      <c r="M890" s="76"/>
      <c r="N890" s="12"/>
      <c r="O890" s="63"/>
      <c r="P890" s="67"/>
      <c r="Q890" s="14"/>
      <c r="R890" s="14"/>
      <c r="S890" s="13"/>
    </row>
    <row r="891" spans="2:19" ht="18" customHeight="1">
      <c r="B891" s="12"/>
      <c r="I891" s="12"/>
      <c r="J891" s="12"/>
      <c r="K891" s="56"/>
      <c r="L891" s="71"/>
      <c r="M891" s="76"/>
      <c r="N891" s="12"/>
      <c r="O891" s="63"/>
      <c r="P891" s="67"/>
      <c r="Q891" s="14"/>
      <c r="R891" s="14"/>
      <c r="S891" s="13"/>
    </row>
    <row r="892" spans="2:19" ht="18" customHeight="1">
      <c r="B892" s="12"/>
      <c r="I892" s="12"/>
      <c r="J892" s="12"/>
      <c r="K892" s="56"/>
      <c r="L892" s="71"/>
      <c r="M892" s="76"/>
      <c r="N892" s="12"/>
      <c r="O892" s="63"/>
      <c r="P892" s="67"/>
      <c r="Q892" s="14"/>
      <c r="R892" s="14"/>
      <c r="S892" s="13"/>
    </row>
    <row r="893" spans="2:19" ht="18" customHeight="1">
      <c r="B893" s="12"/>
      <c r="I893" s="12"/>
      <c r="J893" s="12"/>
      <c r="K893" s="56"/>
      <c r="L893" s="71"/>
      <c r="M893" s="76"/>
      <c r="N893" s="12"/>
      <c r="O893" s="63"/>
      <c r="P893" s="67"/>
      <c r="Q893" s="14"/>
      <c r="R893" s="14"/>
      <c r="S893" s="13"/>
    </row>
    <row r="894" spans="2:19" ht="18" customHeight="1">
      <c r="B894" s="12"/>
      <c r="I894" s="12"/>
      <c r="J894" s="12"/>
      <c r="K894" s="56"/>
      <c r="L894" s="71"/>
      <c r="M894" s="76"/>
      <c r="N894" s="12"/>
      <c r="O894" s="63"/>
      <c r="P894" s="67"/>
      <c r="Q894" s="14"/>
      <c r="R894" s="14"/>
      <c r="S894" s="13"/>
    </row>
    <row r="895" spans="2:19" ht="18" customHeight="1">
      <c r="B895" s="12"/>
      <c r="I895" s="12"/>
      <c r="J895" s="12"/>
      <c r="K895" s="56"/>
      <c r="L895" s="71"/>
      <c r="M895" s="76"/>
      <c r="N895" s="12"/>
      <c r="O895" s="63"/>
      <c r="P895" s="67"/>
      <c r="Q895" s="14"/>
      <c r="R895" s="14"/>
      <c r="S895" s="13"/>
    </row>
    <row r="896" spans="2:19" ht="18" customHeight="1">
      <c r="B896" s="12"/>
      <c r="I896" s="12"/>
      <c r="J896" s="12"/>
      <c r="K896" s="56"/>
      <c r="L896" s="71"/>
      <c r="M896" s="76"/>
      <c r="N896" s="12"/>
      <c r="O896" s="63"/>
      <c r="P896" s="67"/>
      <c r="Q896" s="14"/>
      <c r="R896" s="14"/>
      <c r="S896" s="13"/>
    </row>
    <row r="897" spans="2:19" ht="18" customHeight="1">
      <c r="B897" s="12"/>
      <c r="I897" s="12"/>
      <c r="J897" s="12"/>
      <c r="K897" s="56"/>
      <c r="L897" s="71"/>
      <c r="M897" s="76"/>
      <c r="N897" s="12"/>
      <c r="O897" s="63"/>
      <c r="P897" s="67"/>
      <c r="Q897" s="14"/>
      <c r="R897" s="14"/>
      <c r="S897" s="13"/>
    </row>
    <row r="898" spans="2:19" ht="18" customHeight="1">
      <c r="B898" s="12"/>
      <c r="I898" s="12"/>
      <c r="J898" s="12"/>
      <c r="K898" s="56"/>
      <c r="L898" s="71"/>
      <c r="M898" s="76"/>
      <c r="N898" s="12"/>
      <c r="O898" s="63"/>
      <c r="P898" s="67"/>
      <c r="Q898" s="14"/>
      <c r="R898" s="14"/>
      <c r="S898" s="13"/>
    </row>
    <row r="899" spans="2:19" ht="18" customHeight="1">
      <c r="B899" s="12"/>
      <c r="I899" s="12"/>
      <c r="J899" s="12"/>
      <c r="K899" s="56"/>
      <c r="L899" s="71"/>
      <c r="M899" s="76"/>
      <c r="N899" s="12"/>
      <c r="O899" s="63"/>
      <c r="P899" s="67"/>
      <c r="Q899" s="14"/>
      <c r="R899" s="14"/>
      <c r="S899" s="13"/>
    </row>
    <row r="900" spans="2:19" ht="18" customHeight="1">
      <c r="B900" s="12"/>
      <c r="I900" s="12"/>
      <c r="J900" s="12"/>
      <c r="K900" s="56"/>
      <c r="L900" s="71"/>
      <c r="M900" s="76"/>
      <c r="N900" s="12"/>
      <c r="O900" s="63"/>
      <c r="P900" s="67"/>
      <c r="Q900" s="14"/>
      <c r="R900" s="14"/>
      <c r="S900" s="13"/>
    </row>
    <row r="901" spans="2:19" ht="18" customHeight="1">
      <c r="B901" s="12"/>
      <c r="I901" s="12"/>
      <c r="J901" s="12"/>
      <c r="K901" s="56"/>
      <c r="L901" s="71"/>
      <c r="M901" s="76"/>
      <c r="N901" s="12"/>
      <c r="O901" s="63"/>
      <c r="P901" s="67"/>
      <c r="Q901" s="14"/>
      <c r="R901" s="14"/>
      <c r="S901" s="13"/>
    </row>
    <row r="902" spans="2:19" ht="18" customHeight="1">
      <c r="B902" s="12"/>
      <c r="I902" s="12"/>
      <c r="J902" s="12"/>
      <c r="K902" s="56"/>
      <c r="L902" s="71"/>
      <c r="M902" s="76"/>
      <c r="N902" s="12"/>
      <c r="O902" s="63"/>
      <c r="P902" s="67"/>
      <c r="Q902" s="14"/>
      <c r="R902" s="14"/>
      <c r="S902" s="13"/>
    </row>
    <row r="903" spans="2:19" ht="18" customHeight="1">
      <c r="B903" s="12"/>
      <c r="I903" s="12"/>
      <c r="J903" s="12"/>
      <c r="K903" s="56"/>
      <c r="L903" s="71"/>
      <c r="M903" s="76"/>
      <c r="N903" s="12"/>
      <c r="O903" s="63"/>
      <c r="P903" s="67"/>
      <c r="Q903" s="14"/>
      <c r="R903" s="14"/>
      <c r="S903" s="13"/>
    </row>
    <row r="904" spans="2:19" ht="18" customHeight="1">
      <c r="B904" s="12"/>
      <c r="I904" s="12"/>
      <c r="J904" s="12"/>
      <c r="K904" s="56"/>
      <c r="L904" s="71"/>
      <c r="M904" s="76"/>
      <c r="N904" s="12"/>
      <c r="O904" s="63"/>
      <c r="P904" s="67"/>
      <c r="Q904" s="14"/>
      <c r="R904" s="14"/>
      <c r="S904" s="13"/>
    </row>
    <row r="905" spans="2:19" ht="18" customHeight="1">
      <c r="B905" s="12"/>
      <c r="I905" s="12"/>
      <c r="J905" s="12"/>
      <c r="K905" s="56"/>
      <c r="L905" s="71"/>
      <c r="M905" s="76"/>
      <c r="N905" s="12"/>
      <c r="O905" s="63"/>
      <c r="P905" s="67"/>
      <c r="Q905" s="14"/>
      <c r="R905" s="14"/>
      <c r="S905" s="13"/>
    </row>
    <row r="906" spans="2:19" ht="18" customHeight="1">
      <c r="B906" s="12"/>
      <c r="I906" s="12"/>
      <c r="J906" s="12"/>
      <c r="K906" s="56"/>
      <c r="L906" s="71"/>
      <c r="M906" s="76"/>
      <c r="N906" s="12"/>
      <c r="O906" s="63"/>
      <c r="P906" s="67"/>
      <c r="Q906" s="14"/>
      <c r="R906" s="14"/>
      <c r="S906" s="13"/>
    </row>
    <row r="907" spans="2:19" ht="18" customHeight="1">
      <c r="B907" s="12"/>
      <c r="I907" s="12"/>
      <c r="J907" s="12"/>
      <c r="K907" s="56"/>
      <c r="L907" s="71"/>
      <c r="M907" s="76"/>
      <c r="N907" s="12"/>
      <c r="O907" s="63"/>
      <c r="P907" s="67"/>
      <c r="Q907" s="14"/>
      <c r="R907" s="14"/>
      <c r="S907" s="13"/>
    </row>
    <row r="908" spans="2:19" ht="18" customHeight="1">
      <c r="B908" s="12"/>
      <c r="I908" s="12"/>
      <c r="J908" s="12"/>
      <c r="K908" s="56"/>
      <c r="L908" s="71"/>
      <c r="M908" s="76"/>
      <c r="N908" s="12"/>
      <c r="O908" s="63"/>
      <c r="P908" s="67"/>
      <c r="Q908" s="14"/>
      <c r="R908" s="14"/>
      <c r="S908" s="13"/>
    </row>
    <row r="909" spans="2:19" ht="18" customHeight="1">
      <c r="B909" s="12"/>
      <c r="I909" s="12"/>
      <c r="J909" s="12"/>
      <c r="K909" s="56"/>
      <c r="L909" s="71"/>
      <c r="M909" s="76"/>
      <c r="N909" s="12"/>
      <c r="O909" s="63"/>
      <c r="P909" s="67"/>
      <c r="Q909" s="14"/>
      <c r="R909" s="14"/>
      <c r="S909" s="13"/>
    </row>
    <row r="910" spans="2:19" ht="18" customHeight="1">
      <c r="B910" s="12"/>
      <c r="I910" s="12"/>
      <c r="J910" s="12"/>
      <c r="K910" s="56"/>
      <c r="L910" s="71"/>
      <c r="M910" s="76"/>
      <c r="N910" s="12"/>
      <c r="O910" s="63"/>
      <c r="P910" s="67"/>
      <c r="Q910" s="14"/>
      <c r="R910" s="14"/>
      <c r="S910" s="13"/>
    </row>
    <row r="911" spans="2:19" ht="18" customHeight="1">
      <c r="B911" s="12"/>
      <c r="I911" s="12"/>
      <c r="J911" s="12"/>
      <c r="K911" s="56"/>
      <c r="L911" s="71"/>
      <c r="M911" s="76"/>
      <c r="N911" s="12"/>
      <c r="O911" s="63"/>
      <c r="P911" s="67"/>
      <c r="Q911" s="14"/>
      <c r="R911" s="14"/>
      <c r="S911" s="13"/>
    </row>
    <row r="912" spans="2:19" ht="18" customHeight="1">
      <c r="B912" s="12"/>
      <c r="I912" s="12"/>
      <c r="J912" s="12"/>
      <c r="K912" s="56"/>
      <c r="L912" s="71"/>
      <c r="M912" s="76"/>
      <c r="N912" s="12"/>
      <c r="O912" s="63"/>
      <c r="P912" s="67"/>
      <c r="Q912" s="14"/>
      <c r="R912" s="14"/>
      <c r="S912" s="13"/>
    </row>
    <row r="913" spans="2:19" ht="18" customHeight="1">
      <c r="B913" s="12"/>
      <c r="I913" s="12"/>
      <c r="J913" s="12"/>
      <c r="K913" s="56"/>
      <c r="L913" s="71"/>
      <c r="M913" s="76"/>
      <c r="N913" s="12"/>
      <c r="O913" s="63"/>
      <c r="P913" s="67"/>
      <c r="Q913" s="14"/>
      <c r="R913" s="14"/>
      <c r="S913" s="13"/>
    </row>
    <row r="914" spans="2:19" ht="18" customHeight="1">
      <c r="B914" s="12"/>
      <c r="I914" s="12"/>
      <c r="J914" s="12"/>
      <c r="K914" s="56"/>
      <c r="L914" s="71"/>
      <c r="M914" s="76"/>
      <c r="N914" s="12"/>
      <c r="O914" s="63"/>
      <c r="P914" s="67"/>
      <c r="Q914" s="14"/>
      <c r="R914" s="14"/>
      <c r="S914" s="13"/>
    </row>
    <row r="915" spans="2:19" ht="18" customHeight="1">
      <c r="B915" s="12"/>
      <c r="I915" s="12"/>
      <c r="J915" s="12"/>
      <c r="K915" s="56"/>
      <c r="L915" s="71"/>
      <c r="M915" s="76"/>
      <c r="N915" s="12"/>
      <c r="O915" s="63"/>
      <c r="P915" s="67"/>
      <c r="Q915" s="14"/>
      <c r="R915" s="14"/>
      <c r="S915" s="13"/>
    </row>
    <row r="916" spans="2:19" ht="18" customHeight="1">
      <c r="B916" s="12"/>
      <c r="I916" s="12"/>
      <c r="J916" s="12"/>
      <c r="K916" s="56"/>
      <c r="L916" s="71"/>
      <c r="M916" s="76"/>
      <c r="N916" s="12"/>
      <c r="O916" s="63"/>
      <c r="P916" s="67"/>
      <c r="Q916" s="14"/>
      <c r="R916" s="14"/>
      <c r="S916" s="13"/>
    </row>
    <row r="917" spans="2:19" ht="18" customHeight="1">
      <c r="B917" s="12"/>
      <c r="I917" s="12"/>
      <c r="J917" s="12"/>
      <c r="K917" s="56"/>
      <c r="L917" s="71"/>
      <c r="M917" s="76"/>
      <c r="N917" s="12"/>
      <c r="O917" s="63"/>
      <c r="P917" s="67"/>
      <c r="Q917" s="14"/>
      <c r="R917" s="14"/>
      <c r="S917" s="13"/>
    </row>
    <row r="918" spans="2:19" ht="18" customHeight="1">
      <c r="B918" s="12"/>
      <c r="I918" s="12"/>
      <c r="J918" s="12"/>
      <c r="K918" s="56"/>
      <c r="L918" s="71"/>
      <c r="M918" s="76"/>
      <c r="N918" s="12"/>
      <c r="O918" s="63"/>
      <c r="P918" s="67"/>
      <c r="Q918" s="14"/>
      <c r="R918" s="14"/>
      <c r="S918" s="13"/>
    </row>
    <row r="919" spans="2:19" ht="18" customHeight="1">
      <c r="B919" s="12"/>
      <c r="I919" s="12"/>
      <c r="J919" s="12"/>
      <c r="K919" s="56"/>
      <c r="L919" s="71"/>
      <c r="M919" s="76"/>
      <c r="N919" s="12"/>
      <c r="O919" s="63"/>
      <c r="P919" s="67"/>
      <c r="Q919" s="14"/>
      <c r="R919" s="14"/>
      <c r="S919" s="13"/>
    </row>
    <row r="920" spans="2:19" ht="18" customHeight="1">
      <c r="B920" s="12"/>
      <c r="I920" s="12"/>
      <c r="J920" s="12"/>
      <c r="K920" s="56"/>
      <c r="L920" s="71"/>
      <c r="M920" s="76"/>
      <c r="N920" s="12"/>
      <c r="O920" s="63"/>
      <c r="P920" s="67"/>
      <c r="Q920" s="14"/>
      <c r="R920" s="14"/>
      <c r="S920" s="13"/>
    </row>
    <row r="921" spans="2:19" ht="18" customHeight="1">
      <c r="B921" s="12"/>
      <c r="I921" s="12"/>
      <c r="J921" s="12"/>
      <c r="K921" s="56"/>
      <c r="L921" s="71"/>
      <c r="M921" s="76"/>
      <c r="N921" s="12"/>
      <c r="O921" s="63"/>
      <c r="P921" s="67"/>
      <c r="Q921" s="14"/>
      <c r="R921" s="14"/>
      <c r="S921" s="13"/>
    </row>
    <row r="922" spans="2:19" ht="18" customHeight="1">
      <c r="B922" s="12"/>
      <c r="I922" s="12"/>
      <c r="J922" s="12"/>
      <c r="K922" s="56"/>
      <c r="L922" s="71"/>
      <c r="M922" s="76"/>
      <c r="N922" s="12"/>
      <c r="O922" s="63"/>
      <c r="P922" s="67"/>
      <c r="Q922" s="14"/>
      <c r="R922" s="14"/>
      <c r="S922" s="13"/>
    </row>
    <row r="923" spans="2:19" ht="18" customHeight="1">
      <c r="B923" s="12"/>
      <c r="I923" s="12"/>
      <c r="J923" s="12"/>
      <c r="K923" s="56"/>
      <c r="L923" s="71"/>
      <c r="M923" s="76"/>
      <c r="N923" s="12"/>
      <c r="O923" s="63"/>
      <c r="P923" s="67"/>
      <c r="Q923" s="14"/>
      <c r="R923" s="14"/>
      <c r="S923" s="13"/>
    </row>
    <row r="924" spans="2:19" ht="18" customHeight="1">
      <c r="B924" s="12"/>
      <c r="I924" s="12"/>
      <c r="J924" s="12"/>
      <c r="K924" s="56"/>
      <c r="L924" s="71"/>
      <c r="M924" s="76"/>
      <c r="N924" s="12"/>
      <c r="O924" s="63"/>
      <c r="P924" s="67"/>
      <c r="Q924" s="14"/>
      <c r="R924" s="14"/>
      <c r="S924" s="13"/>
    </row>
    <row r="925" spans="2:19" ht="18" customHeight="1">
      <c r="B925" s="12"/>
      <c r="I925" s="12"/>
      <c r="J925" s="12"/>
      <c r="K925" s="56"/>
      <c r="L925" s="71"/>
      <c r="M925" s="76"/>
      <c r="N925" s="12"/>
      <c r="O925" s="63"/>
      <c r="P925" s="67"/>
      <c r="Q925" s="14"/>
      <c r="R925" s="14"/>
      <c r="S925" s="13"/>
    </row>
    <row r="926" spans="2:19" ht="18" customHeight="1">
      <c r="B926" s="12"/>
      <c r="I926" s="12"/>
      <c r="J926" s="12"/>
      <c r="K926" s="56"/>
      <c r="L926" s="71"/>
      <c r="M926" s="76"/>
      <c r="N926" s="12"/>
      <c r="O926" s="63"/>
      <c r="P926" s="67"/>
      <c r="Q926" s="14"/>
      <c r="R926" s="14"/>
      <c r="S926" s="13"/>
    </row>
    <row r="927" spans="2:19" ht="18" customHeight="1">
      <c r="B927" s="12"/>
      <c r="I927" s="12"/>
      <c r="J927" s="12"/>
      <c r="K927" s="56"/>
      <c r="L927" s="71"/>
      <c r="M927" s="76"/>
      <c r="N927" s="12"/>
      <c r="O927" s="63"/>
      <c r="P927" s="67"/>
      <c r="Q927" s="14"/>
      <c r="R927" s="14"/>
      <c r="S927" s="13"/>
    </row>
    <row r="928" spans="2:19" ht="18" customHeight="1">
      <c r="B928" s="12"/>
      <c r="I928" s="12"/>
      <c r="J928" s="12"/>
      <c r="K928" s="56"/>
      <c r="L928" s="71"/>
      <c r="M928" s="76"/>
      <c r="N928" s="12"/>
      <c r="O928" s="63"/>
      <c r="P928" s="67"/>
      <c r="Q928" s="14"/>
      <c r="R928" s="14"/>
      <c r="S928" s="13"/>
    </row>
    <row r="929" spans="2:19" ht="18" customHeight="1">
      <c r="B929" s="12"/>
      <c r="I929" s="12"/>
      <c r="J929" s="12"/>
      <c r="K929" s="56"/>
      <c r="L929" s="71"/>
      <c r="M929" s="76"/>
      <c r="N929" s="12"/>
      <c r="O929" s="63"/>
      <c r="P929" s="67"/>
      <c r="Q929" s="14"/>
      <c r="R929" s="14"/>
      <c r="S929" s="13"/>
    </row>
    <row r="930" spans="2:19" ht="18" customHeight="1">
      <c r="B930" s="12"/>
      <c r="I930" s="12"/>
      <c r="J930" s="12"/>
      <c r="K930" s="56"/>
      <c r="L930" s="71"/>
      <c r="M930" s="76"/>
      <c r="N930" s="12"/>
      <c r="O930" s="63"/>
      <c r="P930" s="67"/>
      <c r="Q930" s="14"/>
      <c r="R930" s="14"/>
      <c r="S930" s="13"/>
    </row>
    <row r="931" spans="2:19" ht="18" customHeight="1">
      <c r="B931" s="12"/>
      <c r="I931" s="12"/>
      <c r="J931" s="12"/>
      <c r="K931" s="56"/>
      <c r="L931" s="71"/>
      <c r="M931" s="76"/>
      <c r="N931" s="12"/>
      <c r="O931" s="63"/>
      <c r="P931" s="67"/>
      <c r="Q931" s="14"/>
      <c r="R931" s="14"/>
      <c r="S931" s="13"/>
    </row>
    <row r="932" spans="2:19" ht="18" customHeight="1">
      <c r="B932" s="12"/>
      <c r="I932" s="12"/>
      <c r="J932" s="12"/>
      <c r="K932" s="56"/>
      <c r="L932" s="71"/>
      <c r="M932" s="76"/>
      <c r="N932" s="12"/>
      <c r="O932" s="63"/>
      <c r="P932" s="67"/>
      <c r="Q932" s="14"/>
      <c r="R932" s="14"/>
      <c r="S932" s="13"/>
    </row>
    <row r="933" spans="2:19" ht="18" customHeight="1">
      <c r="B933" s="12"/>
      <c r="I933" s="12"/>
      <c r="J933" s="12"/>
      <c r="K933" s="56"/>
      <c r="L933" s="71"/>
      <c r="M933" s="76"/>
      <c r="N933" s="12"/>
      <c r="O933" s="63"/>
      <c r="P933" s="67"/>
      <c r="Q933" s="14"/>
      <c r="R933" s="14"/>
      <c r="S933" s="13"/>
    </row>
    <row r="934" spans="2:19" ht="18" customHeight="1">
      <c r="B934" s="12"/>
      <c r="I934" s="12"/>
      <c r="J934" s="12"/>
      <c r="K934" s="56"/>
      <c r="L934" s="71"/>
      <c r="M934" s="76"/>
      <c r="N934" s="12"/>
      <c r="O934" s="63"/>
      <c r="P934" s="67"/>
      <c r="Q934" s="14"/>
      <c r="R934" s="14"/>
      <c r="S934" s="13"/>
    </row>
    <row r="935" spans="2:19" ht="18" customHeight="1">
      <c r="B935" s="12"/>
      <c r="I935" s="12"/>
      <c r="J935" s="12"/>
      <c r="K935" s="56"/>
      <c r="L935" s="71"/>
      <c r="M935" s="76"/>
      <c r="N935" s="12"/>
      <c r="O935" s="63"/>
      <c r="P935" s="67"/>
      <c r="Q935" s="14"/>
      <c r="R935" s="14"/>
      <c r="S935" s="13"/>
    </row>
    <row r="936" spans="2:19" ht="18" customHeight="1">
      <c r="B936" s="12"/>
      <c r="I936" s="12"/>
      <c r="J936" s="12"/>
      <c r="K936" s="56"/>
      <c r="L936" s="71"/>
      <c r="M936" s="76"/>
      <c r="N936" s="12"/>
      <c r="O936" s="63"/>
      <c r="P936" s="67"/>
      <c r="Q936" s="14"/>
      <c r="R936" s="14"/>
      <c r="S936" s="13"/>
    </row>
    <row r="937" spans="2:19" ht="18" customHeight="1">
      <c r="B937" s="12"/>
      <c r="I937" s="12"/>
      <c r="J937" s="12"/>
      <c r="K937" s="56"/>
      <c r="L937" s="71"/>
      <c r="M937" s="76"/>
      <c r="N937" s="12"/>
      <c r="O937" s="63"/>
      <c r="P937" s="67"/>
      <c r="Q937" s="14"/>
      <c r="R937" s="14"/>
      <c r="S937" s="13"/>
    </row>
    <row r="938" spans="2:19" ht="18" customHeight="1">
      <c r="B938" s="12"/>
      <c r="I938" s="12"/>
      <c r="J938" s="12"/>
      <c r="K938" s="56"/>
      <c r="L938" s="71"/>
      <c r="M938" s="76"/>
      <c r="N938" s="12"/>
      <c r="O938" s="63"/>
      <c r="P938" s="67"/>
      <c r="Q938" s="14"/>
      <c r="R938" s="14"/>
      <c r="S938" s="13"/>
    </row>
    <row r="939" spans="2:19" ht="18" customHeight="1">
      <c r="B939" s="12"/>
      <c r="I939" s="12"/>
      <c r="J939" s="12"/>
      <c r="K939" s="56"/>
      <c r="L939" s="71"/>
      <c r="M939" s="76"/>
      <c r="N939" s="12"/>
      <c r="O939" s="63"/>
      <c r="P939" s="67"/>
      <c r="Q939" s="14"/>
      <c r="R939" s="14"/>
      <c r="S939" s="13"/>
    </row>
    <row r="940" spans="2:19" ht="18" customHeight="1">
      <c r="B940" s="12"/>
      <c r="I940" s="12"/>
      <c r="J940" s="12"/>
      <c r="K940" s="56"/>
      <c r="L940" s="71"/>
      <c r="M940" s="76"/>
      <c r="N940" s="12"/>
      <c r="O940" s="63"/>
      <c r="P940" s="67"/>
      <c r="Q940" s="14"/>
      <c r="R940" s="14"/>
      <c r="S940" s="13"/>
    </row>
    <row r="941" spans="2:19" ht="18" customHeight="1">
      <c r="B941" s="12"/>
      <c r="I941" s="12"/>
      <c r="J941" s="12"/>
      <c r="K941" s="56"/>
      <c r="L941" s="71"/>
      <c r="M941" s="76"/>
      <c r="N941" s="12"/>
      <c r="O941" s="63"/>
      <c r="P941" s="67"/>
      <c r="Q941" s="14"/>
      <c r="R941" s="14"/>
      <c r="S941" s="13"/>
    </row>
    <row r="942" spans="2:19" ht="18" customHeight="1">
      <c r="B942" s="12"/>
      <c r="I942" s="12"/>
      <c r="J942" s="12"/>
      <c r="K942" s="56"/>
      <c r="L942" s="71"/>
      <c r="M942" s="76"/>
      <c r="N942" s="12"/>
      <c r="O942" s="63"/>
      <c r="P942" s="67"/>
      <c r="Q942" s="14"/>
      <c r="R942" s="14"/>
      <c r="S942" s="13"/>
    </row>
    <row r="943" spans="2:19" ht="18" customHeight="1">
      <c r="B943" s="12"/>
      <c r="I943" s="12"/>
      <c r="J943" s="12"/>
      <c r="K943" s="56"/>
      <c r="L943" s="71"/>
      <c r="M943" s="76"/>
      <c r="N943" s="12"/>
      <c r="O943" s="63"/>
      <c r="P943" s="67"/>
      <c r="Q943" s="14"/>
      <c r="R943" s="14"/>
      <c r="S943" s="13"/>
    </row>
    <row r="944" spans="2:19" ht="18" customHeight="1">
      <c r="B944" s="12"/>
      <c r="I944" s="12"/>
      <c r="J944" s="12"/>
      <c r="K944" s="56"/>
      <c r="L944" s="71"/>
      <c r="M944" s="76"/>
      <c r="N944" s="12"/>
      <c r="O944" s="63"/>
      <c r="P944" s="67"/>
      <c r="Q944" s="14"/>
      <c r="R944" s="14"/>
      <c r="S944" s="13"/>
    </row>
    <row r="945" spans="2:19" ht="18" customHeight="1">
      <c r="B945" s="12"/>
      <c r="I945" s="12"/>
      <c r="J945" s="12"/>
      <c r="K945" s="56"/>
      <c r="L945" s="71"/>
      <c r="M945" s="76"/>
      <c r="N945" s="12"/>
      <c r="O945" s="63"/>
      <c r="P945" s="67"/>
      <c r="Q945" s="14"/>
      <c r="R945" s="14"/>
      <c r="S945" s="13"/>
    </row>
    <row r="946" spans="2:19" ht="18" customHeight="1">
      <c r="B946" s="12"/>
      <c r="I946" s="12"/>
      <c r="J946" s="12"/>
      <c r="K946" s="56"/>
      <c r="L946" s="71"/>
      <c r="M946" s="76"/>
      <c r="N946" s="12"/>
      <c r="O946" s="63"/>
      <c r="P946" s="67"/>
      <c r="Q946" s="14"/>
      <c r="R946" s="14"/>
      <c r="S946" s="13"/>
    </row>
    <row r="947" spans="2:19" ht="18" customHeight="1">
      <c r="B947" s="12"/>
      <c r="I947" s="12"/>
      <c r="J947" s="12"/>
      <c r="K947" s="56"/>
      <c r="L947" s="71"/>
      <c r="M947" s="76"/>
      <c r="N947" s="12"/>
      <c r="O947" s="63"/>
      <c r="P947" s="67"/>
      <c r="Q947" s="14"/>
      <c r="R947" s="14"/>
      <c r="S947" s="13"/>
    </row>
    <row r="948" spans="2:19" ht="18" customHeight="1">
      <c r="B948" s="12"/>
      <c r="I948" s="12"/>
      <c r="J948" s="12"/>
      <c r="K948" s="56"/>
      <c r="L948" s="71"/>
      <c r="M948" s="76"/>
      <c r="N948" s="12"/>
      <c r="O948" s="63"/>
      <c r="P948" s="67"/>
      <c r="Q948" s="14"/>
      <c r="R948" s="14"/>
      <c r="S948" s="13"/>
    </row>
    <row r="949" spans="2:19" ht="18" customHeight="1">
      <c r="B949" s="12"/>
      <c r="I949" s="12"/>
      <c r="J949" s="12"/>
      <c r="K949" s="56"/>
      <c r="L949" s="71"/>
      <c r="M949" s="76"/>
      <c r="N949" s="12"/>
      <c r="O949" s="63"/>
      <c r="P949" s="67"/>
      <c r="Q949" s="14"/>
      <c r="R949" s="14"/>
      <c r="S949" s="13"/>
    </row>
    <row r="950" spans="2:19" ht="18" customHeight="1">
      <c r="B950" s="12"/>
      <c r="I950" s="12"/>
      <c r="J950" s="12"/>
      <c r="K950" s="56"/>
      <c r="L950" s="71"/>
      <c r="M950" s="76"/>
      <c r="N950" s="12"/>
      <c r="O950" s="63"/>
      <c r="P950" s="67"/>
      <c r="Q950" s="14"/>
      <c r="R950" s="14"/>
      <c r="S950" s="13"/>
    </row>
    <row r="951" spans="2:19" ht="18" customHeight="1">
      <c r="B951" s="12"/>
      <c r="I951" s="12"/>
      <c r="J951" s="12"/>
      <c r="K951" s="56"/>
      <c r="L951" s="71"/>
      <c r="M951" s="76"/>
      <c r="N951" s="12"/>
      <c r="O951" s="63"/>
      <c r="P951" s="67"/>
      <c r="Q951" s="14"/>
      <c r="R951" s="14"/>
      <c r="S951" s="13"/>
    </row>
    <row r="952" spans="2:19" ht="18" customHeight="1">
      <c r="B952" s="12"/>
      <c r="I952" s="12"/>
      <c r="J952" s="12"/>
      <c r="K952" s="56"/>
      <c r="L952" s="71"/>
      <c r="M952" s="76"/>
      <c r="N952" s="12"/>
      <c r="O952" s="63"/>
      <c r="P952" s="67"/>
      <c r="Q952" s="14"/>
      <c r="R952" s="14"/>
      <c r="S952" s="13"/>
    </row>
    <row r="953" spans="2:19" ht="18" customHeight="1">
      <c r="B953" s="12"/>
      <c r="I953" s="12"/>
      <c r="J953" s="12"/>
      <c r="K953" s="56"/>
      <c r="L953" s="71"/>
      <c r="M953" s="76"/>
      <c r="N953" s="12"/>
      <c r="O953" s="63"/>
      <c r="P953" s="67"/>
      <c r="Q953" s="14"/>
      <c r="R953" s="14"/>
      <c r="S953" s="13"/>
    </row>
    <row r="954" spans="2:19" ht="18" customHeight="1">
      <c r="B954" s="12"/>
      <c r="I954" s="12"/>
      <c r="J954" s="12"/>
      <c r="K954" s="56"/>
      <c r="L954" s="71"/>
      <c r="M954" s="76"/>
      <c r="N954" s="12"/>
      <c r="O954" s="63"/>
      <c r="P954" s="67"/>
      <c r="Q954" s="14"/>
      <c r="R954" s="14"/>
      <c r="S954" s="13"/>
    </row>
    <row r="955" spans="2:19" ht="18" customHeight="1">
      <c r="B955" s="12"/>
      <c r="I955" s="12"/>
      <c r="J955" s="12"/>
      <c r="K955" s="56"/>
      <c r="L955" s="71"/>
      <c r="M955" s="76"/>
      <c r="N955" s="12"/>
      <c r="O955" s="63"/>
      <c r="P955" s="67"/>
      <c r="Q955" s="14"/>
      <c r="R955" s="14"/>
      <c r="S955" s="13"/>
    </row>
    <row r="956" spans="2:19" ht="18" customHeight="1">
      <c r="B956" s="12"/>
      <c r="I956" s="12"/>
      <c r="J956" s="12"/>
      <c r="K956" s="56"/>
      <c r="L956" s="71"/>
      <c r="M956" s="76"/>
      <c r="N956" s="12"/>
      <c r="O956" s="63"/>
      <c r="P956" s="67"/>
      <c r="Q956" s="14"/>
      <c r="R956" s="14"/>
      <c r="S956" s="13"/>
    </row>
    <row r="957" spans="2:19" ht="18" customHeight="1">
      <c r="B957" s="12"/>
      <c r="I957" s="12"/>
      <c r="J957" s="12"/>
      <c r="K957" s="56"/>
      <c r="L957" s="71"/>
      <c r="M957" s="76"/>
      <c r="N957" s="12"/>
      <c r="O957" s="63"/>
      <c r="P957" s="67"/>
      <c r="Q957" s="14"/>
      <c r="R957" s="14"/>
      <c r="S957" s="13"/>
    </row>
    <row r="958" spans="2:19" ht="18" customHeight="1">
      <c r="B958" s="12"/>
      <c r="I958" s="12"/>
      <c r="J958" s="12"/>
      <c r="K958" s="56"/>
      <c r="L958" s="71"/>
      <c r="M958" s="76"/>
      <c r="N958" s="12"/>
      <c r="O958" s="63"/>
      <c r="P958" s="67"/>
      <c r="Q958" s="14"/>
      <c r="R958" s="14"/>
      <c r="S958" s="13"/>
    </row>
    <row r="959" spans="2:19" ht="18" customHeight="1">
      <c r="B959" s="12"/>
      <c r="I959" s="12"/>
      <c r="J959" s="12"/>
      <c r="K959" s="56"/>
      <c r="L959" s="71"/>
      <c r="M959" s="76"/>
      <c r="N959" s="12"/>
      <c r="O959" s="63"/>
      <c r="P959" s="67"/>
      <c r="Q959" s="14"/>
      <c r="R959" s="14"/>
      <c r="S959" s="13"/>
    </row>
    <row r="960" spans="2:19" ht="18" customHeight="1">
      <c r="B960" s="12"/>
      <c r="I960" s="12"/>
      <c r="J960" s="12"/>
      <c r="K960" s="56"/>
      <c r="L960" s="71"/>
      <c r="M960" s="76"/>
      <c r="N960" s="12"/>
      <c r="O960" s="63"/>
      <c r="P960" s="67"/>
      <c r="Q960" s="14"/>
      <c r="R960" s="14"/>
      <c r="S960" s="13"/>
    </row>
    <row r="961" spans="2:19" ht="18" customHeight="1">
      <c r="B961" s="12"/>
      <c r="I961" s="12"/>
      <c r="J961" s="12"/>
      <c r="K961" s="56"/>
      <c r="L961" s="71"/>
      <c r="M961" s="76"/>
      <c r="N961" s="12"/>
      <c r="O961" s="63"/>
      <c r="P961" s="67"/>
      <c r="Q961" s="14"/>
      <c r="R961" s="14"/>
      <c r="S961" s="13"/>
    </row>
    <row r="962" spans="2:19" ht="18" customHeight="1">
      <c r="B962" s="12"/>
      <c r="I962" s="12"/>
      <c r="J962" s="12"/>
      <c r="K962" s="56"/>
      <c r="L962" s="71"/>
      <c r="M962" s="76"/>
      <c r="N962" s="12"/>
      <c r="O962" s="63"/>
      <c r="P962" s="67"/>
      <c r="Q962" s="14"/>
      <c r="R962" s="14"/>
      <c r="S962" s="13"/>
    </row>
    <row r="963" spans="2:19" ht="18" customHeight="1">
      <c r="B963" s="12"/>
      <c r="I963" s="12"/>
      <c r="J963" s="12"/>
      <c r="K963" s="56"/>
      <c r="L963" s="71"/>
      <c r="M963" s="76"/>
      <c r="N963" s="12"/>
      <c r="O963" s="63"/>
      <c r="P963" s="67"/>
      <c r="Q963" s="14"/>
      <c r="R963" s="14"/>
      <c r="S963" s="13"/>
    </row>
    <row r="964" spans="2:19" ht="18" customHeight="1">
      <c r="B964" s="12"/>
      <c r="I964" s="12"/>
      <c r="J964" s="12"/>
      <c r="K964" s="56"/>
      <c r="L964" s="71"/>
      <c r="M964" s="76"/>
      <c r="N964" s="12"/>
      <c r="O964" s="63"/>
      <c r="P964" s="67"/>
      <c r="Q964" s="14"/>
      <c r="R964" s="14"/>
      <c r="S964" s="13"/>
    </row>
    <row r="965" spans="2:19" ht="18" customHeight="1">
      <c r="B965" s="12"/>
      <c r="I965" s="12"/>
      <c r="J965" s="12"/>
      <c r="K965" s="56"/>
      <c r="L965" s="71"/>
      <c r="M965" s="76"/>
      <c r="N965" s="12"/>
      <c r="O965" s="63"/>
      <c r="P965" s="67"/>
      <c r="Q965" s="14"/>
      <c r="R965" s="14"/>
      <c r="S965" s="13"/>
    </row>
    <row r="966" spans="2:19" ht="18" customHeight="1">
      <c r="B966" s="12"/>
      <c r="I966" s="12"/>
      <c r="J966" s="12"/>
      <c r="K966" s="56"/>
      <c r="L966" s="71"/>
      <c r="M966" s="76"/>
      <c r="N966" s="12"/>
      <c r="O966" s="63"/>
      <c r="P966" s="67"/>
      <c r="Q966" s="14"/>
      <c r="R966" s="14"/>
      <c r="S966" s="13"/>
    </row>
    <row r="967" spans="2:19" ht="18" customHeight="1">
      <c r="B967" s="12"/>
      <c r="I967" s="12"/>
      <c r="J967" s="12"/>
      <c r="K967" s="56"/>
      <c r="L967" s="71"/>
      <c r="M967" s="76"/>
      <c r="N967" s="12"/>
      <c r="O967" s="63"/>
      <c r="P967" s="67"/>
      <c r="Q967" s="14"/>
      <c r="R967" s="14"/>
      <c r="S967" s="13"/>
    </row>
    <row r="968" spans="2:19" ht="18" customHeight="1">
      <c r="B968" s="12"/>
      <c r="I968" s="12"/>
      <c r="J968" s="12"/>
      <c r="K968" s="56"/>
      <c r="L968" s="71"/>
      <c r="M968" s="76"/>
      <c r="N968" s="12"/>
      <c r="O968" s="63"/>
      <c r="P968" s="67"/>
      <c r="Q968" s="14"/>
      <c r="R968" s="14"/>
      <c r="S968" s="13"/>
    </row>
    <row r="969" spans="2:19" ht="18" customHeight="1">
      <c r="B969" s="12"/>
      <c r="I969" s="12"/>
      <c r="J969" s="12"/>
      <c r="K969" s="56"/>
      <c r="L969" s="71"/>
      <c r="M969" s="76"/>
      <c r="N969" s="12"/>
      <c r="O969" s="63"/>
      <c r="P969" s="67"/>
      <c r="Q969" s="14"/>
      <c r="R969" s="14"/>
      <c r="S969" s="13"/>
    </row>
    <row r="970" spans="2:19" ht="18" customHeight="1">
      <c r="B970" s="12"/>
      <c r="I970" s="12"/>
      <c r="J970" s="12"/>
      <c r="K970" s="56"/>
      <c r="L970" s="71"/>
      <c r="M970" s="76"/>
      <c r="N970" s="12"/>
      <c r="O970" s="63"/>
      <c r="P970" s="67"/>
      <c r="Q970" s="14"/>
      <c r="R970" s="14"/>
      <c r="S970" s="13"/>
    </row>
    <row r="971" spans="2:19" ht="18" customHeight="1">
      <c r="B971" s="12"/>
      <c r="I971" s="12"/>
      <c r="J971" s="12"/>
      <c r="K971" s="56"/>
      <c r="L971" s="71"/>
      <c r="M971" s="76"/>
      <c r="N971" s="12"/>
      <c r="O971" s="63"/>
      <c r="P971" s="67"/>
      <c r="Q971" s="14"/>
      <c r="R971" s="14"/>
      <c r="S971" s="13"/>
    </row>
    <row r="972" spans="2:19" ht="18" customHeight="1">
      <c r="B972" s="12"/>
      <c r="I972" s="12"/>
      <c r="J972" s="12"/>
      <c r="K972" s="56"/>
      <c r="L972" s="71"/>
      <c r="M972" s="76"/>
      <c r="N972" s="12"/>
      <c r="O972" s="63"/>
      <c r="P972" s="67"/>
      <c r="Q972" s="14"/>
      <c r="R972" s="14"/>
      <c r="S972" s="13"/>
    </row>
    <row r="973" spans="2:19" ht="18" customHeight="1">
      <c r="B973" s="12"/>
      <c r="I973" s="12"/>
      <c r="J973" s="12"/>
      <c r="K973" s="56"/>
      <c r="L973" s="71"/>
      <c r="M973" s="76"/>
      <c r="N973" s="12"/>
      <c r="O973" s="63"/>
      <c r="P973" s="67"/>
      <c r="Q973" s="14"/>
      <c r="R973" s="14"/>
      <c r="S973" s="13"/>
    </row>
    <row r="974" spans="2:19" ht="18" customHeight="1">
      <c r="B974" s="12"/>
      <c r="I974" s="12"/>
      <c r="J974" s="12"/>
      <c r="K974" s="56"/>
      <c r="L974" s="71"/>
      <c r="M974" s="76"/>
      <c r="N974" s="12"/>
      <c r="O974" s="63"/>
      <c r="P974" s="67"/>
      <c r="Q974" s="14"/>
      <c r="R974" s="14"/>
      <c r="S974" s="13"/>
    </row>
    <row r="975" spans="2:19" ht="18" customHeight="1">
      <c r="B975" s="12"/>
      <c r="I975" s="12"/>
      <c r="J975" s="12"/>
      <c r="K975" s="56"/>
      <c r="L975" s="71"/>
      <c r="M975" s="76"/>
      <c r="N975" s="12"/>
      <c r="O975" s="63"/>
      <c r="P975" s="67"/>
      <c r="Q975" s="14"/>
      <c r="R975" s="14"/>
      <c r="S975" s="13"/>
    </row>
    <row r="976" spans="2:19" ht="18" customHeight="1">
      <c r="B976" s="12"/>
      <c r="I976" s="12"/>
      <c r="J976" s="12"/>
      <c r="K976" s="56"/>
      <c r="L976" s="71"/>
      <c r="M976" s="76"/>
      <c r="N976" s="12"/>
      <c r="O976" s="63"/>
      <c r="P976" s="67"/>
      <c r="Q976" s="14"/>
      <c r="R976" s="14"/>
      <c r="S976" s="13"/>
    </row>
    <row r="977" spans="2:19" ht="18" customHeight="1">
      <c r="B977" s="12"/>
      <c r="I977" s="12"/>
      <c r="J977" s="12"/>
      <c r="K977" s="56"/>
      <c r="L977" s="71"/>
      <c r="M977" s="76"/>
      <c r="N977" s="12"/>
      <c r="O977" s="63"/>
      <c r="P977" s="67"/>
      <c r="Q977" s="14"/>
      <c r="R977" s="14"/>
      <c r="S977" s="13"/>
    </row>
    <row r="978" spans="2:19" ht="18" customHeight="1">
      <c r="B978" s="12"/>
      <c r="I978" s="12"/>
      <c r="J978" s="12"/>
      <c r="K978" s="56"/>
      <c r="L978" s="71"/>
      <c r="M978" s="76"/>
      <c r="N978" s="12"/>
      <c r="O978" s="63"/>
      <c r="P978" s="67"/>
      <c r="Q978" s="14"/>
      <c r="R978" s="14"/>
      <c r="S978" s="13"/>
    </row>
    <row r="979" spans="2:19" ht="18" customHeight="1">
      <c r="B979" s="12"/>
      <c r="I979" s="12"/>
      <c r="J979" s="12"/>
      <c r="K979" s="56"/>
      <c r="L979" s="71"/>
      <c r="M979" s="76"/>
      <c r="N979" s="12"/>
      <c r="O979" s="63"/>
      <c r="P979" s="67"/>
      <c r="Q979" s="14"/>
      <c r="R979" s="14"/>
      <c r="S979" s="13"/>
    </row>
    <row r="980" spans="2:19" ht="18" customHeight="1">
      <c r="B980" s="12"/>
      <c r="I980" s="12"/>
      <c r="J980" s="12"/>
      <c r="K980" s="56"/>
      <c r="L980" s="71"/>
      <c r="M980" s="76"/>
      <c r="N980" s="12"/>
      <c r="O980" s="63"/>
      <c r="P980" s="67"/>
      <c r="Q980" s="14"/>
      <c r="R980" s="14"/>
      <c r="S980" s="13"/>
    </row>
    <row r="981" spans="2:19" ht="18" customHeight="1">
      <c r="B981" s="12"/>
      <c r="I981" s="12"/>
      <c r="J981" s="12"/>
      <c r="K981" s="56"/>
      <c r="L981" s="71"/>
      <c r="M981" s="76"/>
      <c r="N981" s="12"/>
      <c r="O981" s="63"/>
      <c r="P981" s="67"/>
      <c r="Q981" s="14"/>
      <c r="R981" s="14"/>
      <c r="S981" s="13"/>
    </row>
    <row r="982" spans="2:19" ht="18" customHeight="1">
      <c r="B982" s="12"/>
      <c r="I982" s="12"/>
      <c r="J982" s="12"/>
      <c r="K982" s="56"/>
      <c r="L982" s="71"/>
      <c r="M982" s="76"/>
      <c r="N982" s="12"/>
      <c r="O982" s="63"/>
      <c r="P982" s="67"/>
      <c r="Q982" s="14"/>
      <c r="R982" s="14"/>
      <c r="S982" s="13"/>
    </row>
    <row r="983" spans="2:19" ht="18" customHeight="1">
      <c r="B983" s="12"/>
      <c r="I983" s="12"/>
      <c r="J983" s="12"/>
      <c r="K983" s="56"/>
      <c r="L983" s="71"/>
      <c r="M983" s="76"/>
      <c r="N983" s="12"/>
      <c r="O983" s="63"/>
      <c r="P983" s="67"/>
      <c r="Q983" s="14"/>
      <c r="R983" s="14"/>
      <c r="S983" s="13"/>
    </row>
    <row r="984" spans="2:19" ht="18" customHeight="1">
      <c r="B984" s="12"/>
      <c r="I984" s="12"/>
      <c r="J984" s="12"/>
      <c r="K984" s="56"/>
      <c r="L984" s="71"/>
      <c r="M984" s="76"/>
      <c r="N984" s="12"/>
      <c r="O984" s="63"/>
      <c r="P984" s="67"/>
      <c r="Q984" s="14"/>
      <c r="R984" s="14"/>
      <c r="S984" s="13"/>
    </row>
    <row r="985" spans="2:19" ht="18" customHeight="1">
      <c r="B985" s="12"/>
      <c r="I985" s="12"/>
      <c r="J985" s="12"/>
      <c r="K985" s="56"/>
      <c r="L985" s="71"/>
      <c r="M985" s="76"/>
      <c r="N985" s="12"/>
      <c r="O985" s="63"/>
      <c r="P985" s="67"/>
      <c r="Q985" s="14"/>
      <c r="R985" s="14"/>
      <c r="S985" s="13"/>
    </row>
    <row r="986" spans="2:19" ht="18" customHeight="1">
      <c r="B986" s="12"/>
      <c r="I986" s="12"/>
      <c r="J986" s="12"/>
      <c r="K986" s="56"/>
      <c r="L986" s="71"/>
      <c r="M986" s="76"/>
      <c r="N986" s="12"/>
      <c r="O986" s="63"/>
      <c r="P986" s="67"/>
      <c r="Q986" s="14"/>
      <c r="R986" s="14"/>
      <c r="S986" s="13"/>
    </row>
    <row r="987" spans="2:19" ht="18" customHeight="1">
      <c r="B987" s="12"/>
      <c r="I987" s="12"/>
      <c r="J987" s="12"/>
      <c r="K987" s="56"/>
      <c r="L987" s="71"/>
      <c r="M987" s="76"/>
      <c r="N987" s="12"/>
      <c r="O987" s="63"/>
      <c r="P987" s="67"/>
      <c r="Q987" s="14"/>
      <c r="R987" s="14"/>
      <c r="S987" s="13"/>
    </row>
    <row r="988" spans="2:19" ht="18" customHeight="1">
      <c r="B988" s="12"/>
      <c r="I988" s="12"/>
      <c r="J988" s="12"/>
      <c r="K988" s="56"/>
      <c r="L988" s="71"/>
      <c r="M988" s="76"/>
      <c r="N988" s="12"/>
      <c r="O988" s="63"/>
      <c r="P988" s="67"/>
      <c r="Q988" s="14"/>
      <c r="R988" s="14"/>
      <c r="S988" s="13"/>
    </row>
    <row r="989" spans="2:19" ht="18" customHeight="1">
      <c r="B989" s="12"/>
      <c r="I989" s="12"/>
      <c r="J989" s="12"/>
      <c r="K989" s="56"/>
      <c r="L989" s="71"/>
      <c r="M989" s="76"/>
      <c r="N989" s="12"/>
      <c r="O989" s="63"/>
      <c r="P989" s="67"/>
      <c r="Q989" s="14"/>
      <c r="R989" s="14"/>
      <c r="S989" s="13"/>
    </row>
    <row r="990" spans="2:19" ht="18" customHeight="1">
      <c r="B990" s="12"/>
      <c r="I990" s="12"/>
      <c r="J990" s="12"/>
      <c r="K990" s="56"/>
      <c r="L990" s="71"/>
      <c r="M990" s="76"/>
      <c r="N990" s="12"/>
      <c r="O990" s="63"/>
      <c r="P990" s="67"/>
      <c r="Q990" s="14"/>
      <c r="R990" s="14"/>
      <c r="S990" s="13"/>
    </row>
    <row r="991" spans="2:19" ht="18" customHeight="1">
      <c r="B991" s="12"/>
      <c r="I991" s="12"/>
      <c r="J991" s="12"/>
      <c r="K991" s="56"/>
      <c r="L991" s="71"/>
      <c r="M991" s="76"/>
      <c r="N991" s="12"/>
      <c r="O991" s="63"/>
      <c r="P991" s="67"/>
      <c r="Q991" s="14"/>
      <c r="R991" s="14"/>
      <c r="S991" s="13"/>
    </row>
    <row r="992" spans="2:19" ht="18" customHeight="1">
      <c r="B992" s="12"/>
      <c r="I992" s="12"/>
      <c r="J992" s="12"/>
      <c r="K992" s="56"/>
      <c r="L992" s="71"/>
      <c r="M992" s="76"/>
      <c r="N992" s="12"/>
      <c r="O992" s="63"/>
      <c r="P992" s="67"/>
      <c r="Q992" s="14"/>
      <c r="R992" s="14"/>
      <c r="S992" s="13"/>
    </row>
    <row r="993" spans="2:19" ht="18" customHeight="1">
      <c r="B993" s="12"/>
      <c r="I993" s="12"/>
      <c r="J993" s="12"/>
      <c r="K993" s="56"/>
      <c r="L993" s="71"/>
      <c r="M993" s="76"/>
      <c r="N993" s="12"/>
      <c r="O993" s="63"/>
      <c r="P993" s="67"/>
      <c r="Q993" s="14"/>
      <c r="R993" s="14"/>
      <c r="S993" s="13"/>
    </row>
    <row r="994" spans="2:19" ht="18" customHeight="1">
      <c r="B994" s="12"/>
      <c r="I994" s="12"/>
      <c r="J994" s="12"/>
      <c r="K994" s="56"/>
      <c r="L994" s="71"/>
      <c r="M994" s="76"/>
      <c r="N994" s="12"/>
      <c r="O994" s="63"/>
      <c r="P994" s="67"/>
      <c r="Q994" s="14"/>
      <c r="R994" s="14"/>
      <c r="S994" s="13"/>
    </row>
    <row r="995" spans="2:19" ht="18" customHeight="1">
      <c r="B995" s="12"/>
      <c r="I995" s="12"/>
      <c r="J995" s="12"/>
      <c r="K995" s="56"/>
      <c r="L995" s="71"/>
      <c r="M995" s="76"/>
      <c r="N995" s="12"/>
      <c r="O995" s="63"/>
      <c r="P995" s="67"/>
      <c r="Q995" s="14"/>
      <c r="R995" s="14"/>
      <c r="S995" s="13"/>
    </row>
    <row r="996" spans="2:19" ht="18" customHeight="1">
      <c r="B996" s="12"/>
      <c r="I996" s="12"/>
      <c r="J996" s="12"/>
      <c r="K996" s="56"/>
      <c r="L996" s="71"/>
      <c r="M996" s="76"/>
      <c r="N996" s="12"/>
      <c r="O996" s="63"/>
      <c r="P996" s="67"/>
      <c r="Q996" s="14"/>
      <c r="R996" s="14"/>
      <c r="S996" s="13"/>
    </row>
    <row r="997" spans="2:19" ht="18" customHeight="1">
      <c r="B997" s="12"/>
      <c r="I997" s="12"/>
      <c r="J997" s="12"/>
      <c r="K997" s="56"/>
      <c r="L997" s="71"/>
      <c r="M997" s="76"/>
      <c r="N997" s="12"/>
      <c r="O997" s="63"/>
      <c r="P997" s="67"/>
      <c r="Q997" s="14"/>
      <c r="R997" s="14"/>
      <c r="S997" s="13"/>
    </row>
    <row r="998" spans="2:19" ht="18" customHeight="1">
      <c r="B998" s="12"/>
      <c r="I998" s="12"/>
      <c r="J998" s="12"/>
      <c r="K998" s="56"/>
      <c r="L998" s="71"/>
      <c r="M998" s="76"/>
      <c r="N998" s="12"/>
      <c r="O998" s="63"/>
      <c r="P998" s="67"/>
      <c r="Q998" s="14"/>
      <c r="R998" s="14"/>
      <c r="S998" s="13"/>
    </row>
    <row r="999" spans="2:19" ht="18" customHeight="1">
      <c r="B999" s="12"/>
      <c r="I999" s="12"/>
      <c r="J999" s="12"/>
      <c r="K999" s="56"/>
      <c r="L999" s="71"/>
      <c r="M999" s="76"/>
      <c r="N999" s="12"/>
      <c r="O999" s="63"/>
      <c r="P999" s="67"/>
      <c r="Q999" s="14"/>
      <c r="R999" s="14"/>
      <c r="S999" s="13"/>
    </row>
    <row r="1000" spans="2:19" ht="18" customHeight="1">
      <c r="B1000" s="12"/>
      <c r="I1000" s="12"/>
      <c r="J1000" s="12"/>
      <c r="K1000" s="56"/>
      <c r="L1000" s="71"/>
      <c r="M1000" s="76"/>
      <c r="N1000" s="12"/>
      <c r="O1000" s="63"/>
      <c r="P1000" s="67"/>
      <c r="Q1000" s="14"/>
      <c r="R1000" s="14"/>
      <c r="S1000" s="13"/>
    </row>
  </sheetData>
  <mergeCells count="13">
    <mergeCell ref="F1:F2"/>
    <mergeCell ref="G1:G2"/>
    <mergeCell ref="H1:H2"/>
    <mergeCell ref="I1:I2"/>
    <mergeCell ref="A1:A2"/>
    <mergeCell ref="C1:C2"/>
    <mergeCell ref="D1:D2"/>
    <mergeCell ref="E1:E2"/>
    <mergeCell ref="Q1:R1"/>
    <mergeCell ref="S1:S2"/>
    <mergeCell ref="H670:I670"/>
    <mergeCell ref="H671:I671"/>
    <mergeCell ref="H672:I672"/>
  </mergeCells>
  <conditionalFormatting sqref="B3:B669">
    <cfRule type="expression" dxfId="89" priority="28">
      <formula>COUNTIF(DATA1,DATA2)=0</formula>
    </cfRule>
    <cfRule type="expression" dxfId="88" priority="29">
      <formula>COUNTIF(DATA1,B3)=0</formula>
    </cfRule>
  </conditionalFormatting>
  <conditionalFormatting sqref="J3:J4">
    <cfRule type="expression" dxfId="87" priority="25">
      <formula>DATAX&lt;1</formula>
    </cfRule>
  </conditionalFormatting>
  <conditionalFormatting sqref="J3:J669">
    <cfRule type="expression" dxfId="86" priority="26">
      <formula>$J3&lt;1</formula>
    </cfRule>
  </conditionalFormatting>
  <conditionalFormatting sqref="K3">
    <cfRule type="cellIs" dxfId="85" priority="18" operator="equal">
      <formula>"ERROR"</formula>
    </cfRule>
    <cfRule type="expression" dxfId="84" priority="20">
      <formula>IF(IFERROR(VLOOKUP(B3,DATA8,1,FALSE),),"1","0")</formula>
    </cfRule>
    <cfRule type="expression" dxfId="83" priority="21">
      <formula>_xludf.IFERROR</formula>
    </cfRule>
  </conditionalFormatting>
  <conditionalFormatting sqref="K3:K17">
    <cfRule type="cellIs" dxfId="82" priority="23" operator="lessThan">
      <formula>1</formula>
    </cfRule>
  </conditionalFormatting>
  <conditionalFormatting sqref="K3:K669">
    <cfRule type="cellIs" dxfId="81" priority="17" operator="equal">
      <formula>0</formula>
    </cfRule>
  </conditionalFormatting>
  <conditionalFormatting sqref="N6">
    <cfRule type="expression" dxfId="80" priority="24">
      <formula>AND($J3&lt;1)</formula>
    </cfRule>
  </conditionalFormatting>
  <conditionalFormatting sqref="T3:T381">
    <cfRule type="expression" dxfId="79" priority="27">
      <formula>COUNTIF(DATA2,Q4)=0</formula>
    </cfRule>
  </conditionalFormatting>
  <conditionalFormatting sqref="W3">
    <cfRule type="cellIs" dxfId="78" priority="22" operator="greaterThan">
      <formula>1</formula>
    </cfRule>
  </conditionalFormatting>
  <conditionalFormatting sqref="P1:P1048576">
    <cfRule type="containsText" dxfId="77" priority="14" operator="containsText" text="0">
      <formula>NOT(ISERROR(SEARCH("0",P1)))</formula>
    </cfRule>
    <cfRule type="containsText" dxfId="76" priority="15" operator="containsText" text="1">
      <formula>NOT(ISERROR(SEARCH("1",P1)))</formula>
    </cfRule>
    <cfRule type="cellIs" dxfId="75" priority="16" operator="equal">
      <formula>1</formula>
    </cfRule>
  </conditionalFormatting>
  <conditionalFormatting sqref="J1:J1048576">
    <cfRule type="containsText" dxfId="74" priority="12" operator="containsText" text="0">
      <formula>NOT(ISERROR(SEARCH("0",J1)))</formula>
    </cfRule>
    <cfRule type="containsText" dxfId="73" priority="13" operator="containsText" text="1">
      <formula>NOT(ISERROR(SEARCH("1",J1)))</formula>
    </cfRule>
  </conditionalFormatting>
  <conditionalFormatting sqref="K1:K1048576">
    <cfRule type="containsText" dxfId="72" priority="10" operator="containsText" text="1">
      <formula>NOT(ISERROR(SEARCH("1",K1)))</formula>
    </cfRule>
    <cfRule type="containsText" dxfId="71" priority="11" operator="containsText" text="0">
      <formula>NOT(ISERROR(SEARCH("0",K1)))</formula>
    </cfRule>
  </conditionalFormatting>
  <conditionalFormatting sqref="L1:L1048576">
    <cfRule type="containsText" dxfId="70" priority="8" operator="containsText" text="1">
      <formula>NOT(ISERROR(SEARCH("1",L1)))</formula>
    </cfRule>
    <cfRule type="containsText" dxfId="69" priority="9" operator="containsText" text="0">
      <formula>NOT(ISERROR(SEARCH("0",L1)))</formula>
    </cfRule>
  </conditionalFormatting>
  <conditionalFormatting sqref="M1:M1048576">
    <cfRule type="containsText" dxfId="68" priority="6" operator="containsText" text="0">
      <formula>NOT(ISERROR(SEARCH("0",M1)))</formula>
    </cfRule>
    <cfRule type="containsText" dxfId="67" priority="7" operator="containsText" text="1">
      <formula>NOT(ISERROR(SEARCH("1",M1)))</formula>
    </cfRule>
  </conditionalFormatting>
  <conditionalFormatting sqref="N1:N1048576">
    <cfRule type="containsText" dxfId="66" priority="4" operator="containsText" text="1">
      <formula>NOT(ISERROR(SEARCH("1",N1)))</formula>
    </cfRule>
    <cfRule type="containsText" dxfId="65" priority="5" operator="containsText" text="0">
      <formula>NOT(ISERROR(SEARCH("0",N1)))</formula>
    </cfRule>
  </conditionalFormatting>
  <conditionalFormatting sqref="O1:O1048576">
    <cfRule type="containsText" dxfId="64" priority="2" operator="containsText" text="1">
      <formula>NOT(ISERROR(SEARCH("1",O1)))</formula>
    </cfRule>
    <cfRule type="containsText" dxfId="63" priority="3" operator="containsText" text="0">
      <formula>NOT(ISERROR(SEARCH("0",O1)))</formula>
    </cfRule>
  </conditionalFormatting>
  <conditionalFormatting sqref="R1:R1048576">
    <cfRule type="containsText" dxfId="62" priority="1" operator="containsText" text="ไม่ผ่าน">
      <formula>NOT(ISERROR(SEARCH("ไม่ผ่าน",R1)))</formula>
    </cfRule>
  </conditionalFormatting>
  <dataValidations count="1">
    <dataValidation type="list" allowBlank="1" showInputMessage="1" showErrorMessage="1" sqref="B3:B669" xr:uid="{7B41E58A-1E8A-4EEF-9411-8B97E744D7F9}">
      <formula1>DATA</formula1>
    </dataValidation>
  </dataValidations>
  <pageMargins left="0.7" right="0.7" top="0.75" bottom="0.75" header="0" footer="0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2F80-207C-4942-B757-FAAFB710068A}">
  <dimension ref="A1:T668"/>
  <sheetViews>
    <sheetView workbookViewId="0"/>
    <sheetView tabSelected="1" zoomScaleNormal="100" zoomScaleSheetLayoutView="100" workbookViewId="1">
      <selection sqref="A1:XFD1048576"/>
    </sheetView>
  </sheetViews>
  <sheetFormatPr defaultRowHeight="15"/>
  <cols>
    <col min="1" max="1" width="4.5703125" bestFit="1" customWidth="1"/>
    <col min="2" max="2" width="16.140625" style="107" bestFit="1" customWidth="1"/>
    <col min="3" max="3" width="9.28515625" style="107" bestFit="1" customWidth="1"/>
    <col min="4" max="4" width="15.140625" bestFit="1" customWidth="1"/>
    <col min="5" max="5" width="13.7109375" bestFit="1" customWidth="1"/>
    <col min="6" max="6" width="11.28515625" bestFit="1" customWidth="1"/>
    <col min="7" max="7" width="35.140625" bestFit="1" customWidth="1"/>
    <col min="8" max="8" width="38.85546875" bestFit="1" customWidth="1"/>
    <col min="9" max="9" width="5" bestFit="1" customWidth="1"/>
    <col min="10" max="10" width="11.140625" bestFit="1" customWidth="1"/>
    <col min="11" max="11" width="11" bestFit="1" customWidth="1"/>
    <col min="12" max="13" width="10.28515625" bestFit="1" customWidth="1"/>
    <col min="14" max="15" width="11" bestFit="1" customWidth="1"/>
    <col min="16" max="16" width="10.42578125" bestFit="1" customWidth="1"/>
    <col min="17" max="17" width="12.5703125" bestFit="1" customWidth="1"/>
    <col min="18" max="18" width="11.42578125" bestFit="1" customWidth="1"/>
    <col min="19" max="20" width="15.5703125" bestFit="1" customWidth="1"/>
  </cols>
  <sheetData>
    <row r="1" spans="1:20" ht="15" customHeight="1">
      <c r="A1" s="88" t="s">
        <v>0</v>
      </c>
      <c r="B1" s="108" t="s">
        <v>1715</v>
      </c>
      <c r="C1" s="104" t="s">
        <v>1</v>
      </c>
      <c r="D1" s="88" t="s">
        <v>2</v>
      </c>
      <c r="E1" s="88" t="s">
        <v>3</v>
      </c>
      <c r="F1" s="88" t="s">
        <v>4</v>
      </c>
      <c r="G1" s="88" t="s">
        <v>5</v>
      </c>
      <c r="H1" s="88" t="s">
        <v>6</v>
      </c>
      <c r="I1" s="88" t="s">
        <v>7</v>
      </c>
      <c r="J1" s="109" t="s">
        <v>11</v>
      </c>
      <c r="K1" s="109" t="s">
        <v>12</v>
      </c>
      <c r="L1" s="109" t="s">
        <v>13</v>
      </c>
      <c r="M1" s="109" t="s">
        <v>14</v>
      </c>
      <c r="N1" s="109" t="s">
        <v>15</v>
      </c>
      <c r="O1" s="109" t="s">
        <v>16</v>
      </c>
      <c r="P1" s="109" t="s">
        <v>17</v>
      </c>
      <c r="Q1" s="89" t="s">
        <v>18</v>
      </c>
      <c r="R1" s="89" t="s">
        <v>19</v>
      </c>
      <c r="S1" s="88" t="s">
        <v>10</v>
      </c>
      <c r="T1" s="87"/>
    </row>
    <row r="2" spans="1:20" ht="15" customHeight="1">
      <c r="A2" s="3">
        <v>1</v>
      </c>
      <c r="B2" s="105">
        <v>6412213103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3">
        <v>3</v>
      </c>
      <c r="J2" s="44" t="str">
        <f t="shared" ref="J2:J65" si="0">IF(IFERROR(VLOOKUP(B2,DATA,1,FALSE),),"1","0")</f>
        <v>0</v>
      </c>
      <c r="K2" s="53">
        <v>1</v>
      </c>
      <c r="L2" s="69" t="str">
        <f t="shared" ref="L2:L65" si="1">IF(IFERROR(VLOOKUP(B2,DATA7,1,FALSE),),"1","0")</f>
        <v>0</v>
      </c>
      <c r="M2" s="74" t="str">
        <f t="shared" ref="M2:M65" si="2">IF(IFERROR(VLOOKUP(B2,DATA9,1,FALSE),),"1","0")</f>
        <v>1</v>
      </c>
      <c r="N2" s="29" t="str">
        <f t="shared" ref="N2:N65" si="3">IF(IFERROR(VLOOKUP(B2,DATA10,1,FALSE),),"1","0")</f>
        <v>0</v>
      </c>
      <c r="O2" s="61" t="str">
        <f t="shared" ref="O2:O65" ca="1" si="4">IF(IFERROR(VLOOKUP(B2,DATA11,1,FALSE),),"1","0")</f>
        <v>1</v>
      </c>
      <c r="P2" s="65" t="str">
        <f t="shared" ref="P2:P65" si="5">IF(IFERROR(VLOOKUP(B2,DATA12,1,FALSE),),"1","0")</f>
        <v>1</v>
      </c>
      <c r="Q2" s="46">
        <f ca="1">J2+K2+L2+M2+N2+O2+P2</f>
        <v>4</v>
      </c>
      <c r="R2" s="83" t="str">
        <f t="shared" ref="R2:R65" ca="1" si="6">IF(Q2&gt;=3,"ผ่าน",IF(Q2&lt;3,"ไม่ผ่าน"))</f>
        <v>ผ่าน</v>
      </c>
      <c r="S2" s="3" t="s">
        <v>28</v>
      </c>
    </row>
    <row r="3" spans="1:20" ht="24">
      <c r="A3" s="3">
        <v>2</v>
      </c>
      <c r="B3" s="105">
        <v>6412213109</v>
      </c>
      <c r="C3" s="4" t="s">
        <v>29</v>
      </c>
      <c r="D3" s="4" t="s">
        <v>30</v>
      </c>
      <c r="E3" s="4" t="s">
        <v>31</v>
      </c>
      <c r="F3" s="4" t="s">
        <v>32</v>
      </c>
      <c r="G3" s="4" t="s">
        <v>26</v>
      </c>
      <c r="H3" s="4" t="s">
        <v>27</v>
      </c>
      <c r="I3" s="3">
        <v>3</v>
      </c>
      <c r="J3" s="44" t="str">
        <f t="shared" si="0"/>
        <v>0</v>
      </c>
      <c r="K3" s="54">
        <v>1</v>
      </c>
      <c r="L3" s="69" t="str">
        <f t="shared" si="1"/>
        <v>0</v>
      </c>
      <c r="M3" s="74" t="str">
        <f t="shared" si="2"/>
        <v>1</v>
      </c>
      <c r="N3" s="29" t="str">
        <f t="shared" si="3"/>
        <v>0</v>
      </c>
      <c r="O3" s="61" t="str">
        <f t="shared" ca="1" si="4"/>
        <v>1</v>
      </c>
      <c r="P3" s="65" t="str">
        <f t="shared" si="5"/>
        <v>1</v>
      </c>
      <c r="Q3" s="46">
        <f t="shared" ref="Q3:Q66" ca="1" si="7">J3+K3+L3+M3+N3+O3+P3</f>
        <v>4</v>
      </c>
      <c r="R3" s="83" t="str">
        <f t="shared" ca="1" si="6"/>
        <v>ผ่าน</v>
      </c>
      <c r="S3" s="3" t="s">
        <v>28</v>
      </c>
    </row>
    <row r="4" spans="1:20" ht="24">
      <c r="A4" s="3">
        <v>3</v>
      </c>
      <c r="B4" s="105">
        <v>6412213110</v>
      </c>
      <c r="C4" s="4" t="s">
        <v>29</v>
      </c>
      <c r="D4" s="4" t="s">
        <v>33</v>
      </c>
      <c r="E4" s="4" t="s">
        <v>34</v>
      </c>
      <c r="F4" s="4" t="s">
        <v>35</v>
      </c>
      <c r="G4" s="4" t="s">
        <v>26</v>
      </c>
      <c r="H4" s="4" t="s">
        <v>27</v>
      </c>
      <c r="I4" s="3">
        <v>3</v>
      </c>
      <c r="J4" s="44" t="str">
        <f t="shared" si="0"/>
        <v>0</v>
      </c>
      <c r="K4" s="54" t="str">
        <f t="shared" ref="K4:K67" si="8">IF(IFERROR(VLOOKUP(B4,DATA8,1,FALSE),),"1","0")</f>
        <v>1</v>
      </c>
      <c r="L4" s="69" t="str">
        <f t="shared" si="1"/>
        <v>0</v>
      </c>
      <c r="M4" s="74" t="str">
        <f t="shared" si="2"/>
        <v>1</v>
      </c>
      <c r="N4" s="29" t="str">
        <f t="shared" si="3"/>
        <v>0</v>
      </c>
      <c r="O4" s="61" t="str">
        <f t="shared" ca="1" si="4"/>
        <v>1</v>
      </c>
      <c r="P4" s="65" t="str">
        <f t="shared" si="5"/>
        <v>1</v>
      </c>
      <c r="Q4" s="46">
        <f t="shared" ca="1" si="7"/>
        <v>4</v>
      </c>
      <c r="R4" s="83" t="str">
        <f t="shared" ca="1" si="6"/>
        <v>ผ่าน</v>
      </c>
      <c r="S4" s="3" t="s">
        <v>28</v>
      </c>
    </row>
    <row r="5" spans="1:20" ht="24">
      <c r="A5" s="3">
        <v>4</v>
      </c>
      <c r="B5" s="105">
        <v>6412213113</v>
      </c>
      <c r="C5" s="4" t="s">
        <v>29</v>
      </c>
      <c r="D5" s="4" t="s">
        <v>36</v>
      </c>
      <c r="E5" s="4" t="s">
        <v>37</v>
      </c>
      <c r="F5" s="4" t="s">
        <v>38</v>
      </c>
      <c r="G5" s="4" t="s">
        <v>26</v>
      </c>
      <c r="H5" s="4" t="s">
        <v>27</v>
      </c>
      <c r="I5" s="3">
        <v>3</v>
      </c>
      <c r="J5" s="44" t="str">
        <f t="shared" si="0"/>
        <v>0</v>
      </c>
      <c r="K5" s="54">
        <v>1</v>
      </c>
      <c r="L5" s="69" t="str">
        <f t="shared" si="1"/>
        <v>0</v>
      </c>
      <c r="M5" s="74" t="str">
        <f t="shared" si="2"/>
        <v>1</v>
      </c>
      <c r="N5" s="29" t="str">
        <f t="shared" si="3"/>
        <v>0</v>
      </c>
      <c r="O5" s="61" t="str">
        <f t="shared" ca="1" si="4"/>
        <v>1</v>
      </c>
      <c r="P5" s="65" t="str">
        <f t="shared" si="5"/>
        <v>1</v>
      </c>
      <c r="Q5" s="46">
        <f t="shared" ca="1" si="7"/>
        <v>4</v>
      </c>
      <c r="R5" s="83" t="str">
        <f t="shared" ca="1" si="6"/>
        <v>ผ่าน</v>
      </c>
      <c r="S5" s="3" t="s">
        <v>28</v>
      </c>
    </row>
    <row r="6" spans="1:20" ht="24">
      <c r="A6" s="3">
        <v>5</v>
      </c>
      <c r="B6" s="105">
        <v>6412213114</v>
      </c>
      <c r="C6" s="4" t="s">
        <v>29</v>
      </c>
      <c r="D6" s="4" t="s">
        <v>39</v>
      </c>
      <c r="E6" s="4" t="s">
        <v>40</v>
      </c>
      <c r="F6" s="4" t="s">
        <v>41</v>
      </c>
      <c r="G6" s="4" t="s">
        <v>26</v>
      </c>
      <c r="H6" s="4" t="s">
        <v>27</v>
      </c>
      <c r="I6" s="3">
        <v>3</v>
      </c>
      <c r="J6" s="44" t="str">
        <f t="shared" si="0"/>
        <v>0</v>
      </c>
      <c r="K6" s="54">
        <v>1</v>
      </c>
      <c r="L6" s="69" t="str">
        <f t="shared" si="1"/>
        <v>0</v>
      </c>
      <c r="M6" s="74" t="str">
        <f t="shared" si="2"/>
        <v>1</v>
      </c>
      <c r="N6" s="29" t="str">
        <f t="shared" si="3"/>
        <v>0</v>
      </c>
      <c r="O6" s="61" t="str">
        <f t="shared" ca="1" si="4"/>
        <v>1</v>
      </c>
      <c r="P6" s="65" t="str">
        <f t="shared" si="5"/>
        <v>1</v>
      </c>
      <c r="Q6" s="46">
        <f t="shared" ca="1" si="7"/>
        <v>4</v>
      </c>
      <c r="R6" s="83" t="str">
        <f t="shared" ca="1" si="6"/>
        <v>ผ่าน</v>
      </c>
      <c r="S6" s="3" t="s">
        <v>28</v>
      </c>
    </row>
    <row r="7" spans="1:20" ht="24">
      <c r="A7" s="3">
        <v>6</v>
      </c>
      <c r="B7" s="105">
        <v>6412213115</v>
      </c>
      <c r="C7" s="4" t="s">
        <v>29</v>
      </c>
      <c r="D7" s="4" t="s">
        <v>42</v>
      </c>
      <c r="E7" s="4" t="s">
        <v>43</v>
      </c>
      <c r="F7" s="4" t="s">
        <v>44</v>
      </c>
      <c r="G7" s="4" t="s">
        <v>26</v>
      </c>
      <c r="H7" s="4" t="s">
        <v>27</v>
      </c>
      <c r="I7" s="3">
        <v>3</v>
      </c>
      <c r="J7" s="44" t="str">
        <f t="shared" si="0"/>
        <v>0</v>
      </c>
      <c r="K7" s="54">
        <v>1</v>
      </c>
      <c r="L7" s="69" t="str">
        <f t="shared" si="1"/>
        <v>0</v>
      </c>
      <c r="M7" s="74" t="str">
        <f t="shared" si="2"/>
        <v>1</v>
      </c>
      <c r="N7" s="29" t="str">
        <f t="shared" si="3"/>
        <v>0</v>
      </c>
      <c r="O7" s="61" t="str">
        <f t="shared" ca="1" si="4"/>
        <v>1</v>
      </c>
      <c r="P7" s="65" t="str">
        <f t="shared" si="5"/>
        <v>1</v>
      </c>
      <c r="Q7" s="46">
        <f t="shared" ca="1" si="7"/>
        <v>4</v>
      </c>
      <c r="R7" s="83" t="str">
        <f t="shared" ca="1" si="6"/>
        <v>ผ่าน</v>
      </c>
      <c r="S7" s="3" t="s">
        <v>28</v>
      </c>
    </row>
    <row r="8" spans="1:20" ht="24">
      <c r="A8" s="3">
        <v>7</v>
      </c>
      <c r="B8" s="105">
        <v>6412213116</v>
      </c>
      <c r="C8" s="4" t="s">
        <v>22</v>
      </c>
      <c r="D8" s="4" t="s">
        <v>45</v>
      </c>
      <c r="E8" s="4" t="s">
        <v>46</v>
      </c>
      <c r="F8" s="4" t="s">
        <v>47</v>
      </c>
      <c r="G8" s="4" t="s">
        <v>26</v>
      </c>
      <c r="H8" s="4" t="s">
        <v>27</v>
      </c>
      <c r="I8" s="3">
        <v>3</v>
      </c>
      <c r="J8" s="44" t="str">
        <f t="shared" si="0"/>
        <v>0</v>
      </c>
      <c r="K8" s="54">
        <v>1</v>
      </c>
      <c r="L8" s="69" t="str">
        <f t="shared" si="1"/>
        <v>0</v>
      </c>
      <c r="M8" s="74" t="str">
        <f t="shared" si="2"/>
        <v>1</v>
      </c>
      <c r="N8" s="29" t="str">
        <f t="shared" si="3"/>
        <v>0</v>
      </c>
      <c r="O8" s="61" t="str">
        <f t="shared" ca="1" si="4"/>
        <v>1</v>
      </c>
      <c r="P8" s="65" t="str">
        <f t="shared" si="5"/>
        <v>1</v>
      </c>
      <c r="Q8" s="46">
        <f t="shared" ca="1" si="7"/>
        <v>4</v>
      </c>
      <c r="R8" s="83" t="str">
        <f t="shared" ca="1" si="6"/>
        <v>ผ่าน</v>
      </c>
      <c r="S8" s="3" t="s">
        <v>28</v>
      </c>
    </row>
    <row r="9" spans="1:20" ht="24">
      <c r="A9" s="3">
        <v>8</v>
      </c>
      <c r="B9" s="105">
        <v>6312213103</v>
      </c>
      <c r="C9" s="4" t="s">
        <v>29</v>
      </c>
      <c r="D9" s="4" t="s">
        <v>48</v>
      </c>
      <c r="E9" s="4" t="s">
        <v>49</v>
      </c>
      <c r="F9" s="4" t="s">
        <v>50</v>
      </c>
      <c r="G9" s="4" t="s">
        <v>26</v>
      </c>
      <c r="H9" s="4" t="s">
        <v>27</v>
      </c>
      <c r="I9" s="3">
        <v>4</v>
      </c>
      <c r="J9" s="45" t="str">
        <f t="shared" si="0"/>
        <v>1</v>
      </c>
      <c r="K9" s="54">
        <v>1</v>
      </c>
      <c r="L9" s="69" t="str">
        <f t="shared" si="1"/>
        <v>0</v>
      </c>
      <c r="M9" s="74" t="str">
        <f t="shared" si="2"/>
        <v>1</v>
      </c>
      <c r="N9" s="29" t="str">
        <f t="shared" si="3"/>
        <v>0</v>
      </c>
      <c r="O9" s="61" t="str">
        <f t="shared" ca="1" si="4"/>
        <v>1</v>
      </c>
      <c r="P9" s="65" t="str">
        <f t="shared" si="5"/>
        <v>1</v>
      </c>
      <c r="Q9" s="46">
        <f t="shared" ca="1" si="7"/>
        <v>5</v>
      </c>
      <c r="R9" s="83" t="str">
        <f t="shared" ca="1" si="6"/>
        <v>ผ่าน</v>
      </c>
      <c r="S9" s="3" t="s">
        <v>28</v>
      </c>
    </row>
    <row r="10" spans="1:20" ht="24">
      <c r="A10" s="3">
        <v>9</v>
      </c>
      <c r="B10" s="105">
        <v>6312213105</v>
      </c>
      <c r="C10" s="4" t="s">
        <v>29</v>
      </c>
      <c r="D10" s="4" t="s">
        <v>51</v>
      </c>
      <c r="E10" s="4" t="s">
        <v>52</v>
      </c>
      <c r="F10" s="4" t="s">
        <v>53</v>
      </c>
      <c r="G10" s="4" t="s">
        <v>26</v>
      </c>
      <c r="H10" s="4" t="s">
        <v>27</v>
      </c>
      <c r="I10" s="3">
        <v>4</v>
      </c>
      <c r="J10" s="44" t="str">
        <f t="shared" si="0"/>
        <v>0</v>
      </c>
      <c r="K10" s="54">
        <v>1</v>
      </c>
      <c r="L10" s="69" t="str">
        <f t="shared" si="1"/>
        <v>0</v>
      </c>
      <c r="M10" s="74" t="str">
        <f t="shared" si="2"/>
        <v>0</v>
      </c>
      <c r="N10" s="29" t="str">
        <f t="shared" si="3"/>
        <v>0</v>
      </c>
      <c r="O10" s="61">
        <v>1</v>
      </c>
      <c r="P10" s="65">
        <v>1</v>
      </c>
      <c r="Q10" s="46">
        <f t="shared" si="7"/>
        <v>3</v>
      </c>
      <c r="R10" s="83" t="str">
        <f t="shared" si="6"/>
        <v>ผ่าน</v>
      </c>
      <c r="S10" s="3" t="s">
        <v>28</v>
      </c>
    </row>
    <row r="11" spans="1:20" ht="24">
      <c r="A11" s="3">
        <v>10</v>
      </c>
      <c r="B11" s="105">
        <v>6312213108</v>
      </c>
      <c r="C11" s="4" t="s">
        <v>29</v>
      </c>
      <c r="D11" s="4" t="s">
        <v>54</v>
      </c>
      <c r="E11" s="4" t="s">
        <v>55</v>
      </c>
      <c r="F11" s="4" t="s">
        <v>56</v>
      </c>
      <c r="G11" s="4" t="s">
        <v>26</v>
      </c>
      <c r="H11" s="4" t="s">
        <v>27</v>
      </c>
      <c r="I11" s="3">
        <v>4</v>
      </c>
      <c r="J11" s="44" t="str">
        <f t="shared" si="0"/>
        <v>0</v>
      </c>
      <c r="K11" s="54">
        <v>1</v>
      </c>
      <c r="L11" s="69" t="str">
        <f t="shared" si="1"/>
        <v>0</v>
      </c>
      <c r="M11" s="74" t="str">
        <f t="shared" si="2"/>
        <v>0</v>
      </c>
      <c r="N11" s="29" t="str">
        <f t="shared" si="3"/>
        <v>0</v>
      </c>
      <c r="O11" s="61">
        <v>1</v>
      </c>
      <c r="P11" s="65">
        <v>1</v>
      </c>
      <c r="Q11" s="46">
        <f t="shared" si="7"/>
        <v>3</v>
      </c>
      <c r="R11" s="83" t="str">
        <f t="shared" si="6"/>
        <v>ผ่าน</v>
      </c>
      <c r="S11" s="3" t="s">
        <v>28</v>
      </c>
    </row>
    <row r="12" spans="1:20" ht="24">
      <c r="A12" s="3">
        <v>11</v>
      </c>
      <c r="B12" s="105">
        <v>6312213117</v>
      </c>
      <c r="C12" s="4" t="s">
        <v>29</v>
      </c>
      <c r="D12" s="4" t="s">
        <v>57</v>
      </c>
      <c r="E12" s="4" t="s">
        <v>58</v>
      </c>
      <c r="F12" s="4" t="s">
        <v>59</v>
      </c>
      <c r="G12" s="4" t="s">
        <v>26</v>
      </c>
      <c r="H12" s="4" t="s">
        <v>27</v>
      </c>
      <c r="I12" s="3">
        <v>4</v>
      </c>
      <c r="J12" s="44" t="str">
        <f t="shared" si="0"/>
        <v>0</v>
      </c>
      <c r="K12" s="54">
        <v>1</v>
      </c>
      <c r="L12" s="69" t="str">
        <f t="shared" si="1"/>
        <v>0</v>
      </c>
      <c r="M12" s="74" t="str">
        <f t="shared" si="2"/>
        <v>0</v>
      </c>
      <c r="N12" s="29" t="str">
        <f t="shared" si="3"/>
        <v>0</v>
      </c>
      <c r="O12" s="61">
        <v>1</v>
      </c>
      <c r="P12" s="65">
        <v>1</v>
      </c>
      <c r="Q12" s="46">
        <f t="shared" si="7"/>
        <v>3</v>
      </c>
      <c r="R12" s="83" t="str">
        <f t="shared" si="6"/>
        <v>ผ่าน</v>
      </c>
      <c r="S12" s="3" t="s">
        <v>28</v>
      </c>
    </row>
    <row r="13" spans="1:20" ht="24">
      <c r="A13" s="3">
        <v>12</v>
      </c>
      <c r="B13" s="105">
        <v>6312213121</v>
      </c>
      <c r="C13" s="4" t="s">
        <v>29</v>
      </c>
      <c r="D13" s="4" t="s">
        <v>60</v>
      </c>
      <c r="E13" s="4" t="s">
        <v>61</v>
      </c>
      <c r="F13" s="4" t="s">
        <v>62</v>
      </c>
      <c r="G13" s="4" t="s">
        <v>26</v>
      </c>
      <c r="H13" s="4" t="s">
        <v>27</v>
      </c>
      <c r="I13" s="3">
        <v>4</v>
      </c>
      <c r="J13" s="44" t="str">
        <f t="shared" si="0"/>
        <v>0</v>
      </c>
      <c r="K13" s="54">
        <v>1</v>
      </c>
      <c r="L13" s="69" t="str">
        <f t="shared" si="1"/>
        <v>0</v>
      </c>
      <c r="M13" s="74" t="str">
        <f t="shared" si="2"/>
        <v>1</v>
      </c>
      <c r="N13" s="29" t="str">
        <f t="shared" si="3"/>
        <v>0</v>
      </c>
      <c r="O13" s="61" t="str">
        <f t="shared" ca="1" si="4"/>
        <v>1</v>
      </c>
      <c r="P13" s="65" t="str">
        <f t="shared" si="5"/>
        <v>1</v>
      </c>
      <c r="Q13" s="46">
        <f t="shared" ca="1" si="7"/>
        <v>4</v>
      </c>
      <c r="R13" s="83" t="str">
        <f t="shared" ca="1" si="6"/>
        <v>ผ่าน</v>
      </c>
      <c r="S13" s="3" t="s">
        <v>28</v>
      </c>
    </row>
    <row r="14" spans="1:20" ht="24">
      <c r="A14" s="3">
        <v>13</v>
      </c>
      <c r="B14" s="105">
        <v>6612314111</v>
      </c>
      <c r="C14" s="4" t="s">
        <v>29</v>
      </c>
      <c r="D14" s="4" t="s">
        <v>63</v>
      </c>
      <c r="E14" s="4" t="s">
        <v>64</v>
      </c>
      <c r="F14" s="4" t="s">
        <v>65</v>
      </c>
      <c r="G14" s="4" t="s">
        <v>26</v>
      </c>
      <c r="H14" s="4" t="s">
        <v>66</v>
      </c>
      <c r="I14" s="3">
        <v>1</v>
      </c>
      <c r="J14" s="45" t="str">
        <f t="shared" si="0"/>
        <v>1</v>
      </c>
      <c r="K14" s="54">
        <v>1</v>
      </c>
      <c r="L14" s="69" t="str">
        <f t="shared" si="1"/>
        <v>0</v>
      </c>
      <c r="M14" s="74" t="str">
        <f t="shared" si="2"/>
        <v>0</v>
      </c>
      <c r="N14" s="29" t="str">
        <f t="shared" si="3"/>
        <v>0</v>
      </c>
      <c r="O14" s="61" t="str">
        <f t="shared" ca="1" si="4"/>
        <v>0</v>
      </c>
      <c r="P14" s="65" t="str">
        <f t="shared" si="5"/>
        <v>0</v>
      </c>
      <c r="Q14" s="46">
        <f t="shared" ca="1" si="7"/>
        <v>2</v>
      </c>
      <c r="R14" s="3" t="str">
        <f ca="1">IF(Q14&gt;=3,"ผ่าน",IF(Q14&lt;3,"ไม่ผ่าน"))</f>
        <v>ไม่ผ่าน</v>
      </c>
      <c r="S14" s="3" t="s">
        <v>28</v>
      </c>
    </row>
    <row r="15" spans="1:20" ht="24">
      <c r="A15" s="3">
        <v>14</v>
      </c>
      <c r="B15" s="105">
        <v>6612314112</v>
      </c>
      <c r="C15" s="4" t="s">
        <v>29</v>
      </c>
      <c r="D15" s="4" t="s">
        <v>67</v>
      </c>
      <c r="E15" s="4" t="s">
        <v>68</v>
      </c>
      <c r="F15" s="4" t="s">
        <v>69</v>
      </c>
      <c r="G15" s="4" t="s">
        <v>26</v>
      </c>
      <c r="H15" s="4" t="s">
        <v>66</v>
      </c>
      <c r="I15" s="3">
        <v>1</v>
      </c>
      <c r="J15" s="44" t="str">
        <f t="shared" si="0"/>
        <v>0</v>
      </c>
      <c r="K15" s="54">
        <v>1</v>
      </c>
      <c r="L15" s="69" t="str">
        <f t="shared" si="1"/>
        <v>0</v>
      </c>
      <c r="M15" s="74" t="str">
        <f t="shared" si="2"/>
        <v>0</v>
      </c>
      <c r="N15" s="29" t="str">
        <f t="shared" si="3"/>
        <v>0</v>
      </c>
      <c r="O15" s="61" t="str">
        <f t="shared" ca="1" si="4"/>
        <v>0</v>
      </c>
      <c r="P15" s="65" t="str">
        <f t="shared" si="5"/>
        <v>0</v>
      </c>
      <c r="Q15" s="46">
        <f t="shared" ca="1" si="7"/>
        <v>1</v>
      </c>
      <c r="R15" s="3" t="str">
        <f t="shared" ca="1" si="6"/>
        <v>ไม่ผ่าน</v>
      </c>
      <c r="S15" s="3" t="s">
        <v>28</v>
      </c>
    </row>
    <row r="16" spans="1:20" ht="24">
      <c r="A16" s="3">
        <v>15</v>
      </c>
      <c r="B16" s="105">
        <v>6612314113</v>
      </c>
      <c r="C16" s="4" t="s">
        <v>29</v>
      </c>
      <c r="D16" s="4" t="s">
        <v>70</v>
      </c>
      <c r="E16" s="4" t="s">
        <v>71</v>
      </c>
      <c r="F16" s="4" t="s">
        <v>72</v>
      </c>
      <c r="G16" s="4" t="s">
        <v>26</v>
      </c>
      <c r="H16" s="4" t="s">
        <v>66</v>
      </c>
      <c r="I16" s="3">
        <v>1</v>
      </c>
      <c r="J16" s="44" t="str">
        <f t="shared" si="0"/>
        <v>0</v>
      </c>
      <c r="K16" s="54">
        <v>1</v>
      </c>
      <c r="L16" s="69" t="str">
        <f t="shared" si="1"/>
        <v>0</v>
      </c>
      <c r="M16" s="74" t="str">
        <f t="shared" si="2"/>
        <v>0</v>
      </c>
      <c r="N16" s="29" t="str">
        <f t="shared" si="3"/>
        <v>0</v>
      </c>
      <c r="O16" s="61" t="str">
        <f t="shared" ca="1" si="4"/>
        <v>1</v>
      </c>
      <c r="P16" s="65" t="str">
        <f t="shared" si="5"/>
        <v>0</v>
      </c>
      <c r="Q16" s="46">
        <f t="shared" ca="1" si="7"/>
        <v>2</v>
      </c>
      <c r="R16" s="3" t="str">
        <f t="shared" ca="1" si="6"/>
        <v>ไม่ผ่าน</v>
      </c>
      <c r="S16" s="3" t="s">
        <v>28</v>
      </c>
    </row>
    <row r="17" spans="1:19" ht="24">
      <c r="A17" s="3">
        <v>16</v>
      </c>
      <c r="B17" s="105">
        <v>6612314114</v>
      </c>
      <c r="C17" s="4" t="s">
        <v>29</v>
      </c>
      <c r="D17" s="4" t="s">
        <v>73</v>
      </c>
      <c r="E17" s="4" t="s">
        <v>74</v>
      </c>
      <c r="F17" s="4" t="s">
        <v>75</v>
      </c>
      <c r="G17" s="4" t="s">
        <v>26</v>
      </c>
      <c r="H17" s="4" t="s">
        <v>66</v>
      </c>
      <c r="I17" s="3">
        <v>1</v>
      </c>
      <c r="J17" s="45" t="str">
        <f t="shared" si="0"/>
        <v>1</v>
      </c>
      <c r="K17" s="54" t="str">
        <f t="shared" si="8"/>
        <v>0</v>
      </c>
      <c r="L17" s="69" t="str">
        <f t="shared" si="1"/>
        <v>0</v>
      </c>
      <c r="M17" s="74" t="str">
        <f t="shared" si="2"/>
        <v>1</v>
      </c>
      <c r="N17" s="29" t="str">
        <f t="shared" si="3"/>
        <v>0</v>
      </c>
      <c r="O17" s="61" t="str">
        <f t="shared" ca="1" si="4"/>
        <v>1</v>
      </c>
      <c r="P17" s="65" t="str">
        <f t="shared" si="5"/>
        <v>1</v>
      </c>
      <c r="Q17" s="46">
        <f t="shared" ca="1" si="7"/>
        <v>4</v>
      </c>
      <c r="R17" s="83" t="str">
        <f t="shared" ca="1" si="6"/>
        <v>ผ่าน</v>
      </c>
      <c r="S17" s="3" t="s">
        <v>28</v>
      </c>
    </row>
    <row r="18" spans="1:19" ht="24">
      <c r="A18" s="3">
        <v>17</v>
      </c>
      <c r="B18" s="105">
        <v>6612314126</v>
      </c>
      <c r="C18" s="4" t="s">
        <v>29</v>
      </c>
      <c r="D18" s="4" t="s">
        <v>76</v>
      </c>
      <c r="E18" s="4" t="s">
        <v>77</v>
      </c>
      <c r="F18" s="4" t="s">
        <v>78</v>
      </c>
      <c r="G18" s="4" t="s">
        <v>26</v>
      </c>
      <c r="H18" s="4" t="s">
        <v>66</v>
      </c>
      <c r="I18" s="3">
        <v>1</v>
      </c>
      <c r="J18" s="45" t="str">
        <f t="shared" si="0"/>
        <v>1</v>
      </c>
      <c r="K18" s="54">
        <v>1</v>
      </c>
      <c r="L18" s="69" t="str">
        <f t="shared" si="1"/>
        <v>0</v>
      </c>
      <c r="M18" s="74" t="str">
        <f t="shared" si="2"/>
        <v>0</v>
      </c>
      <c r="N18" s="29" t="str">
        <f t="shared" si="3"/>
        <v>0</v>
      </c>
      <c r="O18" s="61" t="str">
        <f t="shared" ca="1" si="4"/>
        <v>0</v>
      </c>
      <c r="P18" s="65" t="str">
        <f t="shared" si="5"/>
        <v>0</v>
      </c>
      <c r="Q18" s="46">
        <f t="shared" ca="1" si="7"/>
        <v>2</v>
      </c>
      <c r="R18" s="3" t="str">
        <f t="shared" ca="1" si="6"/>
        <v>ไม่ผ่าน</v>
      </c>
      <c r="S18" s="3" t="s">
        <v>28</v>
      </c>
    </row>
    <row r="19" spans="1:19" ht="24">
      <c r="A19" s="3">
        <v>18</v>
      </c>
      <c r="B19" s="105">
        <v>6612314130</v>
      </c>
      <c r="C19" s="4" t="s">
        <v>29</v>
      </c>
      <c r="D19" s="4" t="s">
        <v>79</v>
      </c>
      <c r="E19" s="4" t="s">
        <v>80</v>
      </c>
      <c r="F19" s="4" t="s">
        <v>38</v>
      </c>
      <c r="G19" s="4" t="s">
        <v>26</v>
      </c>
      <c r="H19" s="4" t="s">
        <v>66</v>
      </c>
      <c r="I19" s="3">
        <v>1</v>
      </c>
      <c r="J19" s="45" t="str">
        <f t="shared" si="0"/>
        <v>1</v>
      </c>
      <c r="K19" s="54" t="str">
        <f t="shared" si="8"/>
        <v>1</v>
      </c>
      <c r="L19" s="69" t="str">
        <f t="shared" si="1"/>
        <v>0</v>
      </c>
      <c r="M19" s="74" t="str">
        <f t="shared" si="2"/>
        <v>1</v>
      </c>
      <c r="N19" s="29" t="str">
        <f t="shared" si="3"/>
        <v>0</v>
      </c>
      <c r="O19" s="61" t="str">
        <f t="shared" ca="1" si="4"/>
        <v>0</v>
      </c>
      <c r="P19" s="65" t="str">
        <f t="shared" si="5"/>
        <v>0</v>
      </c>
      <c r="Q19" s="46">
        <f t="shared" ca="1" si="7"/>
        <v>3</v>
      </c>
      <c r="R19" s="83" t="str">
        <f t="shared" ca="1" si="6"/>
        <v>ผ่าน</v>
      </c>
      <c r="S19" s="3" t="s">
        <v>28</v>
      </c>
    </row>
    <row r="20" spans="1:19" ht="24">
      <c r="A20" s="3">
        <v>19</v>
      </c>
      <c r="B20" s="105">
        <v>6612314132</v>
      </c>
      <c r="C20" s="4" t="s">
        <v>29</v>
      </c>
      <c r="D20" s="4" t="s">
        <v>81</v>
      </c>
      <c r="E20" s="4" t="s">
        <v>82</v>
      </c>
      <c r="F20" s="4" t="s">
        <v>83</v>
      </c>
      <c r="G20" s="4" t="s">
        <v>26</v>
      </c>
      <c r="H20" s="4" t="s">
        <v>66</v>
      </c>
      <c r="I20" s="3">
        <v>1</v>
      </c>
      <c r="J20" s="45" t="str">
        <f t="shared" si="0"/>
        <v>1</v>
      </c>
      <c r="K20" s="54" t="str">
        <f t="shared" si="8"/>
        <v>1</v>
      </c>
      <c r="L20" s="69" t="str">
        <f t="shared" si="1"/>
        <v>0</v>
      </c>
      <c r="M20" s="74" t="str">
        <f t="shared" si="2"/>
        <v>1</v>
      </c>
      <c r="N20" s="29" t="str">
        <f t="shared" si="3"/>
        <v>0</v>
      </c>
      <c r="O20" s="61" t="str">
        <f t="shared" ca="1" si="4"/>
        <v>1</v>
      </c>
      <c r="P20" s="65" t="str">
        <f t="shared" si="5"/>
        <v>1</v>
      </c>
      <c r="Q20" s="46">
        <f t="shared" ca="1" si="7"/>
        <v>5</v>
      </c>
      <c r="R20" s="83" t="str">
        <f t="shared" ca="1" si="6"/>
        <v>ผ่าน</v>
      </c>
      <c r="S20" s="3" t="s">
        <v>28</v>
      </c>
    </row>
    <row r="21" spans="1:19" ht="24">
      <c r="A21" s="3">
        <v>20</v>
      </c>
      <c r="B21" s="105">
        <v>6612314133</v>
      </c>
      <c r="C21" s="4" t="s">
        <v>29</v>
      </c>
      <c r="D21" s="4" t="s">
        <v>84</v>
      </c>
      <c r="E21" s="4" t="s">
        <v>85</v>
      </c>
      <c r="F21" s="4" t="s">
        <v>86</v>
      </c>
      <c r="G21" s="4" t="s">
        <v>26</v>
      </c>
      <c r="H21" s="4" t="s">
        <v>66</v>
      </c>
      <c r="I21" s="3">
        <v>1</v>
      </c>
      <c r="J21" s="44" t="str">
        <f t="shared" si="0"/>
        <v>0</v>
      </c>
      <c r="K21" s="54">
        <v>1</v>
      </c>
      <c r="L21" s="69" t="str">
        <f t="shared" si="1"/>
        <v>0</v>
      </c>
      <c r="M21" s="74" t="str">
        <f t="shared" si="2"/>
        <v>0</v>
      </c>
      <c r="N21" s="29" t="str">
        <f t="shared" si="3"/>
        <v>0</v>
      </c>
      <c r="O21" s="61" t="str">
        <f t="shared" ca="1" si="4"/>
        <v>1</v>
      </c>
      <c r="P21" s="65" t="str">
        <f t="shared" si="5"/>
        <v>0</v>
      </c>
      <c r="Q21" s="46">
        <f t="shared" ca="1" si="7"/>
        <v>2</v>
      </c>
      <c r="R21" s="3" t="str">
        <f t="shared" ca="1" si="6"/>
        <v>ไม่ผ่าน</v>
      </c>
      <c r="S21" s="3" t="s">
        <v>28</v>
      </c>
    </row>
    <row r="22" spans="1:19" ht="24">
      <c r="A22" s="3">
        <v>21</v>
      </c>
      <c r="B22" s="105">
        <v>6612314135</v>
      </c>
      <c r="C22" s="4" t="s">
        <v>29</v>
      </c>
      <c r="D22" s="4" t="s">
        <v>87</v>
      </c>
      <c r="E22" s="4" t="s">
        <v>88</v>
      </c>
      <c r="F22" s="4" t="s">
        <v>89</v>
      </c>
      <c r="G22" s="4" t="s">
        <v>26</v>
      </c>
      <c r="H22" s="4" t="s">
        <v>66</v>
      </c>
      <c r="I22" s="3">
        <v>1</v>
      </c>
      <c r="J22" s="44" t="str">
        <f t="shared" si="0"/>
        <v>0</v>
      </c>
      <c r="K22" s="54">
        <v>1</v>
      </c>
      <c r="L22" s="69" t="str">
        <f t="shared" si="1"/>
        <v>0</v>
      </c>
      <c r="M22" s="74" t="str">
        <f t="shared" si="2"/>
        <v>0</v>
      </c>
      <c r="N22" s="29" t="str">
        <f t="shared" si="3"/>
        <v>0</v>
      </c>
      <c r="O22" s="61" t="str">
        <f t="shared" ca="1" si="4"/>
        <v>0</v>
      </c>
      <c r="P22" s="65" t="str">
        <f t="shared" si="5"/>
        <v>0</v>
      </c>
      <c r="Q22" s="46">
        <f t="shared" ca="1" si="7"/>
        <v>1</v>
      </c>
      <c r="R22" s="3" t="str">
        <f t="shared" ca="1" si="6"/>
        <v>ไม่ผ่าน</v>
      </c>
      <c r="S22" s="3" t="s">
        <v>28</v>
      </c>
    </row>
    <row r="23" spans="1:19" ht="24">
      <c r="A23" s="3">
        <v>22</v>
      </c>
      <c r="B23" s="105">
        <v>6412314102</v>
      </c>
      <c r="C23" s="4" t="s">
        <v>22</v>
      </c>
      <c r="D23" s="4" t="s">
        <v>90</v>
      </c>
      <c r="E23" s="4" t="s">
        <v>91</v>
      </c>
      <c r="F23" s="4" t="s">
        <v>92</v>
      </c>
      <c r="G23" s="4" t="s">
        <v>26</v>
      </c>
      <c r="H23" s="4" t="s">
        <v>66</v>
      </c>
      <c r="I23" s="3">
        <v>3</v>
      </c>
      <c r="J23" s="44" t="str">
        <f t="shared" si="0"/>
        <v>0</v>
      </c>
      <c r="K23" s="54">
        <v>1</v>
      </c>
      <c r="L23" s="69" t="str">
        <f t="shared" si="1"/>
        <v>0</v>
      </c>
      <c r="M23" s="74" t="str">
        <f t="shared" si="2"/>
        <v>1</v>
      </c>
      <c r="N23" s="29" t="str">
        <f t="shared" si="3"/>
        <v>0</v>
      </c>
      <c r="O23" s="61" t="str">
        <f t="shared" ca="1" si="4"/>
        <v>1</v>
      </c>
      <c r="P23" s="65" t="str">
        <f t="shared" si="5"/>
        <v>1</v>
      </c>
      <c r="Q23" s="46">
        <f t="shared" ca="1" si="7"/>
        <v>4</v>
      </c>
      <c r="R23" s="83" t="str">
        <f t="shared" ca="1" si="6"/>
        <v>ผ่าน</v>
      </c>
      <c r="S23" s="3" t="s">
        <v>28</v>
      </c>
    </row>
    <row r="24" spans="1:19" ht="24">
      <c r="A24" s="3">
        <v>23</v>
      </c>
      <c r="B24" s="105">
        <v>6412314105</v>
      </c>
      <c r="C24" s="4" t="s">
        <v>29</v>
      </c>
      <c r="D24" s="4" t="s">
        <v>93</v>
      </c>
      <c r="E24" s="4" t="s">
        <v>94</v>
      </c>
      <c r="F24" s="4" t="s">
        <v>95</v>
      </c>
      <c r="G24" s="4" t="s">
        <v>26</v>
      </c>
      <c r="H24" s="4" t="s">
        <v>66</v>
      </c>
      <c r="I24" s="3">
        <v>3</v>
      </c>
      <c r="J24" s="44" t="str">
        <f t="shared" si="0"/>
        <v>0</v>
      </c>
      <c r="K24" s="54">
        <v>1</v>
      </c>
      <c r="L24" s="69" t="str">
        <f t="shared" si="1"/>
        <v>0</v>
      </c>
      <c r="M24" s="74" t="str">
        <f t="shared" si="2"/>
        <v>0</v>
      </c>
      <c r="N24" s="29" t="str">
        <f t="shared" si="3"/>
        <v>0</v>
      </c>
      <c r="O24" s="61" t="str">
        <f t="shared" ca="1" si="4"/>
        <v>1</v>
      </c>
      <c r="P24" s="65" t="str">
        <f t="shared" si="5"/>
        <v>1</v>
      </c>
      <c r="Q24" s="46">
        <f t="shared" ca="1" si="7"/>
        <v>3</v>
      </c>
      <c r="R24" s="83" t="str">
        <f t="shared" ca="1" si="6"/>
        <v>ผ่าน</v>
      </c>
      <c r="S24" s="3" t="s">
        <v>28</v>
      </c>
    </row>
    <row r="25" spans="1:19" ht="24">
      <c r="A25" s="3">
        <v>24</v>
      </c>
      <c r="B25" s="105">
        <v>6412314107</v>
      </c>
      <c r="C25" s="4" t="s">
        <v>29</v>
      </c>
      <c r="D25" s="4" t="s">
        <v>96</v>
      </c>
      <c r="E25" s="4" t="s">
        <v>97</v>
      </c>
      <c r="F25" s="4" t="s">
        <v>98</v>
      </c>
      <c r="G25" s="4" t="s">
        <v>26</v>
      </c>
      <c r="H25" s="4" t="s">
        <v>66</v>
      </c>
      <c r="I25" s="3">
        <v>3</v>
      </c>
      <c r="J25" s="44" t="str">
        <f t="shared" si="0"/>
        <v>0</v>
      </c>
      <c r="K25" s="54" t="str">
        <f t="shared" si="8"/>
        <v>1</v>
      </c>
      <c r="L25" s="69" t="str">
        <f t="shared" si="1"/>
        <v>0</v>
      </c>
      <c r="M25" s="74" t="str">
        <f t="shared" si="2"/>
        <v>0</v>
      </c>
      <c r="N25" s="29" t="str">
        <f t="shared" si="3"/>
        <v>0</v>
      </c>
      <c r="O25" s="61" t="str">
        <f t="shared" ca="1" si="4"/>
        <v>0</v>
      </c>
      <c r="P25" s="65" t="str">
        <f t="shared" si="5"/>
        <v>1</v>
      </c>
      <c r="Q25" s="46">
        <f t="shared" ca="1" si="7"/>
        <v>2</v>
      </c>
      <c r="R25" s="3" t="str">
        <f t="shared" ca="1" si="6"/>
        <v>ไม่ผ่าน</v>
      </c>
      <c r="S25" s="3" t="s">
        <v>28</v>
      </c>
    </row>
    <row r="26" spans="1:19" ht="24">
      <c r="A26" s="3">
        <v>25</v>
      </c>
      <c r="B26" s="105">
        <v>6312314110</v>
      </c>
      <c r="C26" s="4" t="s">
        <v>29</v>
      </c>
      <c r="D26" s="4" t="s">
        <v>99</v>
      </c>
      <c r="E26" s="4" t="s">
        <v>100</v>
      </c>
      <c r="F26" s="4" t="s">
        <v>101</v>
      </c>
      <c r="G26" s="4" t="s">
        <v>26</v>
      </c>
      <c r="H26" s="4" t="s">
        <v>66</v>
      </c>
      <c r="I26" s="3">
        <v>4</v>
      </c>
      <c r="J26" s="44" t="str">
        <f t="shared" si="0"/>
        <v>0</v>
      </c>
      <c r="K26" s="54" t="str">
        <f t="shared" si="8"/>
        <v>1</v>
      </c>
      <c r="L26" s="69" t="str">
        <f t="shared" si="1"/>
        <v>0</v>
      </c>
      <c r="M26" s="74" t="str">
        <f t="shared" si="2"/>
        <v>1</v>
      </c>
      <c r="N26" s="29" t="str">
        <f t="shared" si="3"/>
        <v>0</v>
      </c>
      <c r="O26" s="61" t="str">
        <f t="shared" ca="1" si="4"/>
        <v>1</v>
      </c>
      <c r="P26" s="65">
        <v>1</v>
      </c>
      <c r="Q26" s="46">
        <f t="shared" ca="1" si="7"/>
        <v>4</v>
      </c>
      <c r="R26" s="83" t="str">
        <f t="shared" ca="1" si="6"/>
        <v>ผ่าน</v>
      </c>
      <c r="S26" s="3" t="s">
        <v>28</v>
      </c>
    </row>
    <row r="27" spans="1:19" ht="24">
      <c r="A27" s="3">
        <v>26</v>
      </c>
      <c r="B27" s="105">
        <v>6312314114</v>
      </c>
      <c r="C27" s="4" t="s">
        <v>29</v>
      </c>
      <c r="D27" s="4" t="s">
        <v>102</v>
      </c>
      <c r="E27" s="4" t="s">
        <v>103</v>
      </c>
      <c r="F27" s="4" t="s">
        <v>104</v>
      </c>
      <c r="G27" s="4" t="s">
        <v>26</v>
      </c>
      <c r="H27" s="4" t="s">
        <v>66</v>
      </c>
      <c r="I27" s="3">
        <v>4</v>
      </c>
      <c r="J27" s="44" t="str">
        <f t="shared" si="0"/>
        <v>0</v>
      </c>
      <c r="K27" s="54" t="str">
        <f t="shared" si="8"/>
        <v>1</v>
      </c>
      <c r="L27" s="69" t="str">
        <f t="shared" si="1"/>
        <v>0</v>
      </c>
      <c r="M27" s="74" t="str">
        <f t="shared" si="2"/>
        <v>1</v>
      </c>
      <c r="N27" s="29" t="str">
        <f t="shared" si="3"/>
        <v>0</v>
      </c>
      <c r="O27" s="61" t="str">
        <f t="shared" ca="1" si="4"/>
        <v>1</v>
      </c>
      <c r="P27" s="65">
        <v>1</v>
      </c>
      <c r="Q27" s="46">
        <f t="shared" ca="1" si="7"/>
        <v>4</v>
      </c>
      <c r="R27" s="83" t="str">
        <f t="shared" ca="1" si="6"/>
        <v>ผ่าน</v>
      </c>
      <c r="S27" s="3" t="s">
        <v>28</v>
      </c>
    </row>
    <row r="28" spans="1:19" ht="24">
      <c r="A28" s="3">
        <v>27</v>
      </c>
      <c r="B28" s="105">
        <v>6312314115</v>
      </c>
      <c r="C28" s="4" t="s">
        <v>29</v>
      </c>
      <c r="D28" s="4" t="s">
        <v>105</v>
      </c>
      <c r="E28" s="4" t="s">
        <v>106</v>
      </c>
      <c r="F28" s="4" t="s">
        <v>107</v>
      </c>
      <c r="G28" s="4" t="s">
        <v>26</v>
      </c>
      <c r="H28" s="4" t="s">
        <v>66</v>
      </c>
      <c r="I28" s="3">
        <v>4</v>
      </c>
      <c r="J28" s="44" t="str">
        <f t="shared" si="0"/>
        <v>0</v>
      </c>
      <c r="K28" s="54" t="str">
        <f t="shared" si="8"/>
        <v>1</v>
      </c>
      <c r="L28" s="69" t="str">
        <f t="shared" si="1"/>
        <v>0</v>
      </c>
      <c r="M28" s="74" t="str">
        <f t="shared" si="2"/>
        <v>1</v>
      </c>
      <c r="N28" s="29" t="str">
        <f t="shared" si="3"/>
        <v>0</v>
      </c>
      <c r="O28" s="61" t="str">
        <f t="shared" ca="1" si="4"/>
        <v>1</v>
      </c>
      <c r="P28" s="65">
        <v>1</v>
      </c>
      <c r="Q28" s="46">
        <f t="shared" ca="1" si="7"/>
        <v>4</v>
      </c>
      <c r="R28" s="83" t="str">
        <f t="shared" ca="1" si="6"/>
        <v>ผ่าน</v>
      </c>
      <c r="S28" s="3" t="s">
        <v>28</v>
      </c>
    </row>
    <row r="29" spans="1:19" ht="24">
      <c r="A29" s="3">
        <v>28</v>
      </c>
      <c r="B29" s="105">
        <v>6312314120</v>
      </c>
      <c r="C29" s="4" t="s">
        <v>29</v>
      </c>
      <c r="D29" s="4" t="s">
        <v>108</v>
      </c>
      <c r="E29" s="4" t="s">
        <v>109</v>
      </c>
      <c r="F29" s="4" t="s">
        <v>110</v>
      </c>
      <c r="G29" s="4" t="s">
        <v>26</v>
      </c>
      <c r="H29" s="4" t="s">
        <v>66</v>
      </c>
      <c r="I29" s="3">
        <v>4</v>
      </c>
      <c r="J29" s="44" t="str">
        <f t="shared" si="0"/>
        <v>0</v>
      </c>
      <c r="K29" s="54" t="str">
        <f t="shared" si="8"/>
        <v>1</v>
      </c>
      <c r="L29" s="69" t="str">
        <f t="shared" si="1"/>
        <v>0</v>
      </c>
      <c r="M29" s="74" t="str">
        <f t="shared" si="2"/>
        <v>1</v>
      </c>
      <c r="N29" s="29" t="str">
        <f t="shared" si="3"/>
        <v>0</v>
      </c>
      <c r="O29" s="61" t="str">
        <f t="shared" ca="1" si="4"/>
        <v>1</v>
      </c>
      <c r="P29" s="65">
        <v>1</v>
      </c>
      <c r="Q29" s="46">
        <f t="shared" ca="1" si="7"/>
        <v>4</v>
      </c>
      <c r="R29" s="83" t="str">
        <f t="shared" ca="1" si="6"/>
        <v>ผ่าน</v>
      </c>
      <c r="S29" s="3" t="s">
        <v>28</v>
      </c>
    </row>
    <row r="30" spans="1:19" ht="24">
      <c r="A30" s="3">
        <v>29</v>
      </c>
      <c r="B30" s="105">
        <v>6312314124</v>
      </c>
      <c r="C30" s="4" t="s">
        <v>29</v>
      </c>
      <c r="D30" s="4" t="s">
        <v>111</v>
      </c>
      <c r="E30" s="4" t="s">
        <v>112</v>
      </c>
      <c r="F30" s="4" t="s">
        <v>65</v>
      </c>
      <c r="G30" s="4" t="s">
        <v>26</v>
      </c>
      <c r="H30" s="4" t="s">
        <v>66</v>
      </c>
      <c r="I30" s="3">
        <v>4</v>
      </c>
      <c r="J30" s="44" t="str">
        <f t="shared" si="0"/>
        <v>0</v>
      </c>
      <c r="K30" s="54" t="str">
        <f t="shared" si="8"/>
        <v>0</v>
      </c>
      <c r="L30" s="69" t="str">
        <f t="shared" si="1"/>
        <v>0</v>
      </c>
      <c r="M30" s="74" t="str">
        <f t="shared" si="2"/>
        <v>0</v>
      </c>
      <c r="N30" s="29" t="str">
        <f t="shared" si="3"/>
        <v>0</v>
      </c>
      <c r="O30" s="61" t="str">
        <f t="shared" ca="1" si="4"/>
        <v>0</v>
      </c>
      <c r="P30" s="65">
        <v>1</v>
      </c>
      <c r="Q30" s="46">
        <f t="shared" ca="1" si="7"/>
        <v>1</v>
      </c>
      <c r="R30" s="3" t="str">
        <f t="shared" ca="1" si="6"/>
        <v>ไม่ผ่าน</v>
      </c>
      <c r="S30" s="3" t="s">
        <v>28</v>
      </c>
    </row>
    <row r="31" spans="1:19" ht="24">
      <c r="A31" s="3">
        <v>30</v>
      </c>
      <c r="B31" s="105">
        <v>6410094115</v>
      </c>
      <c r="C31" s="4" t="s">
        <v>22</v>
      </c>
      <c r="D31" s="4" t="s">
        <v>113</v>
      </c>
      <c r="E31" s="4" t="s">
        <v>114</v>
      </c>
      <c r="F31" s="4" t="s">
        <v>115</v>
      </c>
      <c r="G31" s="4" t="s">
        <v>26</v>
      </c>
      <c r="H31" s="4" t="s">
        <v>116</v>
      </c>
      <c r="I31" s="3">
        <v>3</v>
      </c>
      <c r="J31" s="44" t="str">
        <f t="shared" si="0"/>
        <v>0</v>
      </c>
      <c r="K31" s="54" t="str">
        <f t="shared" si="8"/>
        <v>1</v>
      </c>
      <c r="L31" s="69" t="str">
        <f t="shared" si="1"/>
        <v>0</v>
      </c>
      <c r="M31" s="74" t="str">
        <f t="shared" si="2"/>
        <v>1</v>
      </c>
      <c r="N31" s="29" t="str">
        <f t="shared" si="3"/>
        <v>0</v>
      </c>
      <c r="O31" s="61" t="str">
        <f t="shared" ca="1" si="4"/>
        <v>1</v>
      </c>
      <c r="P31" s="65" t="str">
        <f t="shared" si="5"/>
        <v>1</v>
      </c>
      <c r="Q31" s="46">
        <f t="shared" ca="1" si="7"/>
        <v>4</v>
      </c>
      <c r="R31" s="83" t="str">
        <f t="shared" ca="1" si="6"/>
        <v>ผ่าน</v>
      </c>
      <c r="S31" s="3" t="s">
        <v>28</v>
      </c>
    </row>
    <row r="32" spans="1:19" ht="24">
      <c r="A32" s="3">
        <v>31</v>
      </c>
      <c r="B32" s="105">
        <v>6310094124</v>
      </c>
      <c r="C32" s="4" t="s">
        <v>29</v>
      </c>
      <c r="D32" s="4" t="s">
        <v>117</v>
      </c>
      <c r="E32" s="4" t="s">
        <v>118</v>
      </c>
      <c r="F32" s="4" t="s">
        <v>38</v>
      </c>
      <c r="G32" s="4" t="s">
        <v>26</v>
      </c>
      <c r="H32" s="4" t="s">
        <v>116</v>
      </c>
      <c r="I32" s="3">
        <v>4</v>
      </c>
      <c r="J32" s="44" t="str">
        <f t="shared" si="0"/>
        <v>0</v>
      </c>
      <c r="K32" s="54" t="str">
        <f t="shared" si="8"/>
        <v>1</v>
      </c>
      <c r="L32" s="69" t="str">
        <f t="shared" si="1"/>
        <v>0</v>
      </c>
      <c r="M32" s="74" t="str">
        <f t="shared" si="2"/>
        <v>1</v>
      </c>
      <c r="N32" s="29" t="str">
        <f t="shared" si="3"/>
        <v>0</v>
      </c>
      <c r="O32" s="61" t="str">
        <f t="shared" ca="1" si="4"/>
        <v>1</v>
      </c>
      <c r="P32" s="65" t="str">
        <f t="shared" si="5"/>
        <v>1</v>
      </c>
      <c r="Q32" s="46">
        <f t="shared" ca="1" si="7"/>
        <v>4</v>
      </c>
      <c r="R32" s="83" t="str">
        <f t="shared" ca="1" si="6"/>
        <v>ผ่าน</v>
      </c>
      <c r="S32" s="3" t="s">
        <v>28</v>
      </c>
    </row>
    <row r="33" spans="1:19" ht="24">
      <c r="A33" s="3">
        <v>32</v>
      </c>
      <c r="B33" s="105">
        <v>6310094126</v>
      </c>
      <c r="C33" s="4" t="s">
        <v>29</v>
      </c>
      <c r="D33" s="4" t="s">
        <v>119</v>
      </c>
      <c r="E33" s="4" t="s">
        <v>120</v>
      </c>
      <c r="F33" s="4" t="s">
        <v>121</v>
      </c>
      <c r="G33" s="4" t="s">
        <v>26</v>
      </c>
      <c r="H33" s="4" t="s">
        <v>116</v>
      </c>
      <c r="I33" s="3">
        <v>4</v>
      </c>
      <c r="J33" s="44" t="str">
        <f t="shared" si="0"/>
        <v>0</v>
      </c>
      <c r="K33" s="54" t="str">
        <f t="shared" si="8"/>
        <v>1</v>
      </c>
      <c r="L33" s="69" t="str">
        <f t="shared" si="1"/>
        <v>0</v>
      </c>
      <c r="M33" s="74" t="str">
        <f t="shared" si="2"/>
        <v>1</v>
      </c>
      <c r="N33" s="29" t="str">
        <f t="shared" si="3"/>
        <v>0</v>
      </c>
      <c r="O33" s="61" t="str">
        <f t="shared" ca="1" si="4"/>
        <v>1</v>
      </c>
      <c r="P33" s="65">
        <v>1</v>
      </c>
      <c r="Q33" s="46">
        <f t="shared" ca="1" si="7"/>
        <v>4</v>
      </c>
      <c r="R33" s="83" t="str">
        <f t="shared" ca="1" si="6"/>
        <v>ผ่าน</v>
      </c>
      <c r="S33" s="3" t="s">
        <v>28</v>
      </c>
    </row>
    <row r="34" spans="1:19" ht="24">
      <c r="A34" s="3">
        <v>33</v>
      </c>
      <c r="B34" s="105">
        <v>6310094130</v>
      </c>
      <c r="C34" s="4" t="s">
        <v>29</v>
      </c>
      <c r="D34" s="4" t="s">
        <v>122</v>
      </c>
      <c r="E34" s="4" t="s">
        <v>123</v>
      </c>
      <c r="F34" s="4" t="s">
        <v>124</v>
      </c>
      <c r="G34" s="4" t="s">
        <v>26</v>
      </c>
      <c r="H34" s="4" t="s">
        <v>116</v>
      </c>
      <c r="I34" s="3">
        <v>4</v>
      </c>
      <c r="J34" s="44" t="str">
        <f t="shared" si="0"/>
        <v>0</v>
      </c>
      <c r="K34" s="54" t="str">
        <f t="shared" si="8"/>
        <v>1</v>
      </c>
      <c r="L34" s="69" t="str">
        <f t="shared" si="1"/>
        <v>0</v>
      </c>
      <c r="M34" s="74" t="str">
        <f t="shared" si="2"/>
        <v>1</v>
      </c>
      <c r="N34" s="29" t="str">
        <f t="shared" si="3"/>
        <v>0</v>
      </c>
      <c r="O34" s="61" t="str">
        <f t="shared" ca="1" si="4"/>
        <v>1</v>
      </c>
      <c r="P34" s="65">
        <v>1</v>
      </c>
      <c r="Q34" s="46">
        <f t="shared" ca="1" si="7"/>
        <v>4</v>
      </c>
      <c r="R34" s="83" t="str">
        <f t="shared" ca="1" si="6"/>
        <v>ผ่าน</v>
      </c>
      <c r="S34" s="3" t="s">
        <v>28</v>
      </c>
    </row>
    <row r="35" spans="1:19" ht="24">
      <c r="A35" s="3">
        <v>34</v>
      </c>
      <c r="B35" s="105">
        <v>6310094134</v>
      </c>
      <c r="C35" s="4" t="s">
        <v>29</v>
      </c>
      <c r="D35" s="4" t="s">
        <v>125</v>
      </c>
      <c r="E35" s="4" t="s">
        <v>126</v>
      </c>
      <c r="F35" s="4" t="s">
        <v>127</v>
      </c>
      <c r="G35" s="4" t="s">
        <v>26</v>
      </c>
      <c r="H35" s="4" t="s">
        <v>116</v>
      </c>
      <c r="I35" s="3">
        <v>4</v>
      </c>
      <c r="J35" s="44" t="str">
        <f t="shared" si="0"/>
        <v>0</v>
      </c>
      <c r="K35" s="54" t="str">
        <f t="shared" si="8"/>
        <v>1</v>
      </c>
      <c r="L35" s="69" t="str">
        <f t="shared" si="1"/>
        <v>0</v>
      </c>
      <c r="M35" s="74" t="str">
        <f t="shared" si="2"/>
        <v>1</v>
      </c>
      <c r="N35" s="29" t="str">
        <f t="shared" si="3"/>
        <v>0</v>
      </c>
      <c r="O35" s="61" t="str">
        <f t="shared" ca="1" si="4"/>
        <v>1</v>
      </c>
      <c r="P35" s="65">
        <v>1</v>
      </c>
      <c r="Q35" s="46">
        <f t="shared" ca="1" si="7"/>
        <v>4</v>
      </c>
      <c r="R35" s="83" t="str">
        <f t="shared" ca="1" si="6"/>
        <v>ผ่าน</v>
      </c>
      <c r="S35" s="3" t="s">
        <v>28</v>
      </c>
    </row>
    <row r="36" spans="1:19" ht="24">
      <c r="A36" s="3">
        <v>35</v>
      </c>
      <c r="B36" s="105">
        <v>6310094136</v>
      </c>
      <c r="C36" s="4" t="s">
        <v>29</v>
      </c>
      <c r="D36" s="4" t="s">
        <v>128</v>
      </c>
      <c r="E36" s="4" t="s">
        <v>129</v>
      </c>
      <c r="F36" s="4" t="s">
        <v>130</v>
      </c>
      <c r="G36" s="4" t="s">
        <v>26</v>
      </c>
      <c r="H36" s="4" t="s">
        <v>116</v>
      </c>
      <c r="I36" s="3">
        <v>4</v>
      </c>
      <c r="J36" s="44" t="str">
        <f t="shared" si="0"/>
        <v>0</v>
      </c>
      <c r="K36" s="54" t="str">
        <f t="shared" si="8"/>
        <v>1</v>
      </c>
      <c r="L36" s="69" t="str">
        <f t="shared" si="1"/>
        <v>0</v>
      </c>
      <c r="M36" s="74" t="str">
        <f t="shared" si="2"/>
        <v>1</v>
      </c>
      <c r="N36" s="29" t="str">
        <f t="shared" si="3"/>
        <v>0</v>
      </c>
      <c r="O36" s="61" t="str">
        <f t="shared" ca="1" si="4"/>
        <v>1</v>
      </c>
      <c r="P36" s="65">
        <v>1</v>
      </c>
      <c r="Q36" s="46">
        <f t="shared" ca="1" si="7"/>
        <v>4</v>
      </c>
      <c r="R36" s="83" t="str">
        <f t="shared" ca="1" si="6"/>
        <v>ผ่าน</v>
      </c>
      <c r="S36" s="3" t="s">
        <v>28</v>
      </c>
    </row>
    <row r="37" spans="1:19" ht="24">
      <c r="A37" s="3">
        <v>36</v>
      </c>
      <c r="B37" s="105">
        <v>6610403109</v>
      </c>
      <c r="C37" s="4" t="s">
        <v>29</v>
      </c>
      <c r="D37" s="4" t="s">
        <v>131</v>
      </c>
      <c r="E37" s="4" t="s">
        <v>132</v>
      </c>
      <c r="F37" s="4" t="s">
        <v>133</v>
      </c>
      <c r="G37" s="4" t="s">
        <v>26</v>
      </c>
      <c r="H37" s="4" t="s">
        <v>134</v>
      </c>
      <c r="I37" s="3">
        <v>1</v>
      </c>
      <c r="J37" s="44" t="str">
        <f t="shared" si="0"/>
        <v>0</v>
      </c>
      <c r="K37" s="54" t="str">
        <f t="shared" si="8"/>
        <v>1</v>
      </c>
      <c r="L37" s="69" t="str">
        <f t="shared" si="1"/>
        <v>0</v>
      </c>
      <c r="M37" s="74" t="str">
        <f t="shared" si="2"/>
        <v>1</v>
      </c>
      <c r="N37" s="29" t="str">
        <f t="shared" si="3"/>
        <v>0</v>
      </c>
      <c r="O37" s="61" t="str">
        <f t="shared" ca="1" si="4"/>
        <v>1</v>
      </c>
      <c r="P37" s="65" t="str">
        <f t="shared" si="5"/>
        <v>1</v>
      </c>
      <c r="Q37" s="46">
        <f t="shared" ca="1" si="7"/>
        <v>4</v>
      </c>
      <c r="R37" s="83" t="str">
        <f t="shared" ca="1" si="6"/>
        <v>ผ่าน</v>
      </c>
      <c r="S37" s="3" t="s">
        <v>28</v>
      </c>
    </row>
    <row r="38" spans="1:19" ht="24">
      <c r="A38" s="3">
        <v>37</v>
      </c>
      <c r="B38" s="105">
        <v>6610403116</v>
      </c>
      <c r="C38" s="4" t="s">
        <v>29</v>
      </c>
      <c r="D38" s="4" t="s">
        <v>135</v>
      </c>
      <c r="E38" s="4" t="s">
        <v>136</v>
      </c>
      <c r="F38" s="4" t="s">
        <v>137</v>
      </c>
      <c r="G38" s="4" t="s">
        <v>26</v>
      </c>
      <c r="H38" s="4" t="s">
        <v>134</v>
      </c>
      <c r="I38" s="3">
        <v>1</v>
      </c>
      <c r="J38" s="44" t="str">
        <f t="shared" si="0"/>
        <v>0</v>
      </c>
      <c r="K38" s="54" t="str">
        <f t="shared" si="8"/>
        <v>1</v>
      </c>
      <c r="L38" s="69" t="str">
        <f t="shared" si="1"/>
        <v>0</v>
      </c>
      <c r="M38" s="74" t="str">
        <f t="shared" si="2"/>
        <v>0</v>
      </c>
      <c r="N38" s="29" t="str">
        <f t="shared" si="3"/>
        <v>0</v>
      </c>
      <c r="O38" s="61" t="str">
        <f t="shared" ca="1" si="4"/>
        <v>0</v>
      </c>
      <c r="P38" s="65" t="str">
        <f t="shared" si="5"/>
        <v>1</v>
      </c>
      <c r="Q38" s="46">
        <f t="shared" ca="1" si="7"/>
        <v>2</v>
      </c>
      <c r="R38" s="3" t="str">
        <f t="shared" ca="1" si="6"/>
        <v>ไม่ผ่าน</v>
      </c>
      <c r="S38" s="3" t="s">
        <v>28</v>
      </c>
    </row>
    <row r="39" spans="1:19" ht="24">
      <c r="A39" s="3">
        <v>38</v>
      </c>
      <c r="B39" s="105">
        <v>6610403121</v>
      </c>
      <c r="C39" s="4" t="s">
        <v>29</v>
      </c>
      <c r="D39" s="4" t="s">
        <v>138</v>
      </c>
      <c r="E39" s="4" t="s">
        <v>139</v>
      </c>
      <c r="F39" s="4" t="s">
        <v>140</v>
      </c>
      <c r="G39" s="4" t="s">
        <v>26</v>
      </c>
      <c r="H39" s="4" t="s">
        <v>134</v>
      </c>
      <c r="I39" s="3">
        <v>1</v>
      </c>
      <c r="J39" s="45" t="str">
        <f t="shared" si="0"/>
        <v>1</v>
      </c>
      <c r="K39" s="54" t="str">
        <f t="shared" si="8"/>
        <v>0</v>
      </c>
      <c r="L39" s="69" t="str">
        <f t="shared" si="1"/>
        <v>0</v>
      </c>
      <c r="M39" s="74" t="str">
        <f t="shared" si="2"/>
        <v>1</v>
      </c>
      <c r="N39" s="29" t="str">
        <f t="shared" si="3"/>
        <v>0</v>
      </c>
      <c r="O39" s="61" t="str">
        <f t="shared" ca="1" si="4"/>
        <v>1</v>
      </c>
      <c r="P39" s="65" t="str">
        <f t="shared" si="5"/>
        <v>0</v>
      </c>
      <c r="Q39" s="46">
        <f t="shared" ca="1" si="7"/>
        <v>3</v>
      </c>
      <c r="R39" s="83" t="str">
        <f t="shared" ca="1" si="6"/>
        <v>ผ่าน</v>
      </c>
      <c r="S39" s="3" t="s">
        <v>28</v>
      </c>
    </row>
    <row r="40" spans="1:19" ht="24">
      <c r="A40" s="3">
        <v>39</v>
      </c>
      <c r="B40" s="105">
        <v>6610403124</v>
      </c>
      <c r="C40" s="4" t="s">
        <v>29</v>
      </c>
      <c r="D40" s="4" t="s">
        <v>141</v>
      </c>
      <c r="E40" s="4" t="s">
        <v>142</v>
      </c>
      <c r="F40" s="4" t="s">
        <v>143</v>
      </c>
      <c r="G40" s="4" t="s">
        <v>26</v>
      </c>
      <c r="H40" s="4" t="s">
        <v>134</v>
      </c>
      <c r="I40" s="3">
        <v>1</v>
      </c>
      <c r="J40" s="44" t="str">
        <f t="shared" si="0"/>
        <v>0</v>
      </c>
      <c r="K40" s="54" t="str">
        <f t="shared" si="8"/>
        <v>1</v>
      </c>
      <c r="L40" s="69" t="str">
        <f t="shared" si="1"/>
        <v>0</v>
      </c>
      <c r="M40" s="74" t="str">
        <f t="shared" si="2"/>
        <v>1</v>
      </c>
      <c r="N40" s="29" t="str">
        <f t="shared" si="3"/>
        <v>0</v>
      </c>
      <c r="O40" s="61" t="str">
        <f t="shared" ca="1" si="4"/>
        <v>1</v>
      </c>
      <c r="P40" s="65" t="str">
        <f t="shared" si="5"/>
        <v>1</v>
      </c>
      <c r="Q40" s="46">
        <f t="shared" ca="1" si="7"/>
        <v>4</v>
      </c>
      <c r="R40" s="83" t="str">
        <f t="shared" ca="1" si="6"/>
        <v>ผ่าน</v>
      </c>
      <c r="S40" s="3" t="s">
        <v>28</v>
      </c>
    </row>
    <row r="41" spans="1:19" ht="24">
      <c r="A41" s="3">
        <v>40</v>
      </c>
      <c r="B41" s="105">
        <v>6610403305</v>
      </c>
      <c r="C41" s="4" t="s">
        <v>29</v>
      </c>
      <c r="D41" s="4" t="s">
        <v>144</v>
      </c>
      <c r="E41" s="4" t="s">
        <v>145</v>
      </c>
      <c r="F41" s="4" t="s">
        <v>146</v>
      </c>
      <c r="G41" s="4" t="s">
        <v>26</v>
      </c>
      <c r="H41" s="4" t="s">
        <v>134</v>
      </c>
      <c r="I41" s="3">
        <v>1</v>
      </c>
      <c r="J41" s="45" t="str">
        <f t="shared" si="0"/>
        <v>1</v>
      </c>
      <c r="K41" s="54" t="str">
        <f t="shared" si="8"/>
        <v>1</v>
      </c>
      <c r="L41" s="69" t="str">
        <f t="shared" si="1"/>
        <v>0</v>
      </c>
      <c r="M41" s="74" t="str">
        <f t="shared" si="2"/>
        <v>0</v>
      </c>
      <c r="N41" s="29" t="str">
        <f t="shared" si="3"/>
        <v>1</v>
      </c>
      <c r="O41" s="61" t="str">
        <f t="shared" ca="1" si="4"/>
        <v>1</v>
      </c>
      <c r="P41" s="65" t="str">
        <f t="shared" si="5"/>
        <v>0</v>
      </c>
      <c r="Q41" s="46">
        <f t="shared" ca="1" si="7"/>
        <v>4</v>
      </c>
      <c r="R41" s="83" t="str">
        <f t="shared" ca="1" si="6"/>
        <v>ผ่าน</v>
      </c>
      <c r="S41" s="3" t="s">
        <v>28</v>
      </c>
    </row>
    <row r="42" spans="1:19" ht="24">
      <c r="A42" s="3">
        <v>41</v>
      </c>
      <c r="B42" s="105">
        <v>6610403309</v>
      </c>
      <c r="C42" s="4" t="s">
        <v>29</v>
      </c>
      <c r="D42" s="4" t="s">
        <v>147</v>
      </c>
      <c r="E42" s="4" t="s">
        <v>148</v>
      </c>
      <c r="F42" s="4" t="s">
        <v>124</v>
      </c>
      <c r="G42" s="4" t="s">
        <v>26</v>
      </c>
      <c r="H42" s="4" t="s">
        <v>134</v>
      </c>
      <c r="I42" s="3">
        <v>1</v>
      </c>
      <c r="J42" s="45" t="str">
        <f t="shared" si="0"/>
        <v>1</v>
      </c>
      <c r="K42" s="54" t="str">
        <f t="shared" si="8"/>
        <v>1</v>
      </c>
      <c r="L42" s="69" t="str">
        <f t="shared" si="1"/>
        <v>0</v>
      </c>
      <c r="M42" s="74" t="str">
        <f t="shared" si="2"/>
        <v>1</v>
      </c>
      <c r="N42" s="29" t="str">
        <f t="shared" si="3"/>
        <v>0</v>
      </c>
      <c r="O42" s="61" t="str">
        <f t="shared" ca="1" si="4"/>
        <v>1</v>
      </c>
      <c r="P42" s="65" t="str">
        <f t="shared" si="5"/>
        <v>1</v>
      </c>
      <c r="Q42" s="46">
        <f t="shared" ca="1" si="7"/>
        <v>5</v>
      </c>
      <c r="R42" s="83" t="str">
        <f t="shared" ca="1" si="6"/>
        <v>ผ่าน</v>
      </c>
      <c r="S42" s="3" t="s">
        <v>28</v>
      </c>
    </row>
    <row r="43" spans="1:19" ht="24">
      <c r="A43" s="3">
        <v>42</v>
      </c>
      <c r="B43" s="105">
        <v>6610403326</v>
      </c>
      <c r="C43" s="4" t="s">
        <v>29</v>
      </c>
      <c r="D43" s="4" t="s">
        <v>149</v>
      </c>
      <c r="E43" s="4" t="s">
        <v>150</v>
      </c>
      <c r="F43" s="4" t="s">
        <v>151</v>
      </c>
      <c r="G43" s="4" t="s">
        <v>26</v>
      </c>
      <c r="H43" s="4" t="s">
        <v>134</v>
      </c>
      <c r="I43" s="3">
        <v>1</v>
      </c>
      <c r="J43" s="45" t="str">
        <f t="shared" si="0"/>
        <v>1</v>
      </c>
      <c r="K43" s="54" t="str">
        <f t="shared" si="8"/>
        <v>1</v>
      </c>
      <c r="L43" s="69" t="str">
        <f t="shared" si="1"/>
        <v>0</v>
      </c>
      <c r="M43" s="74" t="str">
        <f t="shared" si="2"/>
        <v>0</v>
      </c>
      <c r="N43" s="29" t="str">
        <f t="shared" si="3"/>
        <v>1</v>
      </c>
      <c r="O43" s="61" t="str">
        <f t="shared" ca="1" si="4"/>
        <v>1</v>
      </c>
      <c r="P43" s="65" t="str">
        <f t="shared" si="5"/>
        <v>0</v>
      </c>
      <c r="Q43" s="46">
        <f t="shared" ca="1" si="7"/>
        <v>4</v>
      </c>
      <c r="R43" s="83" t="str">
        <f t="shared" ca="1" si="6"/>
        <v>ผ่าน</v>
      </c>
      <c r="S43" s="3" t="s">
        <v>28</v>
      </c>
    </row>
    <row r="44" spans="1:19" ht="24">
      <c r="A44" s="3">
        <v>43</v>
      </c>
      <c r="B44" s="105">
        <v>6510403107</v>
      </c>
      <c r="C44" s="4" t="s">
        <v>29</v>
      </c>
      <c r="D44" s="4" t="s">
        <v>152</v>
      </c>
      <c r="E44" s="4" t="s">
        <v>153</v>
      </c>
      <c r="F44" s="4" t="s">
        <v>154</v>
      </c>
      <c r="G44" s="4" t="s">
        <v>26</v>
      </c>
      <c r="H44" s="4" t="s">
        <v>134</v>
      </c>
      <c r="I44" s="3">
        <v>2</v>
      </c>
      <c r="J44" s="45" t="str">
        <f t="shared" si="0"/>
        <v>1</v>
      </c>
      <c r="K44" s="54" t="str">
        <f t="shared" si="8"/>
        <v>1</v>
      </c>
      <c r="L44" s="69" t="str">
        <f t="shared" si="1"/>
        <v>0</v>
      </c>
      <c r="M44" s="74" t="str">
        <f t="shared" si="2"/>
        <v>1</v>
      </c>
      <c r="N44" s="29" t="str">
        <f t="shared" si="3"/>
        <v>0</v>
      </c>
      <c r="O44" s="61" t="str">
        <f t="shared" ca="1" si="4"/>
        <v>1</v>
      </c>
      <c r="P44" s="65" t="str">
        <f t="shared" si="5"/>
        <v>1</v>
      </c>
      <c r="Q44" s="46">
        <f t="shared" ca="1" si="7"/>
        <v>5</v>
      </c>
      <c r="R44" s="83" t="str">
        <f t="shared" ca="1" si="6"/>
        <v>ผ่าน</v>
      </c>
      <c r="S44" s="3" t="s">
        <v>28</v>
      </c>
    </row>
    <row r="45" spans="1:19" ht="24">
      <c r="A45" s="3">
        <v>44</v>
      </c>
      <c r="B45" s="105">
        <v>6510403121</v>
      </c>
      <c r="C45" s="4" t="s">
        <v>29</v>
      </c>
      <c r="D45" s="4" t="s">
        <v>155</v>
      </c>
      <c r="E45" s="4" t="s">
        <v>156</v>
      </c>
      <c r="F45" s="4" t="s">
        <v>157</v>
      </c>
      <c r="G45" s="4" t="s">
        <v>26</v>
      </c>
      <c r="H45" s="4" t="s">
        <v>134</v>
      </c>
      <c r="I45" s="3">
        <v>2</v>
      </c>
      <c r="J45" s="44" t="str">
        <f t="shared" si="0"/>
        <v>0</v>
      </c>
      <c r="K45" s="54" t="str">
        <f t="shared" si="8"/>
        <v>1</v>
      </c>
      <c r="L45" s="69" t="str">
        <f t="shared" si="1"/>
        <v>0</v>
      </c>
      <c r="M45" s="74" t="str">
        <f t="shared" si="2"/>
        <v>1</v>
      </c>
      <c r="N45" s="29" t="str">
        <f t="shared" si="3"/>
        <v>0</v>
      </c>
      <c r="O45" s="61" t="str">
        <f t="shared" ca="1" si="4"/>
        <v>1</v>
      </c>
      <c r="P45" s="65" t="str">
        <f t="shared" si="5"/>
        <v>1</v>
      </c>
      <c r="Q45" s="46">
        <f t="shared" ca="1" si="7"/>
        <v>4</v>
      </c>
      <c r="R45" s="83" t="str">
        <f t="shared" ca="1" si="6"/>
        <v>ผ่าน</v>
      </c>
      <c r="S45" s="3" t="s">
        <v>28</v>
      </c>
    </row>
    <row r="46" spans="1:19" ht="24">
      <c r="A46" s="3">
        <v>45</v>
      </c>
      <c r="B46" s="105">
        <v>6510403126</v>
      </c>
      <c r="C46" s="4" t="s">
        <v>29</v>
      </c>
      <c r="D46" s="4" t="s">
        <v>79</v>
      </c>
      <c r="E46" s="4" t="s">
        <v>158</v>
      </c>
      <c r="F46" s="4" t="s">
        <v>143</v>
      </c>
      <c r="G46" s="4" t="s">
        <v>26</v>
      </c>
      <c r="H46" s="4" t="s">
        <v>134</v>
      </c>
      <c r="I46" s="3">
        <v>2</v>
      </c>
      <c r="J46" s="45" t="str">
        <f t="shared" si="0"/>
        <v>1</v>
      </c>
      <c r="K46" s="54" t="str">
        <f t="shared" si="8"/>
        <v>1</v>
      </c>
      <c r="L46" s="69" t="str">
        <f t="shared" si="1"/>
        <v>0</v>
      </c>
      <c r="M46" s="74" t="str">
        <f t="shared" si="2"/>
        <v>1</v>
      </c>
      <c r="N46" s="29" t="str">
        <f t="shared" si="3"/>
        <v>0</v>
      </c>
      <c r="O46" s="61" t="str">
        <f t="shared" ca="1" si="4"/>
        <v>1</v>
      </c>
      <c r="P46" s="65" t="str">
        <f t="shared" si="5"/>
        <v>1</v>
      </c>
      <c r="Q46" s="46">
        <f t="shared" ca="1" si="7"/>
        <v>5</v>
      </c>
      <c r="R46" s="83" t="str">
        <f t="shared" ca="1" si="6"/>
        <v>ผ่าน</v>
      </c>
      <c r="S46" s="3" t="s">
        <v>28</v>
      </c>
    </row>
    <row r="47" spans="1:19" ht="24">
      <c r="A47" s="3">
        <v>46</v>
      </c>
      <c r="B47" s="105">
        <v>6510403130</v>
      </c>
      <c r="C47" s="4" t="s">
        <v>29</v>
      </c>
      <c r="D47" s="4" t="s">
        <v>159</v>
      </c>
      <c r="E47" s="4" t="s">
        <v>160</v>
      </c>
      <c r="F47" s="4" t="s">
        <v>161</v>
      </c>
      <c r="G47" s="4" t="s">
        <v>26</v>
      </c>
      <c r="H47" s="4" t="s">
        <v>134</v>
      </c>
      <c r="I47" s="3">
        <v>2</v>
      </c>
      <c r="J47" s="44" t="str">
        <f t="shared" si="0"/>
        <v>0</v>
      </c>
      <c r="K47" s="54" t="str">
        <f t="shared" si="8"/>
        <v>0</v>
      </c>
      <c r="L47" s="69" t="str">
        <f t="shared" si="1"/>
        <v>0</v>
      </c>
      <c r="M47" s="74" t="str">
        <f t="shared" si="2"/>
        <v>1</v>
      </c>
      <c r="N47" s="29" t="str">
        <f t="shared" si="3"/>
        <v>0</v>
      </c>
      <c r="O47" s="61" t="str">
        <f t="shared" ca="1" si="4"/>
        <v>0</v>
      </c>
      <c r="P47" s="65" t="str">
        <f t="shared" si="5"/>
        <v>1</v>
      </c>
      <c r="Q47" s="46">
        <f t="shared" ca="1" si="7"/>
        <v>2</v>
      </c>
      <c r="R47" s="3" t="str">
        <f t="shared" ca="1" si="6"/>
        <v>ไม่ผ่าน</v>
      </c>
      <c r="S47" s="3" t="s">
        <v>28</v>
      </c>
    </row>
    <row r="48" spans="1:19" ht="24">
      <c r="A48" s="3">
        <v>47</v>
      </c>
      <c r="B48" s="105">
        <v>6510403131</v>
      </c>
      <c r="C48" s="4" t="s">
        <v>29</v>
      </c>
      <c r="D48" s="4" t="s">
        <v>162</v>
      </c>
      <c r="E48" s="4" t="s">
        <v>163</v>
      </c>
      <c r="F48" s="4" t="s">
        <v>164</v>
      </c>
      <c r="G48" s="4" t="s">
        <v>26</v>
      </c>
      <c r="H48" s="4" t="s">
        <v>134</v>
      </c>
      <c r="I48" s="3">
        <v>2</v>
      </c>
      <c r="J48" s="44" t="str">
        <f t="shared" si="0"/>
        <v>0</v>
      </c>
      <c r="K48" s="54" t="str">
        <f t="shared" si="8"/>
        <v>1</v>
      </c>
      <c r="L48" s="69" t="str">
        <f t="shared" si="1"/>
        <v>0</v>
      </c>
      <c r="M48" s="74" t="str">
        <f t="shared" si="2"/>
        <v>0</v>
      </c>
      <c r="N48" s="29" t="str">
        <f t="shared" si="3"/>
        <v>1</v>
      </c>
      <c r="O48" s="61" t="str">
        <f t="shared" ca="1" si="4"/>
        <v>1</v>
      </c>
      <c r="P48" s="65" t="str">
        <f t="shared" si="5"/>
        <v>1</v>
      </c>
      <c r="Q48" s="46">
        <f t="shared" ca="1" si="7"/>
        <v>4</v>
      </c>
      <c r="R48" s="83" t="str">
        <f t="shared" ca="1" si="6"/>
        <v>ผ่าน</v>
      </c>
      <c r="S48" s="3" t="s">
        <v>28</v>
      </c>
    </row>
    <row r="49" spans="1:19" ht="24">
      <c r="A49" s="3">
        <v>48</v>
      </c>
      <c r="B49" s="105">
        <v>6510403207</v>
      </c>
      <c r="C49" s="4" t="s">
        <v>29</v>
      </c>
      <c r="D49" s="4" t="s">
        <v>165</v>
      </c>
      <c r="E49" s="4" t="s">
        <v>166</v>
      </c>
      <c r="F49" s="4" t="s">
        <v>167</v>
      </c>
      <c r="G49" s="4" t="s">
        <v>26</v>
      </c>
      <c r="H49" s="4" t="s">
        <v>134</v>
      </c>
      <c r="I49" s="3">
        <v>2</v>
      </c>
      <c r="J49" s="44" t="str">
        <f t="shared" si="0"/>
        <v>0</v>
      </c>
      <c r="K49" s="54" t="str">
        <f t="shared" si="8"/>
        <v>1</v>
      </c>
      <c r="L49" s="69" t="str">
        <f t="shared" si="1"/>
        <v>0</v>
      </c>
      <c r="M49" s="74" t="str">
        <f t="shared" si="2"/>
        <v>1</v>
      </c>
      <c r="N49" s="29" t="str">
        <f t="shared" si="3"/>
        <v>0</v>
      </c>
      <c r="O49" s="61" t="str">
        <f t="shared" ca="1" si="4"/>
        <v>1</v>
      </c>
      <c r="P49" s="65" t="str">
        <f t="shared" si="5"/>
        <v>1</v>
      </c>
      <c r="Q49" s="46">
        <f t="shared" ca="1" si="7"/>
        <v>4</v>
      </c>
      <c r="R49" s="83" t="str">
        <f t="shared" ca="1" si="6"/>
        <v>ผ่าน</v>
      </c>
      <c r="S49" s="3" t="s">
        <v>28</v>
      </c>
    </row>
    <row r="50" spans="1:19" ht="24">
      <c r="A50" s="3">
        <v>49</v>
      </c>
      <c r="B50" s="105">
        <v>6510403208</v>
      </c>
      <c r="C50" s="4" t="s">
        <v>29</v>
      </c>
      <c r="D50" s="4" t="s">
        <v>168</v>
      </c>
      <c r="E50" s="4" t="s">
        <v>169</v>
      </c>
      <c r="F50" s="4" t="s">
        <v>170</v>
      </c>
      <c r="G50" s="4" t="s">
        <v>26</v>
      </c>
      <c r="H50" s="4" t="s">
        <v>134</v>
      </c>
      <c r="I50" s="3">
        <v>2</v>
      </c>
      <c r="J50" s="44" t="str">
        <f t="shared" si="0"/>
        <v>0</v>
      </c>
      <c r="K50" s="54" t="str">
        <f t="shared" si="8"/>
        <v>1</v>
      </c>
      <c r="L50" s="69" t="str">
        <f t="shared" si="1"/>
        <v>0</v>
      </c>
      <c r="M50" s="74" t="str">
        <f t="shared" si="2"/>
        <v>1</v>
      </c>
      <c r="N50" s="29" t="str">
        <f t="shared" si="3"/>
        <v>0</v>
      </c>
      <c r="O50" s="61" t="str">
        <f t="shared" ca="1" si="4"/>
        <v>1</v>
      </c>
      <c r="P50" s="65" t="str">
        <f t="shared" si="5"/>
        <v>1</v>
      </c>
      <c r="Q50" s="46">
        <f t="shared" ca="1" si="7"/>
        <v>4</v>
      </c>
      <c r="R50" s="83" t="str">
        <f t="shared" ca="1" si="6"/>
        <v>ผ่าน</v>
      </c>
      <c r="S50" s="3" t="s">
        <v>28</v>
      </c>
    </row>
    <row r="51" spans="1:19" ht="24">
      <c r="A51" s="3">
        <v>50</v>
      </c>
      <c r="B51" s="105">
        <v>6510403209</v>
      </c>
      <c r="C51" s="4" t="s">
        <v>29</v>
      </c>
      <c r="D51" s="4" t="s">
        <v>171</v>
      </c>
      <c r="E51" s="4" t="s">
        <v>172</v>
      </c>
      <c r="F51" s="4" t="s">
        <v>173</v>
      </c>
      <c r="G51" s="4" t="s">
        <v>26</v>
      </c>
      <c r="H51" s="4" t="s">
        <v>134</v>
      </c>
      <c r="I51" s="3">
        <v>2</v>
      </c>
      <c r="J51" s="44" t="str">
        <f t="shared" si="0"/>
        <v>0</v>
      </c>
      <c r="K51" s="54" t="str">
        <f t="shared" si="8"/>
        <v>1</v>
      </c>
      <c r="L51" s="69" t="str">
        <f t="shared" si="1"/>
        <v>0</v>
      </c>
      <c r="M51" s="74" t="str">
        <f t="shared" si="2"/>
        <v>0</v>
      </c>
      <c r="N51" s="29" t="str">
        <f t="shared" si="3"/>
        <v>1</v>
      </c>
      <c r="O51" s="61" t="str">
        <f t="shared" ca="1" si="4"/>
        <v>1</v>
      </c>
      <c r="P51" s="65" t="str">
        <f t="shared" si="5"/>
        <v>1</v>
      </c>
      <c r="Q51" s="46">
        <f t="shared" ca="1" si="7"/>
        <v>4</v>
      </c>
      <c r="R51" s="83" t="str">
        <f t="shared" ca="1" si="6"/>
        <v>ผ่าน</v>
      </c>
      <c r="S51" s="3" t="s">
        <v>28</v>
      </c>
    </row>
    <row r="52" spans="1:19" ht="24">
      <c r="A52" s="3">
        <v>51</v>
      </c>
      <c r="B52" s="105">
        <v>6510403210</v>
      </c>
      <c r="C52" s="4" t="s">
        <v>29</v>
      </c>
      <c r="D52" s="4" t="s">
        <v>174</v>
      </c>
      <c r="E52" s="4" t="s">
        <v>175</v>
      </c>
      <c r="F52" s="4" t="s">
        <v>176</v>
      </c>
      <c r="G52" s="4" t="s">
        <v>26</v>
      </c>
      <c r="H52" s="4" t="s">
        <v>134</v>
      </c>
      <c r="I52" s="3">
        <v>2</v>
      </c>
      <c r="J52" s="44" t="str">
        <f t="shared" si="0"/>
        <v>0</v>
      </c>
      <c r="K52" s="54" t="str">
        <f t="shared" si="8"/>
        <v>1</v>
      </c>
      <c r="L52" s="69" t="str">
        <f t="shared" si="1"/>
        <v>0</v>
      </c>
      <c r="M52" s="74" t="str">
        <f t="shared" si="2"/>
        <v>1</v>
      </c>
      <c r="N52" s="29" t="str">
        <f t="shared" si="3"/>
        <v>0</v>
      </c>
      <c r="O52" s="61" t="str">
        <f t="shared" ca="1" si="4"/>
        <v>1</v>
      </c>
      <c r="P52" s="65" t="str">
        <f t="shared" si="5"/>
        <v>1</v>
      </c>
      <c r="Q52" s="46">
        <f t="shared" ca="1" si="7"/>
        <v>4</v>
      </c>
      <c r="R52" s="83" t="str">
        <f t="shared" ca="1" si="6"/>
        <v>ผ่าน</v>
      </c>
      <c r="S52" s="3" t="s">
        <v>28</v>
      </c>
    </row>
    <row r="53" spans="1:19" ht="24">
      <c r="A53" s="3">
        <v>52</v>
      </c>
      <c r="B53" s="105">
        <v>6510403215</v>
      </c>
      <c r="C53" s="4" t="s">
        <v>29</v>
      </c>
      <c r="D53" s="4" t="s">
        <v>177</v>
      </c>
      <c r="E53" s="4" t="s">
        <v>178</v>
      </c>
      <c r="F53" s="4" t="s">
        <v>179</v>
      </c>
      <c r="G53" s="4" t="s">
        <v>26</v>
      </c>
      <c r="H53" s="4" t="s">
        <v>134</v>
      </c>
      <c r="I53" s="3">
        <v>2</v>
      </c>
      <c r="J53" s="44" t="str">
        <f t="shared" si="0"/>
        <v>0</v>
      </c>
      <c r="K53" s="54">
        <v>1</v>
      </c>
      <c r="L53" s="69" t="str">
        <f t="shared" si="1"/>
        <v>0</v>
      </c>
      <c r="M53" s="74" t="str">
        <f t="shared" si="2"/>
        <v>1</v>
      </c>
      <c r="N53" s="29" t="str">
        <f t="shared" si="3"/>
        <v>0</v>
      </c>
      <c r="O53" s="61" t="str">
        <f t="shared" ca="1" si="4"/>
        <v>0</v>
      </c>
      <c r="P53" s="65" t="str">
        <f t="shared" si="5"/>
        <v>1</v>
      </c>
      <c r="Q53" s="46">
        <f t="shared" ca="1" si="7"/>
        <v>3</v>
      </c>
      <c r="R53" s="83" t="str">
        <f t="shared" ca="1" si="6"/>
        <v>ผ่าน</v>
      </c>
      <c r="S53" s="3" t="s">
        <v>28</v>
      </c>
    </row>
    <row r="54" spans="1:19" ht="24">
      <c r="A54" s="3">
        <v>53</v>
      </c>
      <c r="B54" s="105">
        <v>6510403221</v>
      </c>
      <c r="C54" s="4" t="s">
        <v>29</v>
      </c>
      <c r="D54" s="4" t="s">
        <v>180</v>
      </c>
      <c r="E54" s="4" t="s">
        <v>181</v>
      </c>
      <c r="F54" s="4" t="s">
        <v>182</v>
      </c>
      <c r="G54" s="4" t="s">
        <v>26</v>
      </c>
      <c r="H54" s="4" t="s">
        <v>134</v>
      </c>
      <c r="I54" s="3">
        <v>2</v>
      </c>
      <c r="J54" s="45" t="str">
        <f t="shared" si="0"/>
        <v>1</v>
      </c>
      <c r="K54" s="54" t="str">
        <f t="shared" si="8"/>
        <v>1</v>
      </c>
      <c r="L54" s="69" t="str">
        <f t="shared" si="1"/>
        <v>0</v>
      </c>
      <c r="M54" s="74" t="str">
        <f t="shared" si="2"/>
        <v>1</v>
      </c>
      <c r="N54" s="29" t="str">
        <f t="shared" si="3"/>
        <v>0</v>
      </c>
      <c r="O54" s="61" t="str">
        <f t="shared" ca="1" si="4"/>
        <v>1</v>
      </c>
      <c r="P54" s="65" t="str">
        <f t="shared" si="5"/>
        <v>1</v>
      </c>
      <c r="Q54" s="46">
        <f t="shared" ca="1" si="7"/>
        <v>5</v>
      </c>
      <c r="R54" s="83" t="str">
        <f t="shared" ca="1" si="6"/>
        <v>ผ่าน</v>
      </c>
      <c r="S54" s="3" t="s">
        <v>28</v>
      </c>
    </row>
    <row r="55" spans="1:19" ht="24">
      <c r="A55" s="3">
        <v>54</v>
      </c>
      <c r="B55" s="105">
        <v>6510403222</v>
      </c>
      <c r="C55" s="4" t="s">
        <v>29</v>
      </c>
      <c r="D55" s="4" t="s">
        <v>183</v>
      </c>
      <c r="E55" s="4" t="s">
        <v>184</v>
      </c>
      <c r="F55" s="4" t="s">
        <v>185</v>
      </c>
      <c r="G55" s="4" t="s">
        <v>26</v>
      </c>
      <c r="H55" s="4" t="s">
        <v>134</v>
      </c>
      <c r="I55" s="3">
        <v>2</v>
      </c>
      <c r="J55" s="44" t="str">
        <f t="shared" si="0"/>
        <v>0</v>
      </c>
      <c r="K55" s="54" t="str">
        <f t="shared" si="8"/>
        <v>1</v>
      </c>
      <c r="L55" s="69" t="str">
        <f t="shared" si="1"/>
        <v>0</v>
      </c>
      <c r="M55" s="74" t="str">
        <f t="shared" si="2"/>
        <v>1</v>
      </c>
      <c r="N55" s="29" t="str">
        <f t="shared" si="3"/>
        <v>0</v>
      </c>
      <c r="O55" s="61" t="str">
        <f t="shared" ca="1" si="4"/>
        <v>1</v>
      </c>
      <c r="P55" s="65" t="str">
        <f t="shared" si="5"/>
        <v>1</v>
      </c>
      <c r="Q55" s="46">
        <f t="shared" ca="1" si="7"/>
        <v>4</v>
      </c>
      <c r="R55" s="83" t="str">
        <f t="shared" ca="1" si="6"/>
        <v>ผ่าน</v>
      </c>
      <c r="S55" s="3" t="s">
        <v>28</v>
      </c>
    </row>
    <row r="56" spans="1:19" ht="24">
      <c r="A56" s="3">
        <v>55</v>
      </c>
      <c r="B56" s="105">
        <v>6510403226</v>
      </c>
      <c r="C56" s="4" t="s">
        <v>29</v>
      </c>
      <c r="D56" s="4" t="s">
        <v>186</v>
      </c>
      <c r="E56" s="4" t="s">
        <v>187</v>
      </c>
      <c r="F56" s="4" t="s">
        <v>115</v>
      </c>
      <c r="G56" s="4" t="s">
        <v>26</v>
      </c>
      <c r="H56" s="4" t="s">
        <v>134</v>
      </c>
      <c r="I56" s="3">
        <v>2</v>
      </c>
      <c r="J56" s="44" t="str">
        <f t="shared" si="0"/>
        <v>0</v>
      </c>
      <c r="K56" s="54" t="str">
        <f t="shared" si="8"/>
        <v>0</v>
      </c>
      <c r="L56" s="69" t="str">
        <f t="shared" si="1"/>
        <v>1</v>
      </c>
      <c r="M56" s="74" t="str">
        <f t="shared" si="2"/>
        <v>1</v>
      </c>
      <c r="N56" s="29" t="str">
        <f t="shared" si="3"/>
        <v>0</v>
      </c>
      <c r="O56" s="61" t="str">
        <f t="shared" ca="1" si="4"/>
        <v>0</v>
      </c>
      <c r="P56" s="65" t="str">
        <f t="shared" si="5"/>
        <v>1</v>
      </c>
      <c r="Q56" s="46">
        <f t="shared" ca="1" si="7"/>
        <v>3</v>
      </c>
      <c r="R56" s="83" t="str">
        <f t="shared" ca="1" si="6"/>
        <v>ผ่าน</v>
      </c>
      <c r="S56" s="3" t="s">
        <v>28</v>
      </c>
    </row>
    <row r="57" spans="1:19" ht="24">
      <c r="A57" s="3">
        <v>56</v>
      </c>
      <c r="B57" s="105">
        <v>6510403230</v>
      </c>
      <c r="C57" s="4" t="s">
        <v>29</v>
      </c>
      <c r="D57" s="4" t="s">
        <v>188</v>
      </c>
      <c r="E57" s="4" t="s">
        <v>189</v>
      </c>
      <c r="F57" s="4" t="s">
        <v>190</v>
      </c>
      <c r="G57" s="4" t="s">
        <v>26</v>
      </c>
      <c r="H57" s="4" t="s">
        <v>134</v>
      </c>
      <c r="I57" s="3">
        <v>2</v>
      </c>
      <c r="J57" s="44" t="str">
        <f t="shared" si="0"/>
        <v>0</v>
      </c>
      <c r="K57" s="54" t="str">
        <f t="shared" si="8"/>
        <v>0</v>
      </c>
      <c r="L57" s="69" t="str">
        <f t="shared" si="1"/>
        <v>1</v>
      </c>
      <c r="M57" s="74" t="str">
        <f t="shared" si="2"/>
        <v>1</v>
      </c>
      <c r="N57" s="29" t="str">
        <f t="shared" si="3"/>
        <v>0</v>
      </c>
      <c r="O57" s="61" t="str">
        <f t="shared" ca="1" si="4"/>
        <v>0</v>
      </c>
      <c r="P57" s="65" t="str">
        <f t="shared" si="5"/>
        <v>1</v>
      </c>
      <c r="Q57" s="46">
        <f t="shared" ca="1" si="7"/>
        <v>3</v>
      </c>
      <c r="R57" s="83" t="str">
        <f t="shared" ca="1" si="6"/>
        <v>ผ่าน</v>
      </c>
      <c r="S57" s="3" t="s">
        <v>28</v>
      </c>
    </row>
    <row r="58" spans="1:19" ht="24">
      <c r="A58" s="3">
        <v>57</v>
      </c>
      <c r="B58" s="105">
        <v>6410403105</v>
      </c>
      <c r="C58" s="4" t="s">
        <v>29</v>
      </c>
      <c r="D58" s="4" t="s">
        <v>191</v>
      </c>
      <c r="E58" s="4" t="s">
        <v>192</v>
      </c>
      <c r="F58" s="4" t="s">
        <v>193</v>
      </c>
      <c r="G58" s="4" t="s">
        <v>26</v>
      </c>
      <c r="H58" s="4" t="s">
        <v>134</v>
      </c>
      <c r="I58" s="3">
        <v>3</v>
      </c>
      <c r="J58" s="45" t="str">
        <f t="shared" si="0"/>
        <v>1</v>
      </c>
      <c r="K58" s="54" t="str">
        <f t="shared" si="8"/>
        <v>0</v>
      </c>
      <c r="L58" s="69" t="str">
        <f t="shared" si="1"/>
        <v>1</v>
      </c>
      <c r="M58" s="74" t="str">
        <f t="shared" si="2"/>
        <v>0</v>
      </c>
      <c r="N58" s="29" t="str">
        <f t="shared" si="3"/>
        <v>1</v>
      </c>
      <c r="O58" s="61" t="str">
        <f t="shared" ca="1" si="4"/>
        <v>1</v>
      </c>
      <c r="P58" s="65" t="str">
        <f t="shared" si="5"/>
        <v>1</v>
      </c>
      <c r="Q58" s="46">
        <f t="shared" ca="1" si="7"/>
        <v>5</v>
      </c>
      <c r="R58" s="83" t="str">
        <f t="shared" ca="1" si="6"/>
        <v>ผ่าน</v>
      </c>
      <c r="S58" s="3" t="s">
        <v>28</v>
      </c>
    </row>
    <row r="59" spans="1:19" ht="24">
      <c r="A59" s="3">
        <v>58</v>
      </c>
      <c r="B59" s="105">
        <v>6410403113</v>
      </c>
      <c r="C59" s="4" t="s">
        <v>29</v>
      </c>
      <c r="D59" s="4" t="s">
        <v>194</v>
      </c>
      <c r="E59" s="4" t="s">
        <v>195</v>
      </c>
      <c r="F59" s="4" t="s">
        <v>196</v>
      </c>
      <c r="G59" s="4" t="s">
        <v>26</v>
      </c>
      <c r="H59" s="4" t="s">
        <v>134</v>
      </c>
      <c r="I59" s="3">
        <v>3</v>
      </c>
      <c r="J59" s="45" t="str">
        <f t="shared" si="0"/>
        <v>1</v>
      </c>
      <c r="K59" s="54" t="str">
        <f t="shared" si="8"/>
        <v>0</v>
      </c>
      <c r="L59" s="69" t="str">
        <f t="shared" si="1"/>
        <v>1</v>
      </c>
      <c r="M59" s="74" t="str">
        <f t="shared" si="2"/>
        <v>1</v>
      </c>
      <c r="N59" s="29" t="str">
        <f t="shared" si="3"/>
        <v>0</v>
      </c>
      <c r="O59" s="61" t="str">
        <f t="shared" ca="1" si="4"/>
        <v>1</v>
      </c>
      <c r="P59" s="65" t="str">
        <f t="shared" si="5"/>
        <v>1</v>
      </c>
      <c r="Q59" s="46">
        <f t="shared" ca="1" si="7"/>
        <v>5</v>
      </c>
      <c r="R59" s="83" t="str">
        <f t="shared" ca="1" si="6"/>
        <v>ผ่าน</v>
      </c>
      <c r="S59" s="3" t="s">
        <v>28</v>
      </c>
    </row>
    <row r="60" spans="1:19" ht="24">
      <c r="A60" s="3">
        <v>59</v>
      </c>
      <c r="B60" s="105">
        <v>6410403204</v>
      </c>
      <c r="C60" s="4" t="s">
        <v>29</v>
      </c>
      <c r="D60" s="4" t="s">
        <v>197</v>
      </c>
      <c r="E60" s="4" t="s">
        <v>198</v>
      </c>
      <c r="F60" s="4" t="s">
        <v>199</v>
      </c>
      <c r="G60" s="4" t="s">
        <v>26</v>
      </c>
      <c r="H60" s="4" t="s">
        <v>134</v>
      </c>
      <c r="I60" s="3">
        <v>3</v>
      </c>
      <c r="J60" s="44" t="str">
        <f t="shared" si="0"/>
        <v>0</v>
      </c>
      <c r="K60" s="54" t="str">
        <f t="shared" si="8"/>
        <v>0</v>
      </c>
      <c r="L60" s="69" t="str">
        <f t="shared" si="1"/>
        <v>1</v>
      </c>
      <c r="M60" s="74" t="str">
        <f t="shared" si="2"/>
        <v>0</v>
      </c>
      <c r="N60" s="29" t="str">
        <f t="shared" si="3"/>
        <v>1</v>
      </c>
      <c r="O60" s="61" t="str">
        <f t="shared" ca="1" si="4"/>
        <v>1</v>
      </c>
      <c r="P60" s="65" t="str">
        <f t="shared" si="5"/>
        <v>1</v>
      </c>
      <c r="Q60" s="46">
        <f t="shared" ca="1" si="7"/>
        <v>4</v>
      </c>
      <c r="R60" s="83" t="str">
        <f t="shared" ca="1" si="6"/>
        <v>ผ่าน</v>
      </c>
      <c r="S60" s="3" t="s">
        <v>28</v>
      </c>
    </row>
    <row r="61" spans="1:19" ht="24">
      <c r="A61" s="3">
        <v>60</v>
      </c>
      <c r="B61" s="105">
        <v>6410403206</v>
      </c>
      <c r="C61" s="4" t="s">
        <v>29</v>
      </c>
      <c r="D61" s="4" t="s">
        <v>200</v>
      </c>
      <c r="E61" s="4" t="s">
        <v>201</v>
      </c>
      <c r="F61" s="4" t="s">
        <v>78</v>
      </c>
      <c r="G61" s="4" t="s">
        <v>26</v>
      </c>
      <c r="H61" s="4" t="s">
        <v>134</v>
      </c>
      <c r="I61" s="3">
        <v>3</v>
      </c>
      <c r="J61" s="44" t="str">
        <f t="shared" si="0"/>
        <v>0</v>
      </c>
      <c r="K61" s="54" t="str">
        <f t="shared" si="8"/>
        <v>1</v>
      </c>
      <c r="L61" s="69" t="str">
        <f t="shared" si="1"/>
        <v>0</v>
      </c>
      <c r="M61" s="74" t="str">
        <f t="shared" si="2"/>
        <v>1</v>
      </c>
      <c r="N61" s="29" t="str">
        <f t="shared" si="3"/>
        <v>0</v>
      </c>
      <c r="O61" s="61" t="str">
        <f t="shared" ca="1" si="4"/>
        <v>1</v>
      </c>
      <c r="P61" s="65" t="str">
        <f t="shared" si="5"/>
        <v>1</v>
      </c>
      <c r="Q61" s="46">
        <f t="shared" ca="1" si="7"/>
        <v>4</v>
      </c>
      <c r="R61" s="83" t="str">
        <f t="shared" ca="1" si="6"/>
        <v>ผ่าน</v>
      </c>
      <c r="S61" s="3" t="s">
        <v>28</v>
      </c>
    </row>
    <row r="62" spans="1:19" ht="24">
      <c r="A62" s="3">
        <v>61</v>
      </c>
      <c r="B62" s="105">
        <v>6410403213</v>
      </c>
      <c r="C62" s="4" t="s">
        <v>29</v>
      </c>
      <c r="D62" s="4" t="s">
        <v>202</v>
      </c>
      <c r="E62" s="4" t="s">
        <v>203</v>
      </c>
      <c r="F62" s="4" t="s">
        <v>204</v>
      </c>
      <c r="G62" s="4" t="s">
        <v>26</v>
      </c>
      <c r="H62" s="4" t="s">
        <v>134</v>
      </c>
      <c r="I62" s="3">
        <v>3</v>
      </c>
      <c r="J62" s="44" t="str">
        <f t="shared" si="0"/>
        <v>0</v>
      </c>
      <c r="K62" s="54" t="str">
        <f t="shared" si="8"/>
        <v>1</v>
      </c>
      <c r="L62" s="69" t="str">
        <f t="shared" si="1"/>
        <v>0</v>
      </c>
      <c r="M62" s="74" t="str">
        <f t="shared" si="2"/>
        <v>1</v>
      </c>
      <c r="N62" s="29" t="str">
        <f t="shared" si="3"/>
        <v>0</v>
      </c>
      <c r="O62" s="61" t="str">
        <f t="shared" ca="1" si="4"/>
        <v>1</v>
      </c>
      <c r="P62" s="65" t="str">
        <f t="shared" si="5"/>
        <v>1</v>
      </c>
      <c r="Q62" s="46">
        <f t="shared" ca="1" si="7"/>
        <v>4</v>
      </c>
      <c r="R62" s="83" t="str">
        <f t="shared" ca="1" si="6"/>
        <v>ผ่าน</v>
      </c>
      <c r="S62" s="3" t="s">
        <v>28</v>
      </c>
    </row>
    <row r="63" spans="1:19" ht="24">
      <c r="A63" s="3">
        <v>62</v>
      </c>
      <c r="B63" s="105">
        <v>6410403222</v>
      </c>
      <c r="C63" s="4" t="s">
        <v>29</v>
      </c>
      <c r="D63" s="4" t="s">
        <v>205</v>
      </c>
      <c r="E63" s="4" t="s">
        <v>206</v>
      </c>
      <c r="F63" s="4" t="s">
        <v>207</v>
      </c>
      <c r="G63" s="4" t="s">
        <v>26</v>
      </c>
      <c r="H63" s="4" t="s">
        <v>134</v>
      </c>
      <c r="I63" s="3">
        <v>3</v>
      </c>
      <c r="J63" s="44" t="str">
        <f t="shared" si="0"/>
        <v>0</v>
      </c>
      <c r="K63" s="54">
        <v>1</v>
      </c>
      <c r="L63" s="69" t="str">
        <f t="shared" si="1"/>
        <v>0</v>
      </c>
      <c r="M63" s="74" t="str">
        <f t="shared" si="2"/>
        <v>1</v>
      </c>
      <c r="N63" s="29" t="str">
        <f t="shared" si="3"/>
        <v>0</v>
      </c>
      <c r="O63" s="61" t="str">
        <f t="shared" ca="1" si="4"/>
        <v>1</v>
      </c>
      <c r="P63" s="65" t="str">
        <f t="shared" si="5"/>
        <v>1</v>
      </c>
      <c r="Q63" s="46">
        <f t="shared" ca="1" si="7"/>
        <v>4</v>
      </c>
      <c r="R63" s="83" t="str">
        <f t="shared" ca="1" si="6"/>
        <v>ผ่าน</v>
      </c>
      <c r="S63" s="3" t="s">
        <v>28</v>
      </c>
    </row>
    <row r="64" spans="1:19" ht="24">
      <c r="A64" s="3">
        <v>63</v>
      </c>
      <c r="B64" s="105">
        <v>6410403224</v>
      </c>
      <c r="C64" s="4" t="s">
        <v>29</v>
      </c>
      <c r="D64" s="4" t="s">
        <v>208</v>
      </c>
      <c r="E64" s="4" t="s">
        <v>209</v>
      </c>
      <c r="F64" s="4" t="s">
        <v>210</v>
      </c>
      <c r="G64" s="4" t="s">
        <v>26</v>
      </c>
      <c r="H64" s="4" t="s">
        <v>134</v>
      </c>
      <c r="I64" s="3">
        <v>3</v>
      </c>
      <c r="J64" s="45" t="str">
        <f t="shared" si="0"/>
        <v>1</v>
      </c>
      <c r="K64" s="54" t="str">
        <f t="shared" si="8"/>
        <v>0</v>
      </c>
      <c r="L64" s="69" t="str">
        <f t="shared" si="1"/>
        <v>1</v>
      </c>
      <c r="M64" s="74" t="str">
        <f t="shared" si="2"/>
        <v>0</v>
      </c>
      <c r="N64" s="29" t="str">
        <f t="shared" si="3"/>
        <v>1</v>
      </c>
      <c r="O64" s="61" t="str">
        <f t="shared" ca="1" si="4"/>
        <v>1</v>
      </c>
      <c r="P64" s="65" t="str">
        <f t="shared" si="5"/>
        <v>1</v>
      </c>
      <c r="Q64" s="46">
        <f t="shared" ca="1" si="7"/>
        <v>5</v>
      </c>
      <c r="R64" s="83" t="str">
        <f t="shared" ca="1" si="6"/>
        <v>ผ่าน</v>
      </c>
      <c r="S64" s="3" t="s">
        <v>28</v>
      </c>
    </row>
    <row r="65" spans="1:19" ht="24">
      <c r="A65" s="3">
        <v>64</v>
      </c>
      <c r="B65" s="105">
        <v>6410403225</v>
      </c>
      <c r="C65" s="4" t="s">
        <v>29</v>
      </c>
      <c r="D65" s="4" t="s">
        <v>211</v>
      </c>
      <c r="E65" s="4" t="s">
        <v>212</v>
      </c>
      <c r="F65" s="4" t="s">
        <v>213</v>
      </c>
      <c r="G65" s="4" t="s">
        <v>26</v>
      </c>
      <c r="H65" s="4" t="s">
        <v>134</v>
      </c>
      <c r="I65" s="3">
        <v>3</v>
      </c>
      <c r="J65" s="45" t="str">
        <f t="shared" si="0"/>
        <v>1</v>
      </c>
      <c r="K65" s="54" t="str">
        <f t="shared" si="8"/>
        <v>0</v>
      </c>
      <c r="L65" s="69" t="str">
        <f t="shared" si="1"/>
        <v>1</v>
      </c>
      <c r="M65" s="74" t="str">
        <f t="shared" si="2"/>
        <v>0</v>
      </c>
      <c r="N65" s="29" t="str">
        <f t="shared" si="3"/>
        <v>1</v>
      </c>
      <c r="O65" s="61" t="str">
        <f t="shared" ca="1" si="4"/>
        <v>1</v>
      </c>
      <c r="P65" s="65" t="str">
        <f t="shared" si="5"/>
        <v>1</v>
      </c>
      <c r="Q65" s="46">
        <f t="shared" ca="1" si="7"/>
        <v>5</v>
      </c>
      <c r="R65" s="83" t="str">
        <f t="shared" ca="1" si="6"/>
        <v>ผ่าน</v>
      </c>
      <c r="S65" s="3" t="s">
        <v>28</v>
      </c>
    </row>
    <row r="66" spans="1:19" ht="24">
      <c r="A66" s="3">
        <v>65</v>
      </c>
      <c r="B66" s="105">
        <v>6410403228</v>
      </c>
      <c r="C66" s="4" t="s">
        <v>29</v>
      </c>
      <c r="D66" s="4" t="s">
        <v>214</v>
      </c>
      <c r="E66" s="4" t="s">
        <v>215</v>
      </c>
      <c r="F66" s="4" t="s">
        <v>216</v>
      </c>
      <c r="G66" s="4" t="s">
        <v>26</v>
      </c>
      <c r="H66" s="4" t="s">
        <v>134</v>
      </c>
      <c r="I66" s="3">
        <v>3</v>
      </c>
      <c r="J66" s="44" t="str">
        <f t="shared" ref="J66:J129" si="9">IF(IFERROR(VLOOKUP(B66,DATA,1,FALSE),),"1","0")</f>
        <v>0</v>
      </c>
      <c r="K66" s="54" t="str">
        <f t="shared" si="8"/>
        <v>0</v>
      </c>
      <c r="L66" s="69" t="str">
        <f t="shared" ref="L66:L129" si="10">IF(IFERROR(VLOOKUP(B66,DATA7,1,FALSE),),"1","0")</f>
        <v>1</v>
      </c>
      <c r="M66" s="74" t="str">
        <f t="shared" ref="M66:M129" si="11">IF(IFERROR(VLOOKUP(B66,DATA9,1,FALSE),),"1","0")</f>
        <v>0</v>
      </c>
      <c r="N66" s="29" t="str">
        <f t="shared" ref="N66:N129" si="12">IF(IFERROR(VLOOKUP(B66,DATA10,1,FALSE),),"1","0")</f>
        <v>1</v>
      </c>
      <c r="O66" s="61" t="str">
        <f t="shared" ref="O66:O129" ca="1" si="13">IF(IFERROR(VLOOKUP(B66,DATA11,1,FALSE),),"1","0")</f>
        <v>1</v>
      </c>
      <c r="P66" s="65" t="str">
        <f t="shared" ref="P66:P129" si="14">IF(IFERROR(VLOOKUP(B66,DATA12,1,FALSE),),"1","0")</f>
        <v>1</v>
      </c>
      <c r="Q66" s="46">
        <f t="shared" ca="1" si="7"/>
        <v>4</v>
      </c>
      <c r="R66" s="83" t="str">
        <f t="shared" ref="R66:R129" ca="1" si="15">IF(Q66&gt;=3,"ผ่าน",IF(Q66&lt;3,"ไม่ผ่าน"))</f>
        <v>ผ่าน</v>
      </c>
      <c r="S66" s="3" t="s">
        <v>28</v>
      </c>
    </row>
    <row r="67" spans="1:19" ht="24">
      <c r="A67" s="3">
        <v>66</v>
      </c>
      <c r="B67" s="105">
        <v>6410403230</v>
      </c>
      <c r="C67" s="4" t="s">
        <v>29</v>
      </c>
      <c r="D67" s="4" t="s">
        <v>217</v>
      </c>
      <c r="E67" s="4" t="s">
        <v>218</v>
      </c>
      <c r="F67" s="4" t="s">
        <v>219</v>
      </c>
      <c r="G67" s="4" t="s">
        <v>26</v>
      </c>
      <c r="H67" s="4" t="s">
        <v>134</v>
      </c>
      <c r="I67" s="3">
        <v>3</v>
      </c>
      <c r="J67" s="44" t="str">
        <f t="shared" si="9"/>
        <v>0</v>
      </c>
      <c r="K67" s="54" t="str">
        <f t="shared" si="8"/>
        <v>1</v>
      </c>
      <c r="L67" s="69" t="str">
        <f t="shared" si="10"/>
        <v>0</v>
      </c>
      <c r="M67" s="74" t="str">
        <f t="shared" si="11"/>
        <v>1</v>
      </c>
      <c r="N67" s="29" t="str">
        <f t="shared" si="12"/>
        <v>0</v>
      </c>
      <c r="O67" s="61" t="str">
        <f t="shared" ca="1" si="13"/>
        <v>1</v>
      </c>
      <c r="P67" s="65" t="str">
        <f t="shared" si="14"/>
        <v>1</v>
      </c>
      <c r="Q67" s="46">
        <f t="shared" ref="Q67:Q130" ca="1" si="16">J67+K67+L67+M67+N67+O67+P67</f>
        <v>4</v>
      </c>
      <c r="R67" s="83" t="str">
        <f t="shared" ca="1" si="15"/>
        <v>ผ่าน</v>
      </c>
      <c r="S67" s="3" t="s">
        <v>28</v>
      </c>
    </row>
    <row r="68" spans="1:19" ht="24">
      <c r="A68" s="3">
        <v>67</v>
      </c>
      <c r="B68" s="105">
        <v>6410403232</v>
      </c>
      <c r="C68" s="4" t="s">
        <v>29</v>
      </c>
      <c r="D68" s="4" t="s">
        <v>220</v>
      </c>
      <c r="E68" s="4" t="s">
        <v>221</v>
      </c>
      <c r="F68" s="4" t="s">
        <v>222</v>
      </c>
      <c r="G68" s="4" t="s">
        <v>26</v>
      </c>
      <c r="H68" s="4" t="s">
        <v>134</v>
      </c>
      <c r="I68" s="3">
        <v>3</v>
      </c>
      <c r="J68" s="44" t="str">
        <f t="shared" si="9"/>
        <v>0</v>
      </c>
      <c r="K68" s="54" t="str">
        <f t="shared" ref="K68:K131" si="17">IF(IFERROR(VLOOKUP(B68,DATA8,1,FALSE),),"1","0")</f>
        <v>1</v>
      </c>
      <c r="L68" s="69" t="str">
        <f t="shared" si="10"/>
        <v>0</v>
      </c>
      <c r="M68" s="74" t="str">
        <f t="shared" si="11"/>
        <v>1</v>
      </c>
      <c r="N68" s="29" t="str">
        <f t="shared" si="12"/>
        <v>0</v>
      </c>
      <c r="O68" s="61" t="str">
        <f t="shared" ca="1" si="13"/>
        <v>1</v>
      </c>
      <c r="P68" s="65" t="str">
        <f t="shared" si="14"/>
        <v>1</v>
      </c>
      <c r="Q68" s="46">
        <f t="shared" ca="1" si="16"/>
        <v>4</v>
      </c>
      <c r="R68" s="83" t="str">
        <f t="shared" ca="1" si="15"/>
        <v>ผ่าน</v>
      </c>
      <c r="S68" s="3" t="s">
        <v>28</v>
      </c>
    </row>
    <row r="69" spans="1:19" ht="24">
      <c r="A69" s="3">
        <v>68</v>
      </c>
      <c r="B69" s="105">
        <v>6310403107</v>
      </c>
      <c r="C69" s="4" t="s">
        <v>29</v>
      </c>
      <c r="D69" s="4" t="s">
        <v>223</v>
      </c>
      <c r="E69" s="4" t="s">
        <v>224</v>
      </c>
      <c r="F69" s="4" t="s">
        <v>190</v>
      </c>
      <c r="G69" s="4" t="s">
        <v>26</v>
      </c>
      <c r="H69" s="4" t="s">
        <v>134</v>
      </c>
      <c r="I69" s="3">
        <v>4</v>
      </c>
      <c r="J69" s="45" t="str">
        <f t="shared" si="9"/>
        <v>1</v>
      </c>
      <c r="K69" s="54" t="str">
        <f t="shared" si="17"/>
        <v>1</v>
      </c>
      <c r="L69" s="69" t="str">
        <f t="shared" si="10"/>
        <v>0</v>
      </c>
      <c r="M69" s="74" t="str">
        <f t="shared" si="11"/>
        <v>1</v>
      </c>
      <c r="N69" s="29" t="str">
        <f t="shared" si="12"/>
        <v>0</v>
      </c>
      <c r="O69" s="61">
        <v>1</v>
      </c>
      <c r="P69" s="65">
        <v>1</v>
      </c>
      <c r="Q69" s="46">
        <f t="shared" si="16"/>
        <v>5</v>
      </c>
      <c r="R69" s="83" t="str">
        <f t="shared" si="15"/>
        <v>ผ่าน</v>
      </c>
      <c r="S69" s="3" t="s">
        <v>28</v>
      </c>
    </row>
    <row r="70" spans="1:19" ht="24">
      <c r="A70" s="3">
        <v>69</v>
      </c>
      <c r="B70" s="105">
        <v>6310403120</v>
      </c>
      <c r="C70" s="4" t="s">
        <v>29</v>
      </c>
      <c r="D70" s="4" t="s">
        <v>225</v>
      </c>
      <c r="E70" s="4" t="s">
        <v>226</v>
      </c>
      <c r="F70" s="4" t="s">
        <v>227</v>
      </c>
      <c r="G70" s="4" t="s">
        <v>26</v>
      </c>
      <c r="H70" s="4" t="s">
        <v>134</v>
      </c>
      <c r="I70" s="3">
        <v>4</v>
      </c>
      <c r="J70" s="45" t="str">
        <f t="shared" si="9"/>
        <v>1</v>
      </c>
      <c r="K70" s="54" t="str">
        <f t="shared" si="17"/>
        <v>1</v>
      </c>
      <c r="L70" s="69" t="str">
        <f t="shared" si="10"/>
        <v>0</v>
      </c>
      <c r="M70" s="74" t="str">
        <f t="shared" si="11"/>
        <v>1</v>
      </c>
      <c r="N70" s="29" t="str">
        <f t="shared" si="12"/>
        <v>0</v>
      </c>
      <c r="O70" s="61">
        <v>1</v>
      </c>
      <c r="P70" s="65">
        <v>1</v>
      </c>
      <c r="Q70" s="46">
        <f t="shared" si="16"/>
        <v>5</v>
      </c>
      <c r="R70" s="83" t="str">
        <f t="shared" si="15"/>
        <v>ผ่าน</v>
      </c>
      <c r="S70" s="3" t="s">
        <v>28</v>
      </c>
    </row>
    <row r="71" spans="1:19" ht="24">
      <c r="A71" s="3">
        <v>70</v>
      </c>
      <c r="B71" s="105">
        <v>6310403124</v>
      </c>
      <c r="C71" s="4" t="s">
        <v>29</v>
      </c>
      <c r="D71" s="4" t="s">
        <v>228</v>
      </c>
      <c r="E71" s="4" t="s">
        <v>229</v>
      </c>
      <c r="F71" s="4" t="s">
        <v>230</v>
      </c>
      <c r="G71" s="4" t="s">
        <v>26</v>
      </c>
      <c r="H71" s="4" t="s">
        <v>134</v>
      </c>
      <c r="I71" s="3">
        <v>4</v>
      </c>
      <c r="J71" s="45" t="str">
        <f t="shared" si="9"/>
        <v>1</v>
      </c>
      <c r="K71" s="54" t="str">
        <f t="shared" si="17"/>
        <v>1</v>
      </c>
      <c r="L71" s="69" t="str">
        <f t="shared" si="10"/>
        <v>0</v>
      </c>
      <c r="M71" s="74" t="str">
        <f t="shared" si="11"/>
        <v>1</v>
      </c>
      <c r="N71" s="29" t="str">
        <f t="shared" si="12"/>
        <v>0</v>
      </c>
      <c r="O71" s="61">
        <v>1</v>
      </c>
      <c r="P71" s="65">
        <v>1</v>
      </c>
      <c r="Q71" s="46">
        <f t="shared" si="16"/>
        <v>5</v>
      </c>
      <c r="R71" s="83" t="str">
        <f t="shared" si="15"/>
        <v>ผ่าน</v>
      </c>
      <c r="S71" s="3" t="s">
        <v>28</v>
      </c>
    </row>
    <row r="72" spans="1:19" ht="24">
      <c r="A72" s="3">
        <v>71</v>
      </c>
      <c r="B72" s="105">
        <v>6310403125</v>
      </c>
      <c r="C72" s="4" t="s">
        <v>29</v>
      </c>
      <c r="D72" s="4" t="s">
        <v>231</v>
      </c>
      <c r="E72" s="4" t="s">
        <v>232</v>
      </c>
      <c r="F72" s="4" t="s">
        <v>233</v>
      </c>
      <c r="G72" s="4" t="s">
        <v>26</v>
      </c>
      <c r="H72" s="4" t="s">
        <v>134</v>
      </c>
      <c r="I72" s="3">
        <v>4</v>
      </c>
      <c r="J72" s="45" t="str">
        <f t="shared" si="9"/>
        <v>1</v>
      </c>
      <c r="K72" s="54">
        <v>1</v>
      </c>
      <c r="L72" s="69" t="str">
        <f t="shared" si="10"/>
        <v>0</v>
      </c>
      <c r="M72" s="74" t="str">
        <f t="shared" si="11"/>
        <v>1</v>
      </c>
      <c r="N72" s="29" t="str">
        <f t="shared" si="12"/>
        <v>0</v>
      </c>
      <c r="O72" s="61" t="str">
        <f t="shared" ca="1" si="13"/>
        <v>1</v>
      </c>
      <c r="P72" s="65" t="str">
        <f t="shared" si="14"/>
        <v>1</v>
      </c>
      <c r="Q72" s="46">
        <f t="shared" ca="1" si="16"/>
        <v>5</v>
      </c>
      <c r="R72" s="83" t="str">
        <f t="shared" ca="1" si="15"/>
        <v>ผ่าน</v>
      </c>
      <c r="S72" s="3" t="s">
        <v>28</v>
      </c>
    </row>
    <row r="73" spans="1:19" ht="24">
      <c r="A73" s="3">
        <v>72</v>
      </c>
      <c r="B73" s="105">
        <v>6310403127</v>
      </c>
      <c r="C73" s="4" t="s">
        <v>29</v>
      </c>
      <c r="D73" s="4" t="s">
        <v>234</v>
      </c>
      <c r="E73" s="4" t="s">
        <v>235</v>
      </c>
      <c r="F73" s="4" t="s">
        <v>236</v>
      </c>
      <c r="G73" s="4" t="s">
        <v>26</v>
      </c>
      <c r="H73" s="4" t="s">
        <v>134</v>
      </c>
      <c r="I73" s="3">
        <v>4</v>
      </c>
      <c r="J73" s="45" t="str">
        <f t="shared" si="9"/>
        <v>1</v>
      </c>
      <c r="K73" s="54">
        <v>1</v>
      </c>
      <c r="L73" s="69" t="str">
        <f t="shared" si="10"/>
        <v>0</v>
      </c>
      <c r="M73" s="74" t="str">
        <f t="shared" si="11"/>
        <v>1</v>
      </c>
      <c r="N73" s="29" t="str">
        <f t="shared" si="12"/>
        <v>0</v>
      </c>
      <c r="O73" s="61" t="str">
        <f t="shared" ca="1" si="13"/>
        <v>1</v>
      </c>
      <c r="P73" s="65" t="str">
        <f t="shared" si="14"/>
        <v>1</v>
      </c>
      <c r="Q73" s="46">
        <f t="shared" ca="1" si="16"/>
        <v>5</v>
      </c>
      <c r="R73" s="83" t="str">
        <f t="shared" ca="1" si="15"/>
        <v>ผ่าน</v>
      </c>
      <c r="S73" s="3" t="s">
        <v>28</v>
      </c>
    </row>
    <row r="74" spans="1:19" ht="24">
      <c r="A74" s="3">
        <v>73</v>
      </c>
      <c r="B74" s="105">
        <v>6310403303</v>
      </c>
      <c r="C74" s="4" t="s">
        <v>29</v>
      </c>
      <c r="D74" s="4" t="s">
        <v>237</v>
      </c>
      <c r="E74" s="4" t="s">
        <v>238</v>
      </c>
      <c r="F74" s="4" t="s">
        <v>239</v>
      </c>
      <c r="G74" s="4" t="s">
        <v>26</v>
      </c>
      <c r="H74" s="4" t="s">
        <v>134</v>
      </c>
      <c r="I74" s="3">
        <v>4</v>
      </c>
      <c r="J74" s="45" t="str">
        <f t="shared" si="9"/>
        <v>1</v>
      </c>
      <c r="K74" s="54">
        <v>1</v>
      </c>
      <c r="L74" s="69" t="str">
        <f t="shared" si="10"/>
        <v>0</v>
      </c>
      <c r="M74" s="74" t="str">
        <f t="shared" si="11"/>
        <v>1</v>
      </c>
      <c r="N74" s="29" t="str">
        <f t="shared" si="12"/>
        <v>0</v>
      </c>
      <c r="O74" s="61" t="str">
        <f t="shared" ca="1" si="13"/>
        <v>1</v>
      </c>
      <c r="P74" s="65">
        <v>1</v>
      </c>
      <c r="Q74" s="46">
        <f t="shared" ca="1" si="16"/>
        <v>5</v>
      </c>
      <c r="R74" s="83" t="str">
        <f t="shared" ca="1" si="15"/>
        <v>ผ่าน</v>
      </c>
      <c r="S74" s="3" t="s">
        <v>28</v>
      </c>
    </row>
    <row r="75" spans="1:19" ht="24">
      <c r="A75" s="3">
        <v>74</v>
      </c>
      <c r="B75" s="105">
        <v>6310403310</v>
      </c>
      <c r="C75" s="4" t="s">
        <v>29</v>
      </c>
      <c r="D75" s="4" t="s">
        <v>240</v>
      </c>
      <c r="E75" s="4" t="s">
        <v>241</v>
      </c>
      <c r="F75" s="4" t="s">
        <v>242</v>
      </c>
      <c r="G75" s="4" t="s">
        <v>26</v>
      </c>
      <c r="H75" s="4" t="s">
        <v>134</v>
      </c>
      <c r="I75" s="3">
        <v>4</v>
      </c>
      <c r="J75" s="45" t="str">
        <f t="shared" si="9"/>
        <v>1</v>
      </c>
      <c r="K75" s="54">
        <v>1</v>
      </c>
      <c r="L75" s="69" t="str">
        <f t="shared" si="10"/>
        <v>0</v>
      </c>
      <c r="M75" s="74" t="str">
        <f t="shared" si="11"/>
        <v>1</v>
      </c>
      <c r="N75" s="29" t="str">
        <f t="shared" si="12"/>
        <v>0</v>
      </c>
      <c r="O75" s="61">
        <v>1</v>
      </c>
      <c r="P75" s="65" t="str">
        <f t="shared" si="14"/>
        <v>1</v>
      </c>
      <c r="Q75" s="46">
        <f t="shared" si="16"/>
        <v>5</v>
      </c>
      <c r="R75" s="83" t="str">
        <f t="shared" si="15"/>
        <v>ผ่าน</v>
      </c>
      <c r="S75" s="3" t="s">
        <v>28</v>
      </c>
    </row>
    <row r="76" spans="1:19" ht="24">
      <c r="A76" s="3">
        <v>75</v>
      </c>
      <c r="B76" s="105">
        <v>6310403311</v>
      </c>
      <c r="C76" s="4" t="s">
        <v>29</v>
      </c>
      <c r="D76" s="4" t="s">
        <v>243</v>
      </c>
      <c r="E76" s="4" t="s">
        <v>244</v>
      </c>
      <c r="F76" s="4" t="s">
        <v>245</v>
      </c>
      <c r="G76" s="4" t="s">
        <v>26</v>
      </c>
      <c r="H76" s="4" t="s">
        <v>134</v>
      </c>
      <c r="I76" s="3">
        <v>4</v>
      </c>
      <c r="J76" s="45" t="str">
        <f t="shared" si="9"/>
        <v>1</v>
      </c>
      <c r="K76" s="54" t="str">
        <f t="shared" si="17"/>
        <v>1</v>
      </c>
      <c r="L76" s="69" t="str">
        <f t="shared" si="10"/>
        <v>0</v>
      </c>
      <c r="M76" s="74" t="str">
        <f t="shared" si="11"/>
        <v>0</v>
      </c>
      <c r="N76" s="29" t="str">
        <f t="shared" si="12"/>
        <v>0</v>
      </c>
      <c r="O76" s="61">
        <v>1</v>
      </c>
      <c r="P76" s="65">
        <v>1</v>
      </c>
      <c r="Q76" s="46">
        <f t="shared" si="16"/>
        <v>4</v>
      </c>
      <c r="R76" s="83" t="str">
        <f t="shared" si="15"/>
        <v>ผ่าน</v>
      </c>
      <c r="S76" s="3" t="s">
        <v>28</v>
      </c>
    </row>
    <row r="77" spans="1:19" ht="24">
      <c r="A77" s="3">
        <v>76</v>
      </c>
      <c r="B77" s="105">
        <v>6310403317</v>
      </c>
      <c r="C77" s="4" t="s">
        <v>29</v>
      </c>
      <c r="D77" s="4" t="s">
        <v>246</v>
      </c>
      <c r="E77" s="4" t="s">
        <v>247</v>
      </c>
      <c r="F77" s="4" t="s">
        <v>248</v>
      </c>
      <c r="G77" s="4" t="s">
        <v>26</v>
      </c>
      <c r="H77" s="4" t="s">
        <v>134</v>
      </c>
      <c r="I77" s="3">
        <v>4</v>
      </c>
      <c r="J77" s="45" t="str">
        <f t="shared" si="9"/>
        <v>1</v>
      </c>
      <c r="K77" s="54" t="str">
        <f t="shared" si="17"/>
        <v>1</v>
      </c>
      <c r="L77" s="69" t="str">
        <f t="shared" si="10"/>
        <v>0</v>
      </c>
      <c r="M77" s="74" t="str">
        <f t="shared" si="11"/>
        <v>0</v>
      </c>
      <c r="N77" s="29" t="str">
        <f t="shared" si="12"/>
        <v>0</v>
      </c>
      <c r="O77" s="61">
        <v>1</v>
      </c>
      <c r="P77" s="65">
        <v>1</v>
      </c>
      <c r="Q77" s="46">
        <f t="shared" si="16"/>
        <v>4</v>
      </c>
      <c r="R77" s="83" t="str">
        <f t="shared" si="15"/>
        <v>ผ่าน</v>
      </c>
      <c r="S77" s="3" t="s">
        <v>28</v>
      </c>
    </row>
    <row r="78" spans="1:19" ht="24">
      <c r="A78" s="3">
        <v>77</v>
      </c>
      <c r="B78" s="105">
        <v>6310403326</v>
      </c>
      <c r="C78" s="4" t="s">
        <v>29</v>
      </c>
      <c r="D78" s="4" t="s">
        <v>249</v>
      </c>
      <c r="E78" s="4" t="s">
        <v>250</v>
      </c>
      <c r="F78" s="4" t="s">
        <v>251</v>
      </c>
      <c r="G78" s="4" t="s">
        <v>26</v>
      </c>
      <c r="H78" s="4" t="s">
        <v>134</v>
      </c>
      <c r="I78" s="3">
        <v>4</v>
      </c>
      <c r="J78" s="45" t="str">
        <f t="shared" si="9"/>
        <v>1</v>
      </c>
      <c r="K78" s="54">
        <v>1</v>
      </c>
      <c r="L78" s="69" t="str">
        <f t="shared" si="10"/>
        <v>0</v>
      </c>
      <c r="M78" s="74" t="str">
        <f t="shared" si="11"/>
        <v>0</v>
      </c>
      <c r="N78" s="29" t="str">
        <f t="shared" si="12"/>
        <v>0</v>
      </c>
      <c r="O78" s="61">
        <v>1</v>
      </c>
      <c r="P78" s="65">
        <v>1</v>
      </c>
      <c r="Q78" s="46">
        <f t="shared" si="16"/>
        <v>4</v>
      </c>
      <c r="R78" s="83" t="str">
        <f t="shared" si="15"/>
        <v>ผ่าน</v>
      </c>
      <c r="S78" s="3" t="s">
        <v>28</v>
      </c>
    </row>
    <row r="79" spans="1:19" ht="24">
      <c r="A79" s="3">
        <v>78</v>
      </c>
      <c r="B79" s="105">
        <v>6312325110</v>
      </c>
      <c r="C79" s="4" t="s">
        <v>29</v>
      </c>
      <c r="D79" s="4" t="s">
        <v>252</v>
      </c>
      <c r="E79" s="4" t="s">
        <v>253</v>
      </c>
      <c r="F79" s="4" t="s">
        <v>254</v>
      </c>
      <c r="G79" s="4" t="s">
        <v>26</v>
      </c>
      <c r="H79" s="4" t="s">
        <v>255</v>
      </c>
      <c r="I79" s="3">
        <v>4</v>
      </c>
      <c r="J79" s="45" t="str">
        <f t="shared" si="9"/>
        <v>1</v>
      </c>
      <c r="K79" s="54">
        <v>1</v>
      </c>
      <c r="L79" s="69" t="str">
        <f t="shared" si="10"/>
        <v>0</v>
      </c>
      <c r="M79" s="74" t="str">
        <f t="shared" si="11"/>
        <v>0</v>
      </c>
      <c r="N79" s="29" t="str">
        <f t="shared" si="12"/>
        <v>0</v>
      </c>
      <c r="O79" s="61">
        <v>1</v>
      </c>
      <c r="P79" s="65">
        <v>1</v>
      </c>
      <c r="Q79" s="46">
        <f t="shared" si="16"/>
        <v>4</v>
      </c>
      <c r="R79" s="83" t="str">
        <f t="shared" si="15"/>
        <v>ผ่าน</v>
      </c>
      <c r="S79" s="3" t="s">
        <v>28</v>
      </c>
    </row>
    <row r="80" spans="1:19" ht="24">
      <c r="A80" s="3">
        <v>79</v>
      </c>
      <c r="B80" s="105">
        <v>6412325114</v>
      </c>
      <c r="C80" s="4" t="s">
        <v>29</v>
      </c>
      <c r="D80" s="4" t="s">
        <v>256</v>
      </c>
      <c r="E80" s="4" t="s">
        <v>257</v>
      </c>
      <c r="F80" s="4" t="s">
        <v>258</v>
      </c>
      <c r="G80" s="4" t="s">
        <v>26</v>
      </c>
      <c r="H80" s="4" t="s">
        <v>259</v>
      </c>
      <c r="I80" s="3">
        <v>3</v>
      </c>
      <c r="J80" s="44" t="str">
        <f t="shared" si="9"/>
        <v>0</v>
      </c>
      <c r="K80" s="54">
        <v>1</v>
      </c>
      <c r="L80" s="69" t="str">
        <f t="shared" si="10"/>
        <v>0</v>
      </c>
      <c r="M80" s="74" t="str">
        <f t="shared" si="11"/>
        <v>0</v>
      </c>
      <c r="N80" s="29" t="str">
        <f t="shared" si="12"/>
        <v>0</v>
      </c>
      <c r="O80" s="61" t="str">
        <f t="shared" ca="1" si="13"/>
        <v>0</v>
      </c>
      <c r="P80" s="65" t="str">
        <f t="shared" si="14"/>
        <v>0</v>
      </c>
      <c r="Q80" s="46">
        <f t="shared" ca="1" si="16"/>
        <v>1</v>
      </c>
      <c r="R80" s="3" t="str">
        <f t="shared" ca="1" si="15"/>
        <v>ไม่ผ่าน</v>
      </c>
      <c r="S80" s="3" t="s">
        <v>28</v>
      </c>
    </row>
    <row r="81" spans="1:19" ht="24">
      <c r="A81" s="3">
        <v>80</v>
      </c>
      <c r="B81" s="105">
        <v>6312325102</v>
      </c>
      <c r="C81" s="4" t="s">
        <v>22</v>
      </c>
      <c r="D81" s="4" t="s">
        <v>260</v>
      </c>
      <c r="E81" s="4" t="s">
        <v>261</v>
      </c>
      <c r="F81" s="4" t="s">
        <v>262</v>
      </c>
      <c r="G81" s="4" t="s">
        <v>26</v>
      </c>
      <c r="H81" s="4" t="s">
        <v>259</v>
      </c>
      <c r="I81" s="3">
        <v>4</v>
      </c>
      <c r="J81" s="44" t="str">
        <f t="shared" si="9"/>
        <v>0</v>
      </c>
      <c r="K81" s="54" t="str">
        <f t="shared" si="17"/>
        <v>1</v>
      </c>
      <c r="L81" s="69" t="str">
        <f t="shared" si="10"/>
        <v>0</v>
      </c>
      <c r="M81" s="74" t="str">
        <f t="shared" si="11"/>
        <v>1</v>
      </c>
      <c r="N81" s="29" t="str">
        <f t="shared" si="12"/>
        <v>0</v>
      </c>
      <c r="O81" s="61">
        <v>1</v>
      </c>
      <c r="P81" s="65">
        <v>1</v>
      </c>
      <c r="Q81" s="46">
        <f t="shared" si="16"/>
        <v>4</v>
      </c>
      <c r="R81" s="83" t="str">
        <f t="shared" si="15"/>
        <v>ผ่าน</v>
      </c>
      <c r="S81" s="3" t="s">
        <v>28</v>
      </c>
    </row>
    <row r="82" spans="1:19" ht="24">
      <c r="A82" s="3">
        <v>81</v>
      </c>
      <c r="B82" s="105">
        <v>6312325103</v>
      </c>
      <c r="C82" s="4" t="s">
        <v>22</v>
      </c>
      <c r="D82" s="4" t="s">
        <v>263</v>
      </c>
      <c r="E82" s="4" t="s">
        <v>264</v>
      </c>
      <c r="F82" s="4" t="s">
        <v>265</v>
      </c>
      <c r="G82" s="4" t="s">
        <v>26</v>
      </c>
      <c r="H82" s="4" t="s">
        <v>259</v>
      </c>
      <c r="I82" s="3">
        <v>4</v>
      </c>
      <c r="J82" s="44" t="str">
        <f t="shared" si="9"/>
        <v>0</v>
      </c>
      <c r="K82" s="54">
        <v>1</v>
      </c>
      <c r="L82" s="69" t="str">
        <f t="shared" si="10"/>
        <v>0</v>
      </c>
      <c r="M82" s="74" t="str">
        <f t="shared" si="11"/>
        <v>1</v>
      </c>
      <c r="N82" s="29" t="str">
        <f t="shared" si="12"/>
        <v>0</v>
      </c>
      <c r="O82" s="61">
        <v>1</v>
      </c>
      <c r="P82" s="65">
        <v>1</v>
      </c>
      <c r="Q82" s="46">
        <f t="shared" si="16"/>
        <v>4</v>
      </c>
      <c r="R82" s="83" t="str">
        <f t="shared" si="15"/>
        <v>ผ่าน</v>
      </c>
      <c r="S82" s="3" t="s">
        <v>28</v>
      </c>
    </row>
    <row r="83" spans="1:19" ht="24">
      <c r="A83" s="3">
        <v>82</v>
      </c>
      <c r="B83" s="105">
        <v>6312325104</v>
      </c>
      <c r="C83" s="4" t="s">
        <v>22</v>
      </c>
      <c r="D83" s="4" t="s">
        <v>266</v>
      </c>
      <c r="E83" s="4" t="s">
        <v>267</v>
      </c>
      <c r="F83" s="4" t="s">
        <v>22</v>
      </c>
      <c r="G83" s="4" t="s">
        <v>26</v>
      </c>
      <c r="H83" s="4" t="s">
        <v>259</v>
      </c>
      <c r="I83" s="3">
        <v>4</v>
      </c>
      <c r="J83" s="44" t="str">
        <f t="shared" si="9"/>
        <v>0</v>
      </c>
      <c r="K83" s="54">
        <v>1</v>
      </c>
      <c r="L83" s="69" t="str">
        <f t="shared" si="10"/>
        <v>0</v>
      </c>
      <c r="M83" s="74" t="str">
        <f t="shared" si="11"/>
        <v>1</v>
      </c>
      <c r="N83" s="29" t="str">
        <f t="shared" si="12"/>
        <v>0</v>
      </c>
      <c r="O83" s="61">
        <v>1</v>
      </c>
      <c r="P83" s="65">
        <v>1</v>
      </c>
      <c r="Q83" s="46">
        <f t="shared" si="16"/>
        <v>4</v>
      </c>
      <c r="R83" s="83" t="str">
        <f t="shared" si="15"/>
        <v>ผ่าน</v>
      </c>
      <c r="S83" s="3" t="s">
        <v>28</v>
      </c>
    </row>
    <row r="84" spans="1:19" ht="24">
      <c r="A84" s="3">
        <v>83</v>
      </c>
      <c r="B84" s="105">
        <v>6312325105</v>
      </c>
      <c r="C84" s="4" t="s">
        <v>22</v>
      </c>
      <c r="D84" s="4" t="s">
        <v>268</v>
      </c>
      <c r="E84" s="4" t="s">
        <v>269</v>
      </c>
      <c r="F84" s="4" t="s">
        <v>270</v>
      </c>
      <c r="G84" s="4" t="s">
        <v>26</v>
      </c>
      <c r="H84" s="4" t="s">
        <v>259</v>
      </c>
      <c r="I84" s="3">
        <v>4</v>
      </c>
      <c r="J84" s="44" t="str">
        <f t="shared" si="9"/>
        <v>0</v>
      </c>
      <c r="K84" s="54">
        <v>1</v>
      </c>
      <c r="L84" s="69" t="str">
        <f t="shared" si="10"/>
        <v>0</v>
      </c>
      <c r="M84" s="74" t="str">
        <f t="shared" si="11"/>
        <v>1</v>
      </c>
      <c r="N84" s="29" t="str">
        <f t="shared" si="12"/>
        <v>0</v>
      </c>
      <c r="O84" s="61">
        <v>1</v>
      </c>
      <c r="P84" s="65">
        <v>1</v>
      </c>
      <c r="Q84" s="46">
        <f t="shared" si="16"/>
        <v>4</v>
      </c>
      <c r="R84" s="83" t="str">
        <f t="shared" si="15"/>
        <v>ผ่าน</v>
      </c>
      <c r="S84" s="3" t="s">
        <v>28</v>
      </c>
    </row>
    <row r="85" spans="1:19" ht="24">
      <c r="A85" s="3">
        <v>84</v>
      </c>
      <c r="B85" s="105">
        <v>6312325106</v>
      </c>
      <c r="C85" s="4" t="s">
        <v>29</v>
      </c>
      <c r="D85" s="4" t="s">
        <v>271</v>
      </c>
      <c r="E85" s="4" t="s">
        <v>272</v>
      </c>
      <c r="F85" s="4" t="s">
        <v>273</v>
      </c>
      <c r="G85" s="4" t="s">
        <v>26</v>
      </c>
      <c r="H85" s="4" t="s">
        <v>259</v>
      </c>
      <c r="I85" s="3">
        <v>4</v>
      </c>
      <c r="J85" s="44" t="str">
        <f t="shared" si="9"/>
        <v>0</v>
      </c>
      <c r="K85" s="54" t="str">
        <f t="shared" si="17"/>
        <v>1</v>
      </c>
      <c r="L85" s="69" t="str">
        <f t="shared" si="10"/>
        <v>0</v>
      </c>
      <c r="M85" s="74" t="str">
        <f t="shared" si="11"/>
        <v>1</v>
      </c>
      <c r="N85" s="29" t="str">
        <f t="shared" si="12"/>
        <v>0</v>
      </c>
      <c r="O85" s="61">
        <v>1</v>
      </c>
      <c r="P85" s="65">
        <v>1</v>
      </c>
      <c r="Q85" s="46">
        <f t="shared" si="16"/>
        <v>4</v>
      </c>
      <c r="R85" s="83" t="str">
        <f t="shared" si="15"/>
        <v>ผ่าน</v>
      </c>
      <c r="S85" s="3" t="s">
        <v>28</v>
      </c>
    </row>
    <row r="86" spans="1:19" ht="24">
      <c r="A86" s="3">
        <v>85</v>
      </c>
      <c r="B86" s="105">
        <v>6312325107</v>
      </c>
      <c r="C86" s="4" t="s">
        <v>29</v>
      </c>
      <c r="D86" s="4" t="s">
        <v>274</v>
      </c>
      <c r="E86" s="4" t="s">
        <v>275</v>
      </c>
      <c r="F86" s="4" t="s">
        <v>276</v>
      </c>
      <c r="G86" s="4" t="s">
        <v>26</v>
      </c>
      <c r="H86" s="4" t="s">
        <v>259</v>
      </c>
      <c r="I86" s="3">
        <v>4</v>
      </c>
      <c r="J86" s="44" t="str">
        <f t="shared" si="9"/>
        <v>0</v>
      </c>
      <c r="K86" s="54" t="str">
        <f t="shared" si="17"/>
        <v>1</v>
      </c>
      <c r="L86" s="69" t="str">
        <f t="shared" si="10"/>
        <v>0</v>
      </c>
      <c r="M86" s="74" t="str">
        <f t="shared" si="11"/>
        <v>1</v>
      </c>
      <c r="N86" s="29" t="str">
        <f t="shared" si="12"/>
        <v>0</v>
      </c>
      <c r="O86" s="61">
        <v>1</v>
      </c>
      <c r="P86" s="65">
        <v>1</v>
      </c>
      <c r="Q86" s="46">
        <f t="shared" si="16"/>
        <v>4</v>
      </c>
      <c r="R86" s="83" t="str">
        <f t="shared" si="15"/>
        <v>ผ่าน</v>
      </c>
      <c r="S86" s="3" t="s">
        <v>28</v>
      </c>
    </row>
    <row r="87" spans="1:19" ht="24">
      <c r="A87" s="3">
        <v>86</v>
      </c>
      <c r="B87" s="105">
        <v>6312325113</v>
      </c>
      <c r="C87" s="4" t="s">
        <v>29</v>
      </c>
      <c r="D87" s="4" t="s">
        <v>277</v>
      </c>
      <c r="E87" s="4" t="s">
        <v>278</v>
      </c>
      <c r="F87" s="4" t="s">
        <v>279</v>
      </c>
      <c r="G87" s="4" t="s">
        <v>26</v>
      </c>
      <c r="H87" s="4" t="s">
        <v>259</v>
      </c>
      <c r="I87" s="3">
        <v>4</v>
      </c>
      <c r="J87" s="45" t="str">
        <f t="shared" si="9"/>
        <v>1</v>
      </c>
      <c r="K87" s="54">
        <v>1</v>
      </c>
      <c r="L87" s="69" t="str">
        <f t="shared" si="10"/>
        <v>0</v>
      </c>
      <c r="M87" s="74" t="str">
        <f t="shared" si="11"/>
        <v>1</v>
      </c>
      <c r="N87" s="29" t="str">
        <f t="shared" si="12"/>
        <v>0</v>
      </c>
      <c r="O87" s="61">
        <v>1</v>
      </c>
      <c r="P87" s="65">
        <v>1</v>
      </c>
      <c r="Q87" s="46">
        <f t="shared" si="16"/>
        <v>5</v>
      </c>
      <c r="R87" s="83" t="str">
        <f t="shared" si="15"/>
        <v>ผ่าน</v>
      </c>
      <c r="S87" s="3" t="s">
        <v>28</v>
      </c>
    </row>
    <row r="88" spans="1:19" ht="24">
      <c r="A88" s="3">
        <v>87</v>
      </c>
      <c r="B88" s="105">
        <v>6312325114</v>
      </c>
      <c r="C88" s="4" t="s">
        <v>22</v>
      </c>
      <c r="D88" s="4" t="s">
        <v>280</v>
      </c>
      <c r="E88" s="4" t="s">
        <v>281</v>
      </c>
      <c r="F88" s="4" t="s">
        <v>282</v>
      </c>
      <c r="G88" s="4" t="s">
        <v>26</v>
      </c>
      <c r="H88" s="4" t="s">
        <v>259</v>
      </c>
      <c r="I88" s="3">
        <v>4</v>
      </c>
      <c r="J88" s="44" t="str">
        <f t="shared" si="9"/>
        <v>0</v>
      </c>
      <c r="K88" s="54">
        <v>1</v>
      </c>
      <c r="L88" s="69" t="str">
        <f t="shared" si="10"/>
        <v>0</v>
      </c>
      <c r="M88" s="74" t="str">
        <f t="shared" si="11"/>
        <v>1</v>
      </c>
      <c r="N88" s="29" t="str">
        <f t="shared" si="12"/>
        <v>0</v>
      </c>
      <c r="O88" s="61">
        <v>1</v>
      </c>
      <c r="P88" s="65">
        <v>1</v>
      </c>
      <c r="Q88" s="46">
        <f t="shared" si="16"/>
        <v>4</v>
      </c>
      <c r="R88" s="83" t="str">
        <f t="shared" si="15"/>
        <v>ผ่าน</v>
      </c>
      <c r="S88" s="3" t="s">
        <v>28</v>
      </c>
    </row>
    <row r="89" spans="1:19" ht="24">
      <c r="A89" s="3">
        <v>88</v>
      </c>
      <c r="B89" s="105">
        <v>6312325117</v>
      </c>
      <c r="C89" s="4" t="s">
        <v>22</v>
      </c>
      <c r="D89" s="4" t="s">
        <v>283</v>
      </c>
      <c r="E89" s="4" t="s">
        <v>284</v>
      </c>
      <c r="F89" s="4" t="s">
        <v>285</v>
      </c>
      <c r="G89" s="4" t="s">
        <v>26</v>
      </c>
      <c r="H89" s="4" t="s">
        <v>259</v>
      </c>
      <c r="I89" s="3">
        <v>4</v>
      </c>
      <c r="J89" s="44" t="str">
        <f t="shared" si="9"/>
        <v>0</v>
      </c>
      <c r="K89" s="54">
        <v>1</v>
      </c>
      <c r="L89" s="69" t="str">
        <f t="shared" si="10"/>
        <v>0</v>
      </c>
      <c r="M89" s="74" t="str">
        <f t="shared" si="11"/>
        <v>1</v>
      </c>
      <c r="N89" s="29" t="str">
        <f t="shared" si="12"/>
        <v>0</v>
      </c>
      <c r="O89" s="61">
        <v>1</v>
      </c>
      <c r="P89" s="65">
        <v>1</v>
      </c>
      <c r="Q89" s="46">
        <f t="shared" si="16"/>
        <v>4</v>
      </c>
      <c r="R89" s="83" t="str">
        <f t="shared" si="15"/>
        <v>ผ่าน</v>
      </c>
      <c r="S89" s="3" t="s">
        <v>28</v>
      </c>
    </row>
    <row r="90" spans="1:19" ht="24">
      <c r="A90" s="3">
        <v>89</v>
      </c>
      <c r="B90" s="105">
        <v>6612236114</v>
      </c>
      <c r="C90" s="4" t="s">
        <v>29</v>
      </c>
      <c r="D90" s="4" t="s">
        <v>243</v>
      </c>
      <c r="E90" s="4" t="s">
        <v>286</v>
      </c>
      <c r="F90" s="4" t="s">
        <v>239</v>
      </c>
      <c r="G90" s="4" t="s">
        <v>287</v>
      </c>
      <c r="H90" s="4" t="s">
        <v>288</v>
      </c>
      <c r="I90" s="3">
        <v>1</v>
      </c>
      <c r="J90" s="45" t="str">
        <f t="shared" si="9"/>
        <v>1</v>
      </c>
      <c r="K90" s="54" t="str">
        <f t="shared" si="17"/>
        <v>0</v>
      </c>
      <c r="L90" s="69" t="str">
        <f t="shared" si="10"/>
        <v>1</v>
      </c>
      <c r="M90" s="74" t="str">
        <f t="shared" si="11"/>
        <v>0</v>
      </c>
      <c r="N90" s="29" t="str">
        <f t="shared" si="12"/>
        <v>1</v>
      </c>
      <c r="O90" s="61" t="str">
        <f t="shared" ca="1" si="13"/>
        <v>0</v>
      </c>
      <c r="P90" s="65" t="str">
        <f t="shared" si="14"/>
        <v>1</v>
      </c>
      <c r="Q90" s="46">
        <f t="shared" ca="1" si="16"/>
        <v>4</v>
      </c>
      <c r="R90" s="83" t="str">
        <f t="shared" ca="1" si="15"/>
        <v>ผ่าน</v>
      </c>
      <c r="S90" s="3" t="s">
        <v>28</v>
      </c>
    </row>
    <row r="91" spans="1:19" ht="24">
      <c r="A91" s="3">
        <v>90</v>
      </c>
      <c r="B91" s="105">
        <v>6612236121</v>
      </c>
      <c r="C91" s="4" t="s">
        <v>29</v>
      </c>
      <c r="D91" s="4" t="s">
        <v>289</v>
      </c>
      <c r="E91" s="4" t="s">
        <v>290</v>
      </c>
      <c r="F91" s="4" t="s">
        <v>291</v>
      </c>
      <c r="G91" s="4" t="s">
        <v>287</v>
      </c>
      <c r="H91" s="4" t="s">
        <v>288</v>
      </c>
      <c r="I91" s="3">
        <v>1</v>
      </c>
      <c r="J91" s="45" t="str">
        <f t="shared" si="9"/>
        <v>1</v>
      </c>
      <c r="K91" s="54" t="str">
        <f t="shared" si="17"/>
        <v>0</v>
      </c>
      <c r="L91" s="69" t="str">
        <f t="shared" si="10"/>
        <v>1</v>
      </c>
      <c r="M91" s="74" t="str">
        <f t="shared" si="11"/>
        <v>1</v>
      </c>
      <c r="N91" s="29" t="str">
        <f t="shared" si="12"/>
        <v>0</v>
      </c>
      <c r="O91" s="61" t="str">
        <f t="shared" ca="1" si="13"/>
        <v>1</v>
      </c>
      <c r="P91" s="65" t="str">
        <f t="shared" si="14"/>
        <v>1</v>
      </c>
      <c r="Q91" s="46">
        <f t="shared" ca="1" si="16"/>
        <v>5</v>
      </c>
      <c r="R91" s="83" t="str">
        <f t="shared" ca="1" si="15"/>
        <v>ผ่าน</v>
      </c>
      <c r="S91" s="3" t="s">
        <v>28</v>
      </c>
    </row>
    <row r="92" spans="1:19" ht="24">
      <c r="A92" s="3">
        <v>91</v>
      </c>
      <c r="B92" s="105">
        <v>6612236126</v>
      </c>
      <c r="C92" s="4" t="s">
        <v>29</v>
      </c>
      <c r="D92" s="4" t="s">
        <v>292</v>
      </c>
      <c r="E92" s="4" t="s">
        <v>293</v>
      </c>
      <c r="F92" s="4" t="s">
        <v>294</v>
      </c>
      <c r="G92" s="4" t="s">
        <v>287</v>
      </c>
      <c r="H92" s="4" t="s">
        <v>288</v>
      </c>
      <c r="I92" s="3">
        <v>1</v>
      </c>
      <c r="J92" s="45" t="str">
        <f t="shared" si="9"/>
        <v>1</v>
      </c>
      <c r="K92" s="54" t="str">
        <f t="shared" si="17"/>
        <v>0</v>
      </c>
      <c r="L92" s="69" t="str">
        <f t="shared" si="10"/>
        <v>1</v>
      </c>
      <c r="M92" s="74" t="str">
        <f t="shared" si="11"/>
        <v>1</v>
      </c>
      <c r="N92" s="29" t="str">
        <f t="shared" si="12"/>
        <v>0</v>
      </c>
      <c r="O92" s="61" t="str">
        <f t="shared" ca="1" si="13"/>
        <v>1</v>
      </c>
      <c r="P92" s="65" t="str">
        <f t="shared" si="14"/>
        <v>0</v>
      </c>
      <c r="Q92" s="46">
        <f t="shared" ca="1" si="16"/>
        <v>4</v>
      </c>
      <c r="R92" s="83" t="str">
        <f t="shared" ca="1" si="15"/>
        <v>ผ่าน</v>
      </c>
      <c r="S92" s="3" t="s">
        <v>28</v>
      </c>
    </row>
    <row r="93" spans="1:19" ht="24">
      <c r="A93" s="3">
        <v>92</v>
      </c>
      <c r="B93" s="105">
        <v>6612236129</v>
      </c>
      <c r="C93" s="4" t="s">
        <v>29</v>
      </c>
      <c r="D93" s="4" t="s">
        <v>295</v>
      </c>
      <c r="E93" s="4" t="s">
        <v>296</v>
      </c>
      <c r="F93" s="4" t="s">
        <v>297</v>
      </c>
      <c r="G93" s="4" t="s">
        <v>287</v>
      </c>
      <c r="H93" s="4" t="s">
        <v>288</v>
      </c>
      <c r="I93" s="3">
        <v>1</v>
      </c>
      <c r="J93" s="45" t="str">
        <f t="shared" si="9"/>
        <v>1</v>
      </c>
      <c r="K93" s="54" t="str">
        <f t="shared" si="17"/>
        <v>0</v>
      </c>
      <c r="L93" s="69" t="str">
        <f t="shared" si="10"/>
        <v>1</v>
      </c>
      <c r="M93" s="74" t="str">
        <f t="shared" si="11"/>
        <v>0</v>
      </c>
      <c r="N93" s="29" t="str">
        <f t="shared" si="12"/>
        <v>1</v>
      </c>
      <c r="O93" s="61" t="str">
        <f t="shared" ca="1" si="13"/>
        <v>0</v>
      </c>
      <c r="P93" s="65" t="str">
        <f t="shared" si="14"/>
        <v>0</v>
      </c>
      <c r="Q93" s="46">
        <f t="shared" ca="1" si="16"/>
        <v>3</v>
      </c>
      <c r="R93" s="83" t="str">
        <f t="shared" ca="1" si="15"/>
        <v>ผ่าน</v>
      </c>
      <c r="S93" s="3" t="s">
        <v>28</v>
      </c>
    </row>
    <row r="94" spans="1:19" ht="24">
      <c r="A94" s="3">
        <v>93</v>
      </c>
      <c r="B94" s="105">
        <v>6612236212</v>
      </c>
      <c r="C94" s="4" t="s">
        <v>29</v>
      </c>
      <c r="D94" s="4" t="s">
        <v>298</v>
      </c>
      <c r="E94" s="4" t="s">
        <v>299</v>
      </c>
      <c r="F94" s="4" t="s">
        <v>300</v>
      </c>
      <c r="G94" s="4" t="s">
        <v>287</v>
      </c>
      <c r="H94" s="4" t="s">
        <v>288</v>
      </c>
      <c r="I94" s="3">
        <v>1</v>
      </c>
      <c r="J94" s="45" t="str">
        <f t="shared" si="9"/>
        <v>1</v>
      </c>
      <c r="K94" s="54" t="str">
        <f t="shared" si="17"/>
        <v>0</v>
      </c>
      <c r="L94" s="69" t="str">
        <f t="shared" si="10"/>
        <v>1</v>
      </c>
      <c r="M94" s="74" t="str">
        <f t="shared" si="11"/>
        <v>0</v>
      </c>
      <c r="N94" s="29" t="str">
        <f t="shared" si="12"/>
        <v>0</v>
      </c>
      <c r="O94" s="61" t="str">
        <f t="shared" ca="1" si="13"/>
        <v>0</v>
      </c>
      <c r="P94" s="65" t="str">
        <f t="shared" si="14"/>
        <v>1</v>
      </c>
      <c r="Q94" s="46">
        <f t="shared" ca="1" si="16"/>
        <v>3</v>
      </c>
      <c r="R94" s="83" t="str">
        <f t="shared" ca="1" si="15"/>
        <v>ผ่าน</v>
      </c>
      <c r="S94" s="3" t="s">
        <v>28</v>
      </c>
    </row>
    <row r="95" spans="1:19" ht="24">
      <c r="A95" s="3">
        <v>94</v>
      </c>
      <c r="B95" s="105">
        <v>6612236224</v>
      </c>
      <c r="C95" s="4" t="s">
        <v>29</v>
      </c>
      <c r="D95" s="4" t="s">
        <v>301</v>
      </c>
      <c r="E95" s="4" t="s">
        <v>302</v>
      </c>
      <c r="F95" s="4" t="s">
        <v>236</v>
      </c>
      <c r="G95" s="4" t="s">
        <v>287</v>
      </c>
      <c r="H95" s="4" t="s">
        <v>288</v>
      </c>
      <c r="I95" s="3">
        <v>1</v>
      </c>
      <c r="J95" s="45" t="str">
        <f t="shared" si="9"/>
        <v>1</v>
      </c>
      <c r="K95" s="54" t="str">
        <f t="shared" si="17"/>
        <v>0</v>
      </c>
      <c r="L95" s="69" t="str">
        <f t="shared" si="10"/>
        <v>1</v>
      </c>
      <c r="M95" s="74" t="str">
        <f t="shared" si="11"/>
        <v>0</v>
      </c>
      <c r="N95" s="29" t="str">
        <f t="shared" si="12"/>
        <v>0</v>
      </c>
      <c r="O95" s="61" t="str">
        <f t="shared" ca="1" si="13"/>
        <v>0</v>
      </c>
      <c r="P95" s="65" t="str">
        <f t="shared" si="14"/>
        <v>1</v>
      </c>
      <c r="Q95" s="46">
        <f t="shared" ca="1" si="16"/>
        <v>3</v>
      </c>
      <c r="R95" s="83" t="str">
        <f t="shared" ca="1" si="15"/>
        <v>ผ่าน</v>
      </c>
      <c r="S95" s="3" t="s">
        <v>28</v>
      </c>
    </row>
    <row r="96" spans="1:19" ht="24">
      <c r="A96" s="3">
        <v>95</v>
      </c>
      <c r="B96" s="105">
        <v>6412236113</v>
      </c>
      <c r="C96" s="4" t="s">
        <v>29</v>
      </c>
      <c r="D96" s="4" t="s">
        <v>303</v>
      </c>
      <c r="E96" s="4" t="s">
        <v>304</v>
      </c>
      <c r="F96" s="4" t="s">
        <v>305</v>
      </c>
      <c r="G96" s="4" t="s">
        <v>287</v>
      </c>
      <c r="H96" s="4" t="s">
        <v>288</v>
      </c>
      <c r="I96" s="3">
        <v>3</v>
      </c>
      <c r="J96" s="45" t="str">
        <f t="shared" si="9"/>
        <v>1</v>
      </c>
      <c r="K96" s="54" t="str">
        <f t="shared" si="17"/>
        <v>1</v>
      </c>
      <c r="L96" s="69" t="str">
        <f t="shared" si="10"/>
        <v>0</v>
      </c>
      <c r="M96" s="74" t="str">
        <f t="shared" si="11"/>
        <v>0</v>
      </c>
      <c r="N96" s="29" t="str">
        <f t="shared" si="12"/>
        <v>1</v>
      </c>
      <c r="O96" s="61" t="str">
        <f t="shared" ca="1" si="13"/>
        <v>0</v>
      </c>
      <c r="P96" s="65" t="str">
        <f t="shared" si="14"/>
        <v>1</v>
      </c>
      <c r="Q96" s="46">
        <f t="shared" ca="1" si="16"/>
        <v>4</v>
      </c>
      <c r="R96" s="83" t="str">
        <f t="shared" ca="1" si="15"/>
        <v>ผ่าน</v>
      </c>
      <c r="S96" s="3" t="s">
        <v>28</v>
      </c>
    </row>
    <row r="97" spans="1:19" ht="24">
      <c r="A97" s="3">
        <v>96</v>
      </c>
      <c r="B97" s="105">
        <v>6412236126</v>
      </c>
      <c r="C97" s="4" t="s">
        <v>29</v>
      </c>
      <c r="D97" s="4" t="s">
        <v>306</v>
      </c>
      <c r="E97" s="4" t="s">
        <v>307</v>
      </c>
      <c r="F97" s="4" t="s">
        <v>308</v>
      </c>
      <c r="G97" s="4" t="s">
        <v>287</v>
      </c>
      <c r="H97" s="4" t="s">
        <v>288</v>
      </c>
      <c r="I97" s="3">
        <v>3</v>
      </c>
      <c r="J97" s="45" t="str">
        <f t="shared" si="9"/>
        <v>1</v>
      </c>
      <c r="K97" s="54">
        <v>1</v>
      </c>
      <c r="L97" s="69" t="str">
        <f t="shared" si="10"/>
        <v>0</v>
      </c>
      <c r="M97" s="74" t="str">
        <f t="shared" si="11"/>
        <v>1</v>
      </c>
      <c r="N97" s="29" t="str">
        <f t="shared" si="12"/>
        <v>0</v>
      </c>
      <c r="O97" s="61" t="str">
        <f t="shared" ca="1" si="13"/>
        <v>1</v>
      </c>
      <c r="P97" s="65" t="str">
        <f t="shared" si="14"/>
        <v>1</v>
      </c>
      <c r="Q97" s="46">
        <f t="shared" ca="1" si="16"/>
        <v>5</v>
      </c>
      <c r="R97" s="83" t="str">
        <f t="shared" ca="1" si="15"/>
        <v>ผ่าน</v>
      </c>
      <c r="S97" s="3" t="s">
        <v>28</v>
      </c>
    </row>
    <row r="98" spans="1:19" ht="24">
      <c r="A98" s="3">
        <v>97</v>
      </c>
      <c r="B98" s="105">
        <v>6412236205</v>
      </c>
      <c r="C98" s="4" t="s">
        <v>29</v>
      </c>
      <c r="D98" s="4" t="s">
        <v>309</v>
      </c>
      <c r="E98" s="4" t="s">
        <v>310</v>
      </c>
      <c r="F98" s="4" t="s">
        <v>311</v>
      </c>
      <c r="G98" s="4" t="s">
        <v>287</v>
      </c>
      <c r="H98" s="4" t="s">
        <v>288</v>
      </c>
      <c r="I98" s="3">
        <v>3</v>
      </c>
      <c r="J98" s="45" t="str">
        <f t="shared" si="9"/>
        <v>1</v>
      </c>
      <c r="K98" s="54" t="str">
        <f t="shared" si="17"/>
        <v>1</v>
      </c>
      <c r="L98" s="69" t="str">
        <f t="shared" si="10"/>
        <v>0</v>
      </c>
      <c r="M98" s="74" t="str">
        <f t="shared" si="11"/>
        <v>0</v>
      </c>
      <c r="N98" s="29" t="str">
        <f t="shared" si="12"/>
        <v>1</v>
      </c>
      <c r="O98" s="61" t="str">
        <f t="shared" ca="1" si="13"/>
        <v>1</v>
      </c>
      <c r="P98" s="65" t="str">
        <f t="shared" si="14"/>
        <v>1</v>
      </c>
      <c r="Q98" s="46">
        <f t="shared" ca="1" si="16"/>
        <v>5</v>
      </c>
      <c r="R98" s="83" t="str">
        <f t="shared" ca="1" si="15"/>
        <v>ผ่าน</v>
      </c>
      <c r="S98" s="3" t="s">
        <v>28</v>
      </c>
    </row>
    <row r="99" spans="1:19" ht="24">
      <c r="A99" s="3">
        <v>98</v>
      </c>
      <c r="B99" s="105">
        <v>6412236223</v>
      </c>
      <c r="C99" s="4" t="s">
        <v>29</v>
      </c>
      <c r="D99" s="4" t="s">
        <v>312</v>
      </c>
      <c r="E99" s="4" t="s">
        <v>313</v>
      </c>
      <c r="F99" s="4" t="s">
        <v>41</v>
      </c>
      <c r="G99" s="4" t="s">
        <v>287</v>
      </c>
      <c r="H99" s="4" t="s">
        <v>288</v>
      </c>
      <c r="I99" s="3">
        <v>3</v>
      </c>
      <c r="J99" s="44" t="str">
        <f t="shared" si="9"/>
        <v>0</v>
      </c>
      <c r="K99" s="54" t="str">
        <f t="shared" si="17"/>
        <v>1</v>
      </c>
      <c r="L99" s="69" t="str">
        <f t="shared" si="10"/>
        <v>0</v>
      </c>
      <c r="M99" s="74" t="str">
        <f t="shared" si="11"/>
        <v>1</v>
      </c>
      <c r="N99" s="29" t="str">
        <f t="shared" si="12"/>
        <v>0</v>
      </c>
      <c r="O99" s="61" t="str">
        <f t="shared" ca="1" si="13"/>
        <v>1</v>
      </c>
      <c r="P99" s="65" t="str">
        <f t="shared" si="14"/>
        <v>1</v>
      </c>
      <c r="Q99" s="46">
        <f t="shared" ca="1" si="16"/>
        <v>4</v>
      </c>
      <c r="R99" s="83" t="str">
        <f t="shared" ca="1" si="15"/>
        <v>ผ่าน</v>
      </c>
      <c r="S99" s="3" t="s">
        <v>28</v>
      </c>
    </row>
    <row r="100" spans="1:19" ht="24">
      <c r="A100" s="3">
        <v>99</v>
      </c>
      <c r="B100" s="105">
        <v>6412236231</v>
      </c>
      <c r="C100" s="4" t="s">
        <v>29</v>
      </c>
      <c r="D100" s="4" t="s">
        <v>314</v>
      </c>
      <c r="E100" s="4" t="s">
        <v>315</v>
      </c>
      <c r="F100" s="4" t="s">
        <v>316</v>
      </c>
      <c r="G100" s="4" t="s">
        <v>287</v>
      </c>
      <c r="H100" s="4" t="s">
        <v>288</v>
      </c>
      <c r="I100" s="3">
        <v>3</v>
      </c>
      <c r="J100" s="44" t="str">
        <f t="shared" si="9"/>
        <v>0</v>
      </c>
      <c r="K100" s="54">
        <v>1</v>
      </c>
      <c r="L100" s="69" t="str">
        <f t="shared" si="10"/>
        <v>0</v>
      </c>
      <c r="M100" s="74" t="str">
        <f t="shared" si="11"/>
        <v>1</v>
      </c>
      <c r="N100" s="29" t="str">
        <f t="shared" si="12"/>
        <v>0</v>
      </c>
      <c r="O100" s="61" t="str">
        <f t="shared" ca="1" si="13"/>
        <v>1</v>
      </c>
      <c r="P100" s="65" t="str">
        <f t="shared" si="14"/>
        <v>1</v>
      </c>
      <c r="Q100" s="46">
        <f t="shared" ca="1" si="16"/>
        <v>4</v>
      </c>
      <c r="R100" s="83" t="str">
        <f t="shared" ca="1" si="15"/>
        <v>ผ่าน</v>
      </c>
      <c r="S100" s="3" t="s">
        <v>28</v>
      </c>
    </row>
    <row r="101" spans="1:19" ht="24">
      <c r="A101" s="3">
        <v>100</v>
      </c>
      <c r="B101" s="105" t="s">
        <v>317</v>
      </c>
      <c r="C101" s="4" t="s">
        <v>29</v>
      </c>
      <c r="D101" s="4" t="s">
        <v>318</v>
      </c>
      <c r="E101" s="4" t="s">
        <v>319</v>
      </c>
      <c r="F101" s="4" t="s">
        <v>300</v>
      </c>
      <c r="G101" s="4" t="s">
        <v>287</v>
      </c>
      <c r="H101" s="4" t="s">
        <v>288</v>
      </c>
      <c r="I101" s="3">
        <v>3</v>
      </c>
      <c r="J101" s="44" t="str">
        <f t="shared" si="9"/>
        <v>0</v>
      </c>
      <c r="K101" s="54" t="str">
        <f t="shared" si="17"/>
        <v>0</v>
      </c>
      <c r="L101" s="69" t="str">
        <f t="shared" si="10"/>
        <v>0</v>
      </c>
      <c r="M101" s="74" t="str">
        <f t="shared" si="11"/>
        <v>0</v>
      </c>
      <c r="N101" s="29" t="str">
        <f t="shared" si="12"/>
        <v>0</v>
      </c>
      <c r="O101" s="61" t="str">
        <f t="shared" ca="1" si="13"/>
        <v>0</v>
      </c>
      <c r="P101" s="65" t="str">
        <f t="shared" si="14"/>
        <v>0</v>
      </c>
      <c r="Q101" s="46">
        <f t="shared" ca="1" si="16"/>
        <v>0</v>
      </c>
      <c r="R101" s="3" t="str">
        <f t="shared" ca="1" si="15"/>
        <v>ไม่ผ่าน</v>
      </c>
      <c r="S101" s="3" t="s">
        <v>28</v>
      </c>
    </row>
    <row r="102" spans="1:19" ht="24">
      <c r="A102" s="3">
        <v>101</v>
      </c>
      <c r="B102" s="105">
        <v>6312236131</v>
      </c>
      <c r="C102" s="4" t="s">
        <v>29</v>
      </c>
      <c r="D102" s="4" t="s">
        <v>320</v>
      </c>
      <c r="E102" s="4" t="s">
        <v>321</v>
      </c>
      <c r="F102" s="4" t="s">
        <v>322</v>
      </c>
      <c r="G102" s="4" t="s">
        <v>287</v>
      </c>
      <c r="H102" s="4" t="s">
        <v>288</v>
      </c>
      <c r="I102" s="3">
        <v>4</v>
      </c>
      <c r="J102" s="44" t="str">
        <f t="shared" si="9"/>
        <v>0</v>
      </c>
      <c r="K102" s="54" t="str">
        <f t="shared" si="17"/>
        <v>1</v>
      </c>
      <c r="L102" s="69" t="str">
        <f t="shared" si="10"/>
        <v>0</v>
      </c>
      <c r="M102" s="74" t="str">
        <f t="shared" si="11"/>
        <v>1</v>
      </c>
      <c r="N102" s="29" t="str">
        <f t="shared" si="12"/>
        <v>0</v>
      </c>
      <c r="O102" s="61">
        <v>1</v>
      </c>
      <c r="P102" s="65">
        <v>1</v>
      </c>
      <c r="Q102" s="46">
        <f t="shared" si="16"/>
        <v>4</v>
      </c>
      <c r="R102" s="83" t="str">
        <f t="shared" si="15"/>
        <v>ผ่าน</v>
      </c>
      <c r="S102" s="3" t="s">
        <v>28</v>
      </c>
    </row>
    <row r="103" spans="1:19" ht="24">
      <c r="A103" s="3">
        <v>102</v>
      </c>
      <c r="B103" s="105">
        <v>6612721109</v>
      </c>
      <c r="C103" s="4" t="s">
        <v>29</v>
      </c>
      <c r="D103" s="4" t="s">
        <v>323</v>
      </c>
      <c r="E103" s="4" t="s">
        <v>324</v>
      </c>
      <c r="F103" s="4" t="s">
        <v>325</v>
      </c>
      <c r="G103" s="4" t="s">
        <v>287</v>
      </c>
      <c r="H103" s="4" t="s">
        <v>326</v>
      </c>
      <c r="I103" s="3">
        <v>1</v>
      </c>
      <c r="J103" s="45" t="str">
        <f t="shared" si="9"/>
        <v>1</v>
      </c>
      <c r="K103" s="54" t="str">
        <f t="shared" si="17"/>
        <v>0</v>
      </c>
      <c r="L103" s="69" t="str">
        <f t="shared" si="10"/>
        <v>1</v>
      </c>
      <c r="M103" s="74" t="str">
        <f t="shared" si="11"/>
        <v>0</v>
      </c>
      <c r="N103" s="29" t="str">
        <f t="shared" si="12"/>
        <v>1</v>
      </c>
      <c r="O103" s="61" t="str">
        <f t="shared" ca="1" si="13"/>
        <v>0</v>
      </c>
      <c r="P103" s="65" t="str">
        <f t="shared" si="14"/>
        <v>1</v>
      </c>
      <c r="Q103" s="46">
        <f t="shared" ca="1" si="16"/>
        <v>4</v>
      </c>
      <c r="R103" s="83" t="str">
        <f t="shared" ca="1" si="15"/>
        <v>ผ่าน</v>
      </c>
      <c r="S103" s="3" t="s">
        <v>28</v>
      </c>
    </row>
    <row r="104" spans="1:19" ht="24">
      <c r="A104" s="3">
        <v>103</v>
      </c>
      <c r="B104" s="105">
        <v>6612721113</v>
      </c>
      <c r="C104" s="4" t="s">
        <v>29</v>
      </c>
      <c r="D104" s="4" t="s">
        <v>327</v>
      </c>
      <c r="E104" s="4" t="s">
        <v>328</v>
      </c>
      <c r="F104" s="4" t="s">
        <v>329</v>
      </c>
      <c r="G104" s="4" t="s">
        <v>287</v>
      </c>
      <c r="H104" s="4" t="s">
        <v>326</v>
      </c>
      <c r="I104" s="3">
        <v>1</v>
      </c>
      <c r="J104" s="45" t="str">
        <f t="shared" si="9"/>
        <v>1</v>
      </c>
      <c r="K104" s="54" t="str">
        <f t="shared" si="17"/>
        <v>0</v>
      </c>
      <c r="L104" s="69" t="str">
        <f t="shared" si="10"/>
        <v>1</v>
      </c>
      <c r="M104" s="74" t="str">
        <f t="shared" si="11"/>
        <v>0</v>
      </c>
      <c r="N104" s="29" t="str">
        <f t="shared" si="12"/>
        <v>1</v>
      </c>
      <c r="O104" s="61" t="str">
        <f t="shared" ca="1" si="13"/>
        <v>0</v>
      </c>
      <c r="P104" s="65" t="str">
        <f t="shared" si="14"/>
        <v>1</v>
      </c>
      <c r="Q104" s="46">
        <f t="shared" ca="1" si="16"/>
        <v>4</v>
      </c>
      <c r="R104" s="83" t="str">
        <f t="shared" ca="1" si="15"/>
        <v>ผ่าน</v>
      </c>
      <c r="S104" s="3" t="s">
        <v>28</v>
      </c>
    </row>
    <row r="105" spans="1:19" ht="24">
      <c r="A105" s="3">
        <v>104</v>
      </c>
      <c r="B105" s="105">
        <v>6612721127</v>
      </c>
      <c r="C105" s="4" t="s">
        <v>29</v>
      </c>
      <c r="D105" s="4" t="s">
        <v>330</v>
      </c>
      <c r="E105" s="4" t="s">
        <v>331</v>
      </c>
      <c r="F105" s="4" t="s">
        <v>332</v>
      </c>
      <c r="G105" s="4" t="s">
        <v>287</v>
      </c>
      <c r="H105" s="4" t="s">
        <v>326</v>
      </c>
      <c r="I105" s="3">
        <v>1</v>
      </c>
      <c r="J105" s="45" t="str">
        <f t="shared" si="9"/>
        <v>1</v>
      </c>
      <c r="K105" s="54" t="str">
        <f t="shared" si="17"/>
        <v>0</v>
      </c>
      <c r="L105" s="69" t="str">
        <f t="shared" si="10"/>
        <v>1</v>
      </c>
      <c r="M105" s="74" t="str">
        <f t="shared" si="11"/>
        <v>0</v>
      </c>
      <c r="N105" s="29" t="str">
        <f t="shared" si="12"/>
        <v>1</v>
      </c>
      <c r="O105" s="61" t="str">
        <f t="shared" ca="1" si="13"/>
        <v>1</v>
      </c>
      <c r="P105" s="65" t="str">
        <f t="shared" si="14"/>
        <v>1</v>
      </c>
      <c r="Q105" s="46">
        <f t="shared" ca="1" si="16"/>
        <v>5</v>
      </c>
      <c r="R105" s="83" t="str">
        <f t="shared" ca="1" si="15"/>
        <v>ผ่าน</v>
      </c>
      <c r="S105" s="3" t="s">
        <v>28</v>
      </c>
    </row>
    <row r="106" spans="1:19" ht="24">
      <c r="A106" s="3">
        <v>105</v>
      </c>
      <c r="B106" s="105">
        <v>6612721207</v>
      </c>
      <c r="C106" s="4" t="s">
        <v>29</v>
      </c>
      <c r="D106" s="4" t="s">
        <v>333</v>
      </c>
      <c r="E106" s="4" t="s">
        <v>334</v>
      </c>
      <c r="F106" s="4" t="s">
        <v>222</v>
      </c>
      <c r="G106" s="4" t="s">
        <v>287</v>
      </c>
      <c r="H106" s="4" t="s">
        <v>326</v>
      </c>
      <c r="I106" s="3">
        <v>1</v>
      </c>
      <c r="J106" s="45" t="str">
        <f t="shared" si="9"/>
        <v>1</v>
      </c>
      <c r="K106" s="54" t="str">
        <f t="shared" si="17"/>
        <v>0</v>
      </c>
      <c r="L106" s="69" t="str">
        <f t="shared" si="10"/>
        <v>1</v>
      </c>
      <c r="M106" s="74" t="str">
        <f t="shared" si="11"/>
        <v>0</v>
      </c>
      <c r="N106" s="29" t="str">
        <f t="shared" si="12"/>
        <v>1</v>
      </c>
      <c r="O106" s="61" t="str">
        <f t="shared" ca="1" si="13"/>
        <v>1</v>
      </c>
      <c r="P106" s="65" t="str">
        <f t="shared" si="14"/>
        <v>1</v>
      </c>
      <c r="Q106" s="46">
        <f t="shared" ca="1" si="16"/>
        <v>5</v>
      </c>
      <c r="R106" s="83" t="str">
        <f t="shared" ca="1" si="15"/>
        <v>ผ่าน</v>
      </c>
      <c r="S106" s="3" t="s">
        <v>28</v>
      </c>
    </row>
    <row r="107" spans="1:19" ht="24">
      <c r="A107" s="3">
        <v>106</v>
      </c>
      <c r="B107" s="105">
        <v>6510207102</v>
      </c>
      <c r="C107" s="4" t="s">
        <v>22</v>
      </c>
      <c r="D107" s="4" t="s">
        <v>335</v>
      </c>
      <c r="E107" s="4" t="s">
        <v>336</v>
      </c>
      <c r="F107" s="4" t="s">
        <v>337</v>
      </c>
      <c r="G107" s="4" t="s">
        <v>287</v>
      </c>
      <c r="H107" s="4" t="s">
        <v>338</v>
      </c>
      <c r="I107" s="3">
        <v>2</v>
      </c>
      <c r="J107" s="45" t="str">
        <f t="shared" si="9"/>
        <v>1</v>
      </c>
      <c r="K107" s="54">
        <v>1</v>
      </c>
      <c r="L107" s="69" t="str">
        <f t="shared" si="10"/>
        <v>0</v>
      </c>
      <c r="M107" s="74" t="str">
        <f t="shared" si="11"/>
        <v>1</v>
      </c>
      <c r="N107" s="29" t="str">
        <f t="shared" si="12"/>
        <v>0</v>
      </c>
      <c r="O107" s="61" t="str">
        <f t="shared" ca="1" si="13"/>
        <v>1</v>
      </c>
      <c r="P107" s="65" t="str">
        <f t="shared" si="14"/>
        <v>1</v>
      </c>
      <c r="Q107" s="46">
        <f t="shared" ca="1" si="16"/>
        <v>5</v>
      </c>
      <c r="R107" s="83" t="str">
        <f t="shared" ca="1" si="15"/>
        <v>ผ่าน</v>
      </c>
      <c r="S107" s="3" t="s">
        <v>28</v>
      </c>
    </row>
    <row r="108" spans="1:19" ht="24">
      <c r="A108" s="3">
        <v>107</v>
      </c>
      <c r="B108" s="105">
        <v>6510207206</v>
      </c>
      <c r="C108" s="4" t="s">
        <v>29</v>
      </c>
      <c r="D108" s="4" t="s">
        <v>339</v>
      </c>
      <c r="E108" s="4" t="s">
        <v>340</v>
      </c>
      <c r="F108" s="4" t="s">
        <v>341</v>
      </c>
      <c r="G108" s="4" t="s">
        <v>287</v>
      </c>
      <c r="H108" s="4" t="s">
        <v>338</v>
      </c>
      <c r="I108" s="3">
        <v>2</v>
      </c>
      <c r="J108" s="45" t="str">
        <f t="shared" si="9"/>
        <v>1</v>
      </c>
      <c r="K108" s="54">
        <v>1</v>
      </c>
      <c r="L108" s="69" t="str">
        <f t="shared" si="10"/>
        <v>0</v>
      </c>
      <c r="M108" s="74" t="str">
        <f t="shared" si="11"/>
        <v>0</v>
      </c>
      <c r="N108" s="29" t="str">
        <f t="shared" si="12"/>
        <v>1</v>
      </c>
      <c r="O108" s="61" t="str">
        <f t="shared" ca="1" si="13"/>
        <v>1</v>
      </c>
      <c r="P108" s="65" t="str">
        <f t="shared" si="14"/>
        <v>1</v>
      </c>
      <c r="Q108" s="46">
        <f t="shared" ca="1" si="16"/>
        <v>5</v>
      </c>
      <c r="R108" s="83" t="str">
        <f t="shared" ca="1" si="15"/>
        <v>ผ่าน</v>
      </c>
      <c r="S108" s="3" t="s">
        <v>28</v>
      </c>
    </row>
    <row r="109" spans="1:19" ht="24">
      <c r="A109" s="3">
        <v>108</v>
      </c>
      <c r="B109" s="105">
        <v>6410207114</v>
      </c>
      <c r="C109" s="4" t="s">
        <v>29</v>
      </c>
      <c r="D109" s="4" t="s">
        <v>342</v>
      </c>
      <c r="E109" s="4" t="s">
        <v>343</v>
      </c>
      <c r="F109" s="4" t="s">
        <v>245</v>
      </c>
      <c r="G109" s="4" t="s">
        <v>287</v>
      </c>
      <c r="H109" s="4" t="s">
        <v>338</v>
      </c>
      <c r="I109" s="3">
        <v>3</v>
      </c>
      <c r="J109" s="44" t="str">
        <f t="shared" si="9"/>
        <v>0</v>
      </c>
      <c r="K109" s="54">
        <v>1</v>
      </c>
      <c r="L109" s="69" t="str">
        <f t="shared" si="10"/>
        <v>0</v>
      </c>
      <c r="M109" s="74" t="str">
        <f t="shared" si="11"/>
        <v>1</v>
      </c>
      <c r="N109" s="29" t="str">
        <f t="shared" si="12"/>
        <v>0</v>
      </c>
      <c r="O109" s="61" t="str">
        <f t="shared" ca="1" si="13"/>
        <v>1</v>
      </c>
      <c r="P109" s="65" t="str">
        <f t="shared" si="14"/>
        <v>0</v>
      </c>
      <c r="Q109" s="46">
        <f t="shared" ca="1" si="16"/>
        <v>3</v>
      </c>
      <c r="R109" s="83" t="str">
        <f t="shared" ca="1" si="15"/>
        <v>ผ่าน</v>
      </c>
      <c r="S109" s="3" t="s">
        <v>28</v>
      </c>
    </row>
    <row r="110" spans="1:19" ht="24">
      <c r="A110" s="3">
        <v>109</v>
      </c>
      <c r="B110" s="105">
        <v>6410207115</v>
      </c>
      <c r="C110" s="4" t="s">
        <v>29</v>
      </c>
      <c r="D110" s="4" t="s">
        <v>344</v>
      </c>
      <c r="E110" s="4" t="s">
        <v>345</v>
      </c>
      <c r="F110" s="4" t="s">
        <v>346</v>
      </c>
      <c r="G110" s="4" t="s">
        <v>287</v>
      </c>
      <c r="H110" s="4" t="s">
        <v>338</v>
      </c>
      <c r="I110" s="3">
        <v>3</v>
      </c>
      <c r="J110" s="44" t="str">
        <f t="shared" si="9"/>
        <v>0</v>
      </c>
      <c r="K110" s="54">
        <v>1</v>
      </c>
      <c r="L110" s="69" t="str">
        <f t="shared" si="10"/>
        <v>0</v>
      </c>
      <c r="M110" s="74" t="str">
        <f t="shared" si="11"/>
        <v>1</v>
      </c>
      <c r="N110" s="29" t="str">
        <f t="shared" si="12"/>
        <v>0</v>
      </c>
      <c r="O110" s="61" t="str">
        <f t="shared" ca="1" si="13"/>
        <v>1</v>
      </c>
      <c r="P110" s="65" t="str">
        <f t="shared" si="14"/>
        <v>1</v>
      </c>
      <c r="Q110" s="46">
        <f t="shared" ca="1" si="16"/>
        <v>4</v>
      </c>
      <c r="R110" s="83" t="str">
        <f t="shared" ca="1" si="15"/>
        <v>ผ่าน</v>
      </c>
      <c r="S110" s="3" t="s">
        <v>28</v>
      </c>
    </row>
    <row r="111" spans="1:19" ht="24">
      <c r="A111" s="3">
        <v>110</v>
      </c>
      <c r="B111" s="105">
        <v>6410207117</v>
      </c>
      <c r="C111" s="4" t="s">
        <v>29</v>
      </c>
      <c r="D111" s="4" t="s">
        <v>347</v>
      </c>
      <c r="E111" s="4" t="s">
        <v>348</v>
      </c>
      <c r="F111" s="4" t="s">
        <v>78</v>
      </c>
      <c r="G111" s="4" t="s">
        <v>287</v>
      </c>
      <c r="H111" s="4" t="s">
        <v>338</v>
      </c>
      <c r="I111" s="3">
        <v>3</v>
      </c>
      <c r="J111" s="44" t="str">
        <f t="shared" si="9"/>
        <v>0</v>
      </c>
      <c r="K111" s="54">
        <v>1</v>
      </c>
      <c r="L111" s="69" t="str">
        <f t="shared" si="10"/>
        <v>0</v>
      </c>
      <c r="M111" s="74" t="str">
        <f t="shared" si="11"/>
        <v>1</v>
      </c>
      <c r="N111" s="29" t="str">
        <f t="shared" si="12"/>
        <v>0</v>
      </c>
      <c r="O111" s="61" t="str">
        <f t="shared" ca="1" si="13"/>
        <v>1</v>
      </c>
      <c r="P111" s="65" t="str">
        <f t="shared" si="14"/>
        <v>0</v>
      </c>
      <c r="Q111" s="46">
        <f t="shared" ca="1" si="16"/>
        <v>3</v>
      </c>
      <c r="R111" s="83" t="str">
        <f t="shared" ca="1" si="15"/>
        <v>ผ่าน</v>
      </c>
      <c r="S111" s="3" t="s">
        <v>28</v>
      </c>
    </row>
    <row r="112" spans="1:19" ht="24">
      <c r="A112" s="3">
        <v>111</v>
      </c>
      <c r="B112" s="105">
        <v>6410207125</v>
      </c>
      <c r="C112" s="4" t="s">
        <v>29</v>
      </c>
      <c r="D112" s="4" t="s">
        <v>349</v>
      </c>
      <c r="E112" s="4" t="s">
        <v>350</v>
      </c>
      <c r="F112" s="4" t="s">
        <v>233</v>
      </c>
      <c r="G112" s="4" t="s">
        <v>287</v>
      </c>
      <c r="H112" s="4" t="s">
        <v>338</v>
      </c>
      <c r="I112" s="3">
        <v>3</v>
      </c>
      <c r="J112" s="44" t="str">
        <f t="shared" si="9"/>
        <v>0</v>
      </c>
      <c r="K112" s="54">
        <v>1</v>
      </c>
      <c r="L112" s="69" t="str">
        <f t="shared" si="10"/>
        <v>0</v>
      </c>
      <c r="M112" s="74" t="str">
        <f t="shared" si="11"/>
        <v>1</v>
      </c>
      <c r="N112" s="29" t="str">
        <f t="shared" si="12"/>
        <v>0</v>
      </c>
      <c r="O112" s="61" t="str">
        <f t="shared" ca="1" si="13"/>
        <v>1</v>
      </c>
      <c r="P112" s="65" t="str">
        <f t="shared" si="14"/>
        <v>1</v>
      </c>
      <c r="Q112" s="46">
        <f t="shared" ca="1" si="16"/>
        <v>4</v>
      </c>
      <c r="R112" s="83" t="str">
        <f t="shared" ca="1" si="15"/>
        <v>ผ่าน</v>
      </c>
      <c r="S112" s="3" t="s">
        <v>28</v>
      </c>
    </row>
    <row r="113" spans="1:19" ht="24">
      <c r="A113" s="3">
        <v>112</v>
      </c>
      <c r="B113" s="105">
        <v>6410207201</v>
      </c>
      <c r="C113" s="4" t="s">
        <v>22</v>
      </c>
      <c r="D113" s="4" t="s">
        <v>351</v>
      </c>
      <c r="E113" s="4" t="s">
        <v>352</v>
      </c>
      <c r="F113" s="4" t="s">
        <v>353</v>
      </c>
      <c r="G113" s="4" t="s">
        <v>287</v>
      </c>
      <c r="H113" s="4" t="s">
        <v>338</v>
      </c>
      <c r="I113" s="3">
        <v>3</v>
      </c>
      <c r="J113" s="44" t="str">
        <f t="shared" si="9"/>
        <v>0</v>
      </c>
      <c r="K113" s="54">
        <v>1</v>
      </c>
      <c r="L113" s="69" t="str">
        <f t="shared" si="10"/>
        <v>0</v>
      </c>
      <c r="M113" s="74" t="str">
        <f t="shared" si="11"/>
        <v>0</v>
      </c>
      <c r="N113" s="29" t="str">
        <f t="shared" si="12"/>
        <v>0</v>
      </c>
      <c r="O113" s="61" t="str">
        <f t="shared" ca="1" si="13"/>
        <v>1</v>
      </c>
      <c r="P113" s="65" t="str">
        <f t="shared" si="14"/>
        <v>0</v>
      </c>
      <c r="Q113" s="46">
        <f t="shared" ca="1" si="16"/>
        <v>2</v>
      </c>
      <c r="R113" s="3" t="str">
        <f t="shared" ca="1" si="15"/>
        <v>ไม่ผ่าน</v>
      </c>
      <c r="S113" s="3" t="s">
        <v>28</v>
      </c>
    </row>
    <row r="114" spans="1:19" ht="24">
      <c r="A114" s="3">
        <v>113</v>
      </c>
      <c r="B114" s="105">
        <v>6410207205</v>
      </c>
      <c r="C114" s="4" t="s">
        <v>29</v>
      </c>
      <c r="D114" s="4" t="s">
        <v>354</v>
      </c>
      <c r="E114" s="4" t="s">
        <v>355</v>
      </c>
      <c r="F114" s="4" t="s">
        <v>356</v>
      </c>
      <c r="G114" s="4" t="s">
        <v>287</v>
      </c>
      <c r="H114" s="4" t="s">
        <v>338</v>
      </c>
      <c r="I114" s="3">
        <v>3</v>
      </c>
      <c r="J114" s="44" t="str">
        <f t="shared" si="9"/>
        <v>0</v>
      </c>
      <c r="K114" s="54" t="str">
        <f t="shared" si="17"/>
        <v>1</v>
      </c>
      <c r="L114" s="69" t="str">
        <f t="shared" si="10"/>
        <v>0</v>
      </c>
      <c r="M114" s="74" t="str">
        <f t="shared" si="11"/>
        <v>1</v>
      </c>
      <c r="N114" s="29" t="str">
        <f t="shared" si="12"/>
        <v>0</v>
      </c>
      <c r="O114" s="61" t="str">
        <f t="shared" ca="1" si="13"/>
        <v>1</v>
      </c>
      <c r="P114" s="65" t="str">
        <f t="shared" si="14"/>
        <v>1</v>
      </c>
      <c r="Q114" s="46">
        <f t="shared" ca="1" si="16"/>
        <v>4</v>
      </c>
      <c r="R114" s="83" t="str">
        <f t="shared" ca="1" si="15"/>
        <v>ผ่าน</v>
      </c>
      <c r="S114" s="3" t="s">
        <v>28</v>
      </c>
    </row>
    <row r="115" spans="1:19" ht="24">
      <c r="A115" s="3">
        <v>114</v>
      </c>
      <c r="B115" s="105">
        <v>6410207207</v>
      </c>
      <c r="C115" s="4" t="s">
        <v>29</v>
      </c>
      <c r="D115" s="4" t="s">
        <v>357</v>
      </c>
      <c r="E115" s="4" t="s">
        <v>358</v>
      </c>
      <c r="F115" s="4" t="s">
        <v>359</v>
      </c>
      <c r="G115" s="4" t="s">
        <v>287</v>
      </c>
      <c r="H115" s="4" t="s">
        <v>338</v>
      </c>
      <c r="I115" s="3">
        <v>3</v>
      </c>
      <c r="J115" s="44" t="str">
        <f t="shared" si="9"/>
        <v>0</v>
      </c>
      <c r="K115" s="54">
        <v>1</v>
      </c>
      <c r="L115" s="69" t="str">
        <f t="shared" si="10"/>
        <v>0</v>
      </c>
      <c r="M115" s="74" t="str">
        <f t="shared" si="11"/>
        <v>1</v>
      </c>
      <c r="N115" s="29" t="str">
        <f t="shared" si="12"/>
        <v>0</v>
      </c>
      <c r="O115" s="61" t="str">
        <f t="shared" ca="1" si="13"/>
        <v>1</v>
      </c>
      <c r="P115" s="65" t="str">
        <f t="shared" si="14"/>
        <v>1</v>
      </c>
      <c r="Q115" s="46">
        <f t="shared" ca="1" si="16"/>
        <v>4</v>
      </c>
      <c r="R115" s="83" t="str">
        <f t="shared" ca="1" si="15"/>
        <v>ผ่าน</v>
      </c>
      <c r="S115" s="3" t="s">
        <v>28</v>
      </c>
    </row>
    <row r="116" spans="1:19" ht="24">
      <c r="A116" s="3">
        <v>115</v>
      </c>
      <c r="B116" s="105">
        <v>6410207225</v>
      </c>
      <c r="C116" s="4" t="s">
        <v>29</v>
      </c>
      <c r="D116" s="4" t="s">
        <v>360</v>
      </c>
      <c r="E116" s="4" t="s">
        <v>361</v>
      </c>
      <c r="F116" s="4" t="s">
        <v>362</v>
      </c>
      <c r="G116" s="4" t="s">
        <v>287</v>
      </c>
      <c r="H116" s="4" t="s">
        <v>338</v>
      </c>
      <c r="I116" s="3">
        <v>3</v>
      </c>
      <c r="J116" s="44" t="str">
        <f t="shared" si="9"/>
        <v>0</v>
      </c>
      <c r="K116" s="54" t="str">
        <f t="shared" si="17"/>
        <v>1</v>
      </c>
      <c r="L116" s="69" t="str">
        <f t="shared" si="10"/>
        <v>0</v>
      </c>
      <c r="M116" s="74" t="str">
        <f t="shared" si="11"/>
        <v>1</v>
      </c>
      <c r="N116" s="29" t="str">
        <f t="shared" si="12"/>
        <v>0</v>
      </c>
      <c r="O116" s="61" t="str">
        <f t="shared" ca="1" si="13"/>
        <v>1</v>
      </c>
      <c r="P116" s="65" t="str">
        <f t="shared" si="14"/>
        <v>1</v>
      </c>
      <c r="Q116" s="46">
        <f t="shared" ca="1" si="16"/>
        <v>4</v>
      </c>
      <c r="R116" s="83" t="str">
        <f t="shared" ca="1" si="15"/>
        <v>ผ่าน</v>
      </c>
      <c r="S116" s="3" t="s">
        <v>28</v>
      </c>
    </row>
    <row r="117" spans="1:19" ht="24">
      <c r="A117" s="3">
        <v>116</v>
      </c>
      <c r="B117" s="105">
        <v>6410207226</v>
      </c>
      <c r="C117" s="4" t="s">
        <v>29</v>
      </c>
      <c r="D117" s="4" t="s">
        <v>363</v>
      </c>
      <c r="E117" s="4" t="s">
        <v>364</v>
      </c>
      <c r="F117" s="4" t="s">
        <v>365</v>
      </c>
      <c r="G117" s="4" t="s">
        <v>287</v>
      </c>
      <c r="H117" s="4" t="s">
        <v>338</v>
      </c>
      <c r="I117" s="3">
        <v>3</v>
      </c>
      <c r="J117" s="44" t="str">
        <f t="shared" si="9"/>
        <v>0</v>
      </c>
      <c r="K117" s="54" t="str">
        <f t="shared" si="17"/>
        <v>1</v>
      </c>
      <c r="L117" s="69" t="str">
        <f t="shared" si="10"/>
        <v>0</v>
      </c>
      <c r="M117" s="74" t="str">
        <f t="shared" si="11"/>
        <v>1</v>
      </c>
      <c r="N117" s="29" t="str">
        <f t="shared" si="12"/>
        <v>0</v>
      </c>
      <c r="O117" s="61" t="str">
        <f t="shared" ca="1" si="13"/>
        <v>1</v>
      </c>
      <c r="P117" s="65" t="str">
        <f t="shared" si="14"/>
        <v>1</v>
      </c>
      <c r="Q117" s="46">
        <f t="shared" ca="1" si="16"/>
        <v>4</v>
      </c>
      <c r="R117" s="83" t="str">
        <f t="shared" ca="1" si="15"/>
        <v>ผ่าน</v>
      </c>
      <c r="S117" s="3" t="s">
        <v>28</v>
      </c>
    </row>
    <row r="118" spans="1:19" ht="24">
      <c r="A118" s="3">
        <v>117</v>
      </c>
      <c r="B118" s="105">
        <v>6310207111</v>
      </c>
      <c r="C118" s="4" t="s">
        <v>29</v>
      </c>
      <c r="D118" s="4" t="s">
        <v>366</v>
      </c>
      <c r="E118" s="4" t="s">
        <v>367</v>
      </c>
      <c r="F118" s="4" t="s">
        <v>300</v>
      </c>
      <c r="G118" s="4" t="s">
        <v>287</v>
      </c>
      <c r="H118" s="4" t="s">
        <v>338</v>
      </c>
      <c r="I118" s="3">
        <v>4</v>
      </c>
      <c r="J118" s="44" t="str">
        <f t="shared" si="9"/>
        <v>0</v>
      </c>
      <c r="K118" s="54" t="str">
        <f t="shared" si="17"/>
        <v>1</v>
      </c>
      <c r="L118" s="69" t="str">
        <f t="shared" si="10"/>
        <v>0</v>
      </c>
      <c r="M118" s="74" t="str">
        <f t="shared" si="11"/>
        <v>1</v>
      </c>
      <c r="N118" s="29" t="str">
        <f t="shared" si="12"/>
        <v>0</v>
      </c>
      <c r="O118" s="61">
        <v>1</v>
      </c>
      <c r="P118" s="65">
        <v>1</v>
      </c>
      <c r="Q118" s="46">
        <f t="shared" si="16"/>
        <v>4</v>
      </c>
      <c r="R118" s="83" t="str">
        <f t="shared" si="15"/>
        <v>ผ่าน</v>
      </c>
      <c r="S118" s="3" t="s">
        <v>28</v>
      </c>
    </row>
    <row r="119" spans="1:19" ht="24">
      <c r="A119" s="3">
        <v>118</v>
      </c>
      <c r="B119" s="105">
        <v>6310207112</v>
      </c>
      <c r="C119" s="4" t="s">
        <v>29</v>
      </c>
      <c r="D119" s="4" t="s">
        <v>368</v>
      </c>
      <c r="E119" s="4" t="s">
        <v>369</v>
      </c>
      <c r="F119" s="4" t="s">
        <v>370</v>
      </c>
      <c r="G119" s="4" t="s">
        <v>287</v>
      </c>
      <c r="H119" s="4" t="s">
        <v>338</v>
      </c>
      <c r="I119" s="3">
        <v>4</v>
      </c>
      <c r="J119" s="44" t="str">
        <f t="shared" si="9"/>
        <v>0</v>
      </c>
      <c r="K119" s="54" t="str">
        <f t="shared" si="17"/>
        <v>0</v>
      </c>
      <c r="L119" s="69" t="str">
        <f t="shared" si="10"/>
        <v>1</v>
      </c>
      <c r="M119" s="74" t="str">
        <f t="shared" si="11"/>
        <v>1</v>
      </c>
      <c r="N119" s="29" t="str">
        <f t="shared" si="12"/>
        <v>0</v>
      </c>
      <c r="O119" s="61">
        <v>1</v>
      </c>
      <c r="P119" s="65">
        <v>1</v>
      </c>
      <c r="Q119" s="46">
        <f t="shared" si="16"/>
        <v>4</v>
      </c>
      <c r="R119" s="83" t="str">
        <f t="shared" si="15"/>
        <v>ผ่าน</v>
      </c>
      <c r="S119" s="3" t="s">
        <v>28</v>
      </c>
    </row>
    <row r="120" spans="1:19" ht="24">
      <c r="A120" s="3">
        <v>119</v>
      </c>
      <c r="B120" s="105">
        <v>6310207120</v>
      </c>
      <c r="C120" s="4" t="s">
        <v>29</v>
      </c>
      <c r="D120" s="4" t="s">
        <v>371</v>
      </c>
      <c r="E120" s="4" t="s">
        <v>372</v>
      </c>
      <c r="F120" s="4" t="s">
        <v>373</v>
      </c>
      <c r="G120" s="4" t="s">
        <v>287</v>
      </c>
      <c r="H120" s="4" t="s">
        <v>338</v>
      </c>
      <c r="I120" s="3">
        <v>4</v>
      </c>
      <c r="J120" s="44" t="str">
        <f t="shared" si="9"/>
        <v>0</v>
      </c>
      <c r="K120" s="54" t="str">
        <f t="shared" si="17"/>
        <v>0</v>
      </c>
      <c r="L120" s="69" t="str">
        <f t="shared" si="10"/>
        <v>0</v>
      </c>
      <c r="M120" s="74" t="str">
        <f t="shared" si="11"/>
        <v>1</v>
      </c>
      <c r="N120" s="29" t="str">
        <f t="shared" si="12"/>
        <v>0</v>
      </c>
      <c r="O120" s="61">
        <v>1</v>
      </c>
      <c r="P120" s="65">
        <v>1</v>
      </c>
      <c r="Q120" s="46">
        <f t="shared" si="16"/>
        <v>3</v>
      </c>
      <c r="R120" s="83" t="str">
        <f t="shared" si="15"/>
        <v>ผ่าน</v>
      </c>
      <c r="S120" s="3" t="s">
        <v>28</v>
      </c>
    </row>
    <row r="121" spans="1:19" ht="24">
      <c r="A121" s="3">
        <v>120</v>
      </c>
      <c r="B121" s="105">
        <v>6310207206</v>
      </c>
      <c r="C121" s="4" t="s">
        <v>29</v>
      </c>
      <c r="D121" s="4" t="s">
        <v>135</v>
      </c>
      <c r="E121" s="4" t="s">
        <v>374</v>
      </c>
      <c r="F121" s="4" t="s">
        <v>127</v>
      </c>
      <c r="G121" s="4" t="s">
        <v>287</v>
      </c>
      <c r="H121" s="4" t="s">
        <v>338</v>
      </c>
      <c r="I121" s="3">
        <v>4</v>
      </c>
      <c r="J121" s="44" t="str">
        <f t="shared" si="9"/>
        <v>0</v>
      </c>
      <c r="K121" s="54" t="str">
        <f t="shared" si="17"/>
        <v>1</v>
      </c>
      <c r="L121" s="69" t="str">
        <f t="shared" si="10"/>
        <v>0</v>
      </c>
      <c r="M121" s="74" t="str">
        <f t="shared" si="11"/>
        <v>1</v>
      </c>
      <c r="N121" s="29" t="str">
        <f t="shared" si="12"/>
        <v>0</v>
      </c>
      <c r="O121" s="61" t="str">
        <f t="shared" ca="1" si="13"/>
        <v>1</v>
      </c>
      <c r="P121" s="65">
        <v>1</v>
      </c>
      <c r="Q121" s="46">
        <f t="shared" ca="1" si="16"/>
        <v>4</v>
      </c>
      <c r="R121" s="83" t="str">
        <f t="shared" ca="1" si="15"/>
        <v>ผ่าน</v>
      </c>
      <c r="S121" s="3" t="s">
        <v>28</v>
      </c>
    </row>
    <row r="122" spans="1:19" ht="24">
      <c r="A122" s="3">
        <v>121</v>
      </c>
      <c r="B122" s="105">
        <v>6310207210</v>
      </c>
      <c r="C122" s="4" t="s">
        <v>29</v>
      </c>
      <c r="D122" s="4" t="s">
        <v>375</v>
      </c>
      <c r="E122" s="4" t="s">
        <v>376</v>
      </c>
      <c r="F122" s="4" t="s">
        <v>377</v>
      </c>
      <c r="G122" s="4" t="s">
        <v>287</v>
      </c>
      <c r="H122" s="4" t="s">
        <v>338</v>
      </c>
      <c r="I122" s="3">
        <v>4</v>
      </c>
      <c r="J122" s="44" t="str">
        <f t="shared" si="9"/>
        <v>0</v>
      </c>
      <c r="K122" s="54" t="str">
        <f t="shared" si="17"/>
        <v>1</v>
      </c>
      <c r="L122" s="69" t="str">
        <f t="shared" si="10"/>
        <v>0</v>
      </c>
      <c r="M122" s="74" t="str">
        <f t="shared" si="11"/>
        <v>1</v>
      </c>
      <c r="N122" s="29" t="str">
        <f t="shared" si="12"/>
        <v>0</v>
      </c>
      <c r="O122" s="61" t="str">
        <f t="shared" ca="1" si="13"/>
        <v>1</v>
      </c>
      <c r="P122" s="65">
        <v>1</v>
      </c>
      <c r="Q122" s="46">
        <f t="shared" ca="1" si="16"/>
        <v>4</v>
      </c>
      <c r="R122" s="83" t="str">
        <f t="shared" ca="1" si="15"/>
        <v>ผ่าน</v>
      </c>
      <c r="S122" s="3" t="s">
        <v>28</v>
      </c>
    </row>
    <row r="123" spans="1:19" ht="24">
      <c r="A123" s="3">
        <v>122</v>
      </c>
      <c r="B123" s="105">
        <v>6310207215</v>
      </c>
      <c r="C123" s="4" t="s">
        <v>29</v>
      </c>
      <c r="D123" s="4" t="s">
        <v>378</v>
      </c>
      <c r="E123" s="4" t="s">
        <v>379</v>
      </c>
      <c r="F123" s="4" t="s">
        <v>380</v>
      </c>
      <c r="G123" s="4" t="s">
        <v>287</v>
      </c>
      <c r="H123" s="4" t="s">
        <v>338</v>
      </c>
      <c r="I123" s="3">
        <v>4</v>
      </c>
      <c r="J123" s="44" t="str">
        <f t="shared" si="9"/>
        <v>0</v>
      </c>
      <c r="K123" s="54" t="str">
        <f t="shared" si="17"/>
        <v>1</v>
      </c>
      <c r="L123" s="69" t="str">
        <f t="shared" si="10"/>
        <v>0</v>
      </c>
      <c r="M123" s="74" t="str">
        <f t="shared" si="11"/>
        <v>1</v>
      </c>
      <c r="N123" s="29" t="str">
        <f t="shared" si="12"/>
        <v>0</v>
      </c>
      <c r="O123" s="61">
        <v>1</v>
      </c>
      <c r="P123" s="65">
        <v>1</v>
      </c>
      <c r="Q123" s="46">
        <f t="shared" si="16"/>
        <v>4</v>
      </c>
      <c r="R123" s="83" t="str">
        <f t="shared" si="15"/>
        <v>ผ่าน</v>
      </c>
      <c r="S123" s="3" t="s">
        <v>28</v>
      </c>
    </row>
    <row r="124" spans="1:19" ht="24">
      <c r="A124" s="3">
        <v>123</v>
      </c>
      <c r="B124" s="105">
        <v>6610633104</v>
      </c>
      <c r="C124" s="4" t="s">
        <v>22</v>
      </c>
      <c r="D124" s="4" t="s">
        <v>381</v>
      </c>
      <c r="E124" s="4" t="s">
        <v>382</v>
      </c>
      <c r="F124" s="4" t="s">
        <v>383</v>
      </c>
      <c r="G124" s="4" t="s">
        <v>287</v>
      </c>
      <c r="H124" s="4" t="s">
        <v>384</v>
      </c>
      <c r="I124" s="3">
        <v>1</v>
      </c>
      <c r="J124" s="45" t="str">
        <f t="shared" si="9"/>
        <v>1</v>
      </c>
      <c r="K124" s="54" t="str">
        <f t="shared" si="17"/>
        <v>0</v>
      </c>
      <c r="L124" s="69" t="str">
        <f t="shared" si="10"/>
        <v>1</v>
      </c>
      <c r="M124" s="74" t="str">
        <f t="shared" si="11"/>
        <v>0</v>
      </c>
      <c r="N124" s="29" t="str">
        <f t="shared" si="12"/>
        <v>1</v>
      </c>
      <c r="O124" s="61" t="str">
        <f t="shared" ca="1" si="13"/>
        <v>1</v>
      </c>
      <c r="P124" s="65" t="str">
        <f t="shared" si="14"/>
        <v>1</v>
      </c>
      <c r="Q124" s="46">
        <f t="shared" ca="1" si="16"/>
        <v>5</v>
      </c>
      <c r="R124" s="83" t="str">
        <f t="shared" ca="1" si="15"/>
        <v>ผ่าน</v>
      </c>
      <c r="S124" s="3" t="s">
        <v>28</v>
      </c>
    </row>
    <row r="125" spans="1:19" ht="24">
      <c r="A125" s="3">
        <v>124</v>
      </c>
      <c r="B125" s="105">
        <v>6610633106</v>
      </c>
      <c r="C125" s="4" t="s">
        <v>22</v>
      </c>
      <c r="D125" s="4" t="s">
        <v>385</v>
      </c>
      <c r="E125" s="4" t="s">
        <v>386</v>
      </c>
      <c r="F125" s="4" t="s">
        <v>115</v>
      </c>
      <c r="G125" s="4" t="s">
        <v>287</v>
      </c>
      <c r="H125" s="4" t="s">
        <v>384</v>
      </c>
      <c r="I125" s="3">
        <v>1</v>
      </c>
      <c r="J125" s="45" t="str">
        <f t="shared" si="9"/>
        <v>1</v>
      </c>
      <c r="K125" s="54" t="str">
        <f t="shared" si="17"/>
        <v>0</v>
      </c>
      <c r="L125" s="69" t="str">
        <f t="shared" si="10"/>
        <v>1</v>
      </c>
      <c r="M125" s="74" t="str">
        <f t="shared" si="11"/>
        <v>0</v>
      </c>
      <c r="N125" s="29" t="str">
        <f t="shared" si="12"/>
        <v>1</v>
      </c>
      <c r="O125" s="61" t="str">
        <f t="shared" ca="1" si="13"/>
        <v>1</v>
      </c>
      <c r="P125" s="65" t="str">
        <f t="shared" si="14"/>
        <v>1</v>
      </c>
      <c r="Q125" s="46">
        <f t="shared" ca="1" si="16"/>
        <v>5</v>
      </c>
      <c r="R125" s="83" t="str">
        <f t="shared" ca="1" si="15"/>
        <v>ผ่าน</v>
      </c>
      <c r="S125" s="3" t="s">
        <v>28</v>
      </c>
    </row>
    <row r="126" spans="1:19" ht="24">
      <c r="A126" s="3">
        <v>125</v>
      </c>
      <c r="B126" s="105">
        <v>6610633107</v>
      </c>
      <c r="C126" s="4" t="s">
        <v>22</v>
      </c>
      <c r="D126" s="4" t="s">
        <v>387</v>
      </c>
      <c r="E126" s="4" t="s">
        <v>388</v>
      </c>
      <c r="F126" s="4" t="s">
        <v>389</v>
      </c>
      <c r="G126" s="4" t="s">
        <v>287</v>
      </c>
      <c r="H126" s="4" t="s">
        <v>384</v>
      </c>
      <c r="I126" s="3">
        <v>1</v>
      </c>
      <c r="J126" s="45" t="str">
        <f t="shared" si="9"/>
        <v>1</v>
      </c>
      <c r="K126" s="54" t="str">
        <f t="shared" si="17"/>
        <v>1</v>
      </c>
      <c r="L126" s="69" t="str">
        <f t="shared" si="10"/>
        <v>0</v>
      </c>
      <c r="M126" s="74" t="str">
        <f t="shared" si="11"/>
        <v>0</v>
      </c>
      <c r="N126" s="29" t="str">
        <f t="shared" si="12"/>
        <v>0</v>
      </c>
      <c r="O126" s="61" t="str">
        <f t="shared" ca="1" si="13"/>
        <v>1</v>
      </c>
      <c r="P126" s="65" t="str">
        <f t="shared" si="14"/>
        <v>1</v>
      </c>
      <c r="Q126" s="46">
        <f t="shared" ca="1" si="16"/>
        <v>4</v>
      </c>
      <c r="R126" s="83" t="str">
        <f t="shared" ca="1" si="15"/>
        <v>ผ่าน</v>
      </c>
      <c r="S126" s="3" t="s">
        <v>28</v>
      </c>
    </row>
    <row r="127" spans="1:19" ht="24">
      <c r="A127" s="3">
        <v>126</v>
      </c>
      <c r="B127" s="105">
        <v>6610633108</v>
      </c>
      <c r="C127" s="4" t="s">
        <v>22</v>
      </c>
      <c r="D127" s="4" t="s">
        <v>113</v>
      </c>
      <c r="E127" s="4" t="s">
        <v>390</v>
      </c>
      <c r="F127" s="4" t="s">
        <v>391</v>
      </c>
      <c r="G127" s="4" t="s">
        <v>287</v>
      </c>
      <c r="H127" s="4" t="s">
        <v>384</v>
      </c>
      <c r="I127" s="3">
        <v>1</v>
      </c>
      <c r="J127" s="45" t="str">
        <f t="shared" si="9"/>
        <v>1</v>
      </c>
      <c r="K127" s="54" t="str">
        <f t="shared" si="17"/>
        <v>0</v>
      </c>
      <c r="L127" s="69" t="str">
        <f t="shared" si="10"/>
        <v>1</v>
      </c>
      <c r="M127" s="74" t="str">
        <f t="shared" si="11"/>
        <v>0</v>
      </c>
      <c r="N127" s="29" t="str">
        <f t="shared" si="12"/>
        <v>1</v>
      </c>
      <c r="O127" s="61" t="str">
        <f t="shared" ca="1" si="13"/>
        <v>1</v>
      </c>
      <c r="P127" s="65" t="str">
        <f t="shared" si="14"/>
        <v>1</v>
      </c>
      <c r="Q127" s="46">
        <f t="shared" ca="1" si="16"/>
        <v>5</v>
      </c>
      <c r="R127" s="83" t="str">
        <f t="shared" ca="1" si="15"/>
        <v>ผ่าน</v>
      </c>
      <c r="S127" s="3" t="s">
        <v>28</v>
      </c>
    </row>
    <row r="128" spans="1:19" ht="24">
      <c r="A128" s="3">
        <v>127</v>
      </c>
      <c r="B128" s="105">
        <v>6610633110</v>
      </c>
      <c r="C128" s="4" t="s">
        <v>22</v>
      </c>
      <c r="D128" s="4" t="s">
        <v>392</v>
      </c>
      <c r="E128" s="4" t="s">
        <v>393</v>
      </c>
      <c r="F128" s="4" t="s">
        <v>394</v>
      </c>
      <c r="G128" s="4" t="s">
        <v>287</v>
      </c>
      <c r="H128" s="4" t="s">
        <v>384</v>
      </c>
      <c r="I128" s="3">
        <v>1</v>
      </c>
      <c r="J128" s="44" t="str">
        <f t="shared" si="9"/>
        <v>0</v>
      </c>
      <c r="K128" s="54" t="str">
        <f t="shared" si="17"/>
        <v>0</v>
      </c>
      <c r="L128" s="69" t="str">
        <f t="shared" si="10"/>
        <v>1</v>
      </c>
      <c r="M128" s="74" t="str">
        <f t="shared" si="11"/>
        <v>0</v>
      </c>
      <c r="N128" s="29" t="str">
        <f t="shared" si="12"/>
        <v>0</v>
      </c>
      <c r="O128" s="61" t="str">
        <f t="shared" ca="1" si="13"/>
        <v>0</v>
      </c>
      <c r="P128" s="65" t="str">
        <f t="shared" si="14"/>
        <v>0</v>
      </c>
      <c r="Q128" s="46">
        <f t="shared" ca="1" si="16"/>
        <v>1</v>
      </c>
      <c r="R128" s="84" t="s">
        <v>395</v>
      </c>
      <c r="S128" s="3" t="s">
        <v>28</v>
      </c>
    </row>
    <row r="129" spans="1:19" ht="24">
      <c r="A129" s="3">
        <v>128</v>
      </c>
      <c r="B129" s="105">
        <v>6610633111</v>
      </c>
      <c r="C129" s="4" t="s">
        <v>22</v>
      </c>
      <c r="D129" s="4" t="s">
        <v>396</v>
      </c>
      <c r="E129" s="4" t="s">
        <v>397</v>
      </c>
      <c r="F129" s="4" t="s">
        <v>398</v>
      </c>
      <c r="G129" s="4" t="s">
        <v>287</v>
      </c>
      <c r="H129" s="4" t="s">
        <v>384</v>
      </c>
      <c r="I129" s="3">
        <v>1</v>
      </c>
      <c r="J129" s="45" t="str">
        <f t="shared" si="9"/>
        <v>1</v>
      </c>
      <c r="K129" s="54" t="str">
        <f t="shared" si="17"/>
        <v>1</v>
      </c>
      <c r="L129" s="69" t="str">
        <f t="shared" si="10"/>
        <v>0</v>
      </c>
      <c r="M129" s="74" t="str">
        <f t="shared" si="11"/>
        <v>0</v>
      </c>
      <c r="N129" s="29" t="str">
        <f t="shared" si="12"/>
        <v>0</v>
      </c>
      <c r="O129" s="61" t="str">
        <f t="shared" ca="1" si="13"/>
        <v>1</v>
      </c>
      <c r="P129" s="65" t="str">
        <f t="shared" si="14"/>
        <v>1</v>
      </c>
      <c r="Q129" s="46">
        <f t="shared" ca="1" si="16"/>
        <v>4</v>
      </c>
      <c r="R129" s="83" t="str">
        <f t="shared" ca="1" si="15"/>
        <v>ผ่าน</v>
      </c>
      <c r="S129" s="3" t="s">
        <v>28</v>
      </c>
    </row>
    <row r="130" spans="1:19" ht="24">
      <c r="A130" s="3">
        <v>129</v>
      </c>
      <c r="B130" s="105">
        <v>6610633112</v>
      </c>
      <c r="C130" s="4" t="s">
        <v>22</v>
      </c>
      <c r="D130" s="4" t="s">
        <v>399</v>
      </c>
      <c r="E130" s="4" t="s">
        <v>400</v>
      </c>
      <c r="F130" s="4" t="s">
        <v>401</v>
      </c>
      <c r="G130" s="4" t="s">
        <v>287</v>
      </c>
      <c r="H130" s="4" t="s">
        <v>384</v>
      </c>
      <c r="I130" s="3">
        <v>1</v>
      </c>
      <c r="J130" s="45" t="str">
        <f t="shared" ref="J130:J193" si="18">IF(IFERROR(VLOOKUP(B130,DATA,1,FALSE),),"1","0")</f>
        <v>1</v>
      </c>
      <c r="K130" s="54" t="str">
        <f t="shared" si="17"/>
        <v>1</v>
      </c>
      <c r="L130" s="69" t="str">
        <f t="shared" ref="L130:L193" si="19">IF(IFERROR(VLOOKUP(B130,DATA7,1,FALSE),),"1","0")</f>
        <v>0</v>
      </c>
      <c r="M130" s="74" t="str">
        <f t="shared" ref="M130:M193" si="20">IF(IFERROR(VLOOKUP(B130,DATA9,1,FALSE),),"1","0")</f>
        <v>1</v>
      </c>
      <c r="N130" s="29" t="str">
        <f t="shared" ref="N130:N193" si="21">IF(IFERROR(VLOOKUP(B130,DATA10,1,FALSE),),"1","0")</f>
        <v>0</v>
      </c>
      <c r="O130" s="61" t="str">
        <f t="shared" ref="O130:O193" ca="1" si="22">IF(IFERROR(VLOOKUP(B130,DATA11,1,FALSE),),"1","0")</f>
        <v>1</v>
      </c>
      <c r="P130" s="65" t="str">
        <f t="shared" ref="P130:P193" si="23">IF(IFERROR(VLOOKUP(B130,DATA12,1,FALSE),),"1","0")</f>
        <v>1</v>
      </c>
      <c r="Q130" s="46">
        <f t="shared" ca="1" si="16"/>
        <v>5</v>
      </c>
      <c r="R130" s="83" t="str">
        <f t="shared" ref="R130:R193" ca="1" si="24">IF(Q130&gt;=3,"ผ่าน",IF(Q130&lt;3,"ไม่ผ่าน"))</f>
        <v>ผ่าน</v>
      </c>
      <c r="S130" s="3" t="s">
        <v>28</v>
      </c>
    </row>
    <row r="131" spans="1:19" ht="24">
      <c r="A131" s="3">
        <v>130</v>
      </c>
      <c r="B131" s="105">
        <v>6610633118</v>
      </c>
      <c r="C131" s="4" t="s">
        <v>29</v>
      </c>
      <c r="D131" s="4" t="s">
        <v>402</v>
      </c>
      <c r="E131" s="4" t="s">
        <v>403</v>
      </c>
      <c r="F131" s="4" t="s">
        <v>242</v>
      </c>
      <c r="G131" s="4" t="s">
        <v>287</v>
      </c>
      <c r="H131" s="4" t="s">
        <v>384</v>
      </c>
      <c r="I131" s="3">
        <v>1</v>
      </c>
      <c r="J131" s="45" t="str">
        <f t="shared" si="18"/>
        <v>1</v>
      </c>
      <c r="K131" s="54" t="str">
        <f t="shared" si="17"/>
        <v>0</v>
      </c>
      <c r="L131" s="69" t="str">
        <f t="shared" si="19"/>
        <v>1</v>
      </c>
      <c r="M131" s="74" t="str">
        <f t="shared" si="20"/>
        <v>0</v>
      </c>
      <c r="N131" s="29" t="str">
        <f t="shared" si="21"/>
        <v>1</v>
      </c>
      <c r="O131" s="61" t="str">
        <f t="shared" ca="1" si="22"/>
        <v>1</v>
      </c>
      <c r="P131" s="65" t="str">
        <f t="shared" si="23"/>
        <v>1</v>
      </c>
      <c r="Q131" s="46">
        <f t="shared" ref="Q131:Q194" ca="1" si="25">J131+K131+L131+M131+N131+O131+P131</f>
        <v>5</v>
      </c>
      <c r="R131" s="83" t="str">
        <f t="shared" ca="1" si="24"/>
        <v>ผ่าน</v>
      </c>
      <c r="S131" s="3" t="s">
        <v>28</v>
      </c>
    </row>
    <row r="132" spans="1:19" ht="24">
      <c r="A132" s="3">
        <v>131</v>
      </c>
      <c r="B132" s="105">
        <v>6610633123</v>
      </c>
      <c r="C132" s="4" t="s">
        <v>29</v>
      </c>
      <c r="D132" s="4" t="s">
        <v>404</v>
      </c>
      <c r="E132" s="4" t="s">
        <v>405</v>
      </c>
      <c r="F132" s="4" t="s">
        <v>406</v>
      </c>
      <c r="G132" s="4" t="s">
        <v>287</v>
      </c>
      <c r="H132" s="4" t="s">
        <v>384</v>
      </c>
      <c r="I132" s="3">
        <v>1</v>
      </c>
      <c r="J132" s="45" t="str">
        <f t="shared" si="18"/>
        <v>1</v>
      </c>
      <c r="K132" s="54" t="str">
        <f t="shared" ref="K132:K195" si="26">IF(IFERROR(VLOOKUP(B132,DATA8,1,FALSE),),"1","0")</f>
        <v>1</v>
      </c>
      <c r="L132" s="69" t="str">
        <f t="shared" si="19"/>
        <v>0</v>
      </c>
      <c r="M132" s="74" t="str">
        <f t="shared" si="20"/>
        <v>0</v>
      </c>
      <c r="N132" s="29" t="str">
        <f t="shared" si="21"/>
        <v>0</v>
      </c>
      <c r="O132" s="61" t="str">
        <f t="shared" ca="1" si="22"/>
        <v>1</v>
      </c>
      <c r="P132" s="65" t="str">
        <f t="shared" si="23"/>
        <v>1</v>
      </c>
      <c r="Q132" s="46">
        <f t="shared" ca="1" si="25"/>
        <v>4</v>
      </c>
      <c r="R132" s="83" t="str">
        <f t="shared" ca="1" si="24"/>
        <v>ผ่าน</v>
      </c>
      <c r="S132" s="3" t="s">
        <v>28</v>
      </c>
    </row>
    <row r="133" spans="1:19" ht="24">
      <c r="A133" s="3">
        <v>132</v>
      </c>
      <c r="B133" s="105">
        <v>6610633132</v>
      </c>
      <c r="C133" s="4" t="s">
        <v>29</v>
      </c>
      <c r="D133" s="4" t="s">
        <v>407</v>
      </c>
      <c r="E133" s="4" t="s">
        <v>408</v>
      </c>
      <c r="F133" s="4" t="s">
        <v>409</v>
      </c>
      <c r="G133" s="4" t="s">
        <v>287</v>
      </c>
      <c r="H133" s="4" t="s">
        <v>384</v>
      </c>
      <c r="I133" s="3">
        <v>1</v>
      </c>
      <c r="J133" s="45" t="str">
        <f t="shared" si="18"/>
        <v>1</v>
      </c>
      <c r="K133" s="54" t="str">
        <f t="shared" si="26"/>
        <v>1</v>
      </c>
      <c r="L133" s="69" t="str">
        <f t="shared" si="19"/>
        <v>0</v>
      </c>
      <c r="M133" s="74" t="str">
        <f t="shared" si="20"/>
        <v>0</v>
      </c>
      <c r="N133" s="29" t="str">
        <f t="shared" si="21"/>
        <v>1</v>
      </c>
      <c r="O133" s="61" t="str">
        <f t="shared" ca="1" si="22"/>
        <v>0</v>
      </c>
      <c r="P133" s="65" t="str">
        <f t="shared" si="23"/>
        <v>0</v>
      </c>
      <c r="Q133" s="46">
        <f t="shared" ca="1" si="25"/>
        <v>3</v>
      </c>
      <c r="R133" s="83" t="str">
        <f t="shared" ca="1" si="24"/>
        <v>ผ่าน</v>
      </c>
      <c r="S133" s="3" t="s">
        <v>28</v>
      </c>
    </row>
    <row r="134" spans="1:19" ht="24">
      <c r="A134" s="3">
        <v>133</v>
      </c>
      <c r="B134" s="105">
        <v>6610633202</v>
      </c>
      <c r="C134" s="4" t="s">
        <v>22</v>
      </c>
      <c r="D134" s="4" t="s">
        <v>410</v>
      </c>
      <c r="E134" s="4" t="s">
        <v>411</v>
      </c>
      <c r="F134" s="4" t="s">
        <v>412</v>
      </c>
      <c r="G134" s="4" t="s">
        <v>287</v>
      </c>
      <c r="H134" s="4" t="s">
        <v>384</v>
      </c>
      <c r="I134" s="3">
        <v>1</v>
      </c>
      <c r="J134" s="45" t="str">
        <f t="shared" si="18"/>
        <v>1</v>
      </c>
      <c r="K134" s="54" t="str">
        <f t="shared" si="26"/>
        <v>0</v>
      </c>
      <c r="L134" s="69" t="str">
        <f t="shared" si="19"/>
        <v>1</v>
      </c>
      <c r="M134" s="74" t="str">
        <f t="shared" si="20"/>
        <v>0</v>
      </c>
      <c r="N134" s="29" t="str">
        <f t="shared" si="21"/>
        <v>1</v>
      </c>
      <c r="O134" s="61" t="str">
        <f t="shared" ca="1" si="22"/>
        <v>1</v>
      </c>
      <c r="P134" s="65" t="str">
        <f t="shared" si="23"/>
        <v>1</v>
      </c>
      <c r="Q134" s="46">
        <f t="shared" ca="1" si="25"/>
        <v>5</v>
      </c>
      <c r="R134" s="83" t="str">
        <f t="shared" ca="1" si="24"/>
        <v>ผ่าน</v>
      </c>
      <c r="S134" s="3" t="s">
        <v>28</v>
      </c>
    </row>
    <row r="135" spans="1:19" ht="24">
      <c r="A135" s="3">
        <v>134</v>
      </c>
      <c r="B135" s="105">
        <v>6610633203</v>
      </c>
      <c r="C135" s="4" t="s">
        <v>22</v>
      </c>
      <c r="D135" s="4" t="s">
        <v>413</v>
      </c>
      <c r="E135" s="4" t="s">
        <v>414</v>
      </c>
      <c r="F135" s="4" t="s">
        <v>415</v>
      </c>
      <c r="G135" s="4" t="s">
        <v>287</v>
      </c>
      <c r="H135" s="4" t="s">
        <v>384</v>
      </c>
      <c r="I135" s="3">
        <v>1</v>
      </c>
      <c r="J135" s="45" t="str">
        <f t="shared" si="18"/>
        <v>1</v>
      </c>
      <c r="K135" s="54">
        <v>1</v>
      </c>
      <c r="L135" s="69" t="str">
        <f t="shared" si="19"/>
        <v>0</v>
      </c>
      <c r="M135" s="74" t="str">
        <f t="shared" si="20"/>
        <v>1</v>
      </c>
      <c r="N135" s="29" t="str">
        <f t="shared" si="21"/>
        <v>0</v>
      </c>
      <c r="O135" s="61" t="str">
        <f t="shared" ca="1" si="22"/>
        <v>1</v>
      </c>
      <c r="P135" s="65" t="str">
        <f t="shared" si="23"/>
        <v>1</v>
      </c>
      <c r="Q135" s="46">
        <f t="shared" ca="1" si="25"/>
        <v>5</v>
      </c>
      <c r="R135" s="83" t="str">
        <f t="shared" ca="1" si="24"/>
        <v>ผ่าน</v>
      </c>
      <c r="S135" s="3" t="s">
        <v>28</v>
      </c>
    </row>
    <row r="136" spans="1:19" ht="24">
      <c r="A136" s="3">
        <v>135</v>
      </c>
      <c r="B136" s="105">
        <v>6610633204</v>
      </c>
      <c r="C136" s="4" t="s">
        <v>22</v>
      </c>
      <c r="D136" s="4" t="s">
        <v>416</v>
      </c>
      <c r="E136" s="4" t="s">
        <v>417</v>
      </c>
      <c r="F136" s="4" t="s">
        <v>418</v>
      </c>
      <c r="G136" s="4" t="s">
        <v>287</v>
      </c>
      <c r="H136" s="4" t="s">
        <v>384</v>
      </c>
      <c r="I136" s="3">
        <v>1</v>
      </c>
      <c r="J136" s="45" t="str">
        <f t="shared" si="18"/>
        <v>1</v>
      </c>
      <c r="K136" s="54" t="str">
        <f t="shared" si="26"/>
        <v>0</v>
      </c>
      <c r="L136" s="69" t="str">
        <f t="shared" si="19"/>
        <v>1</v>
      </c>
      <c r="M136" s="74" t="str">
        <f t="shared" si="20"/>
        <v>0</v>
      </c>
      <c r="N136" s="29" t="str">
        <f t="shared" si="21"/>
        <v>1</v>
      </c>
      <c r="O136" s="61" t="str">
        <f t="shared" ca="1" si="22"/>
        <v>1</v>
      </c>
      <c r="P136" s="65" t="str">
        <f t="shared" si="23"/>
        <v>1</v>
      </c>
      <c r="Q136" s="46">
        <f t="shared" ca="1" si="25"/>
        <v>5</v>
      </c>
      <c r="R136" s="83" t="str">
        <f t="shared" ca="1" si="24"/>
        <v>ผ่าน</v>
      </c>
      <c r="S136" s="3" t="s">
        <v>28</v>
      </c>
    </row>
    <row r="137" spans="1:19" ht="24">
      <c r="A137" s="3">
        <v>136</v>
      </c>
      <c r="B137" s="105">
        <v>6610633214</v>
      </c>
      <c r="C137" s="4" t="s">
        <v>29</v>
      </c>
      <c r="D137" s="4" t="s">
        <v>419</v>
      </c>
      <c r="E137" s="4" t="s">
        <v>420</v>
      </c>
      <c r="F137" s="4" t="s">
        <v>421</v>
      </c>
      <c r="G137" s="4" t="s">
        <v>287</v>
      </c>
      <c r="H137" s="4" t="s">
        <v>384</v>
      </c>
      <c r="I137" s="3">
        <v>1</v>
      </c>
      <c r="J137" s="45" t="str">
        <f t="shared" si="18"/>
        <v>1</v>
      </c>
      <c r="K137" s="54">
        <v>1</v>
      </c>
      <c r="L137" s="69" t="str">
        <f t="shared" si="19"/>
        <v>0</v>
      </c>
      <c r="M137" s="74" t="str">
        <f t="shared" si="20"/>
        <v>0</v>
      </c>
      <c r="N137" s="29" t="str">
        <f t="shared" si="21"/>
        <v>1</v>
      </c>
      <c r="O137" s="61" t="str">
        <f t="shared" ca="1" si="22"/>
        <v>0</v>
      </c>
      <c r="P137" s="65" t="str">
        <f t="shared" si="23"/>
        <v>1</v>
      </c>
      <c r="Q137" s="46">
        <f t="shared" ca="1" si="25"/>
        <v>4</v>
      </c>
      <c r="R137" s="83" t="str">
        <f t="shared" ca="1" si="24"/>
        <v>ผ่าน</v>
      </c>
      <c r="S137" s="3" t="s">
        <v>28</v>
      </c>
    </row>
    <row r="138" spans="1:19" ht="24">
      <c r="A138" s="3">
        <v>137</v>
      </c>
      <c r="B138" s="105">
        <v>6610633219</v>
      </c>
      <c r="C138" s="4" t="s">
        <v>29</v>
      </c>
      <c r="D138" s="4" t="s">
        <v>422</v>
      </c>
      <c r="E138" s="4" t="s">
        <v>423</v>
      </c>
      <c r="F138" s="4" t="s">
        <v>424</v>
      </c>
      <c r="G138" s="4" t="s">
        <v>287</v>
      </c>
      <c r="H138" s="4" t="s">
        <v>384</v>
      </c>
      <c r="I138" s="3">
        <v>1</v>
      </c>
      <c r="J138" s="45" t="str">
        <f t="shared" si="18"/>
        <v>1</v>
      </c>
      <c r="K138" s="54" t="str">
        <f t="shared" si="26"/>
        <v>1</v>
      </c>
      <c r="L138" s="69" t="str">
        <f t="shared" si="19"/>
        <v>0</v>
      </c>
      <c r="M138" s="74" t="str">
        <f t="shared" si="20"/>
        <v>1</v>
      </c>
      <c r="N138" s="29" t="str">
        <f t="shared" si="21"/>
        <v>0</v>
      </c>
      <c r="O138" s="61" t="str">
        <f t="shared" ca="1" si="22"/>
        <v>1</v>
      </c>
      <c r="P138" s="65" t="str">
        <f t="shared" si="23"/>
        <v>1</v>
      </c>
      <c r="Q138" s="46">
        <f t="shared" ca="1" si="25"/>
        <v>5</v>
      </c>
      <c r="R138" s="83" t="str">
        <f t="shared" ca="1" si="24"/>
        <v>ผ่าน</v>
      </c>
      <c r="S138" s="3" t="s">
        <v>28</v>
      </c>
    </row>
    <row r="139" spans="1:19" ht="24">
      <c r="A139" s="3">
        <v>138</v>
      </c>
      <c r="B139" s="105">
        <v>6610633223</v>
      </c>
      <c r="C139" s="4" t="s">
        <v>29</v>
      </c>
      <c r="D139" s="4" t="s">
        <v>425</v>
      </c>
      <c r="E139" s="4" t="s">
        <v>426</v>
      </c>
      <c r="F139" s="4" t="s">
        <v>427</v>
      </c>
      <c r="G139" s="4" t="s">
        <v>287</v>
      </c>
      <c r="H139" s="4" t="s">
        <v>384</v>
      </c>
      <c r="I139" s="3">
        <v>1</v>
      </c>
      <c r="J139" s="45" t="str">
        <f t="shared" si="18"/>
        <v>1</v>
      </c>
      <c r="K139" s="54" t="str">
        <f t="shared" si="26"/>
        <v>1</v>
      </c>
      <c r="L139" s="69" t="str">
        <f t="shared" si="19"/>
        <v>0</v>
      </c>
      <c r="M139" s="74" t="str">
        <f t="shared" si="20"/>
        <v>0</v>
      </c>
      <c r="N139" s="29" t="str">
        <f t="shared" si="21"/>
        <v>1</v>
      </c>
      <c r="O139" s="61" t="str">
        <f t="shared" ca="1" si="22"/>
        <v>0</v>
      </c>
      <c r="P139" s="65" t="str">
        <f t="shared" si="23"/>
        <v>1</v>
      </c>
      <c r="Q139" s="46">
        <f t="shared" ca="1" si="25"/>
        <v>4</v>
      </c>
      <c r="R139" s="83" t="str">
        <f t="shared" ca="1" si="24"/>
        <v>ผ่าน</v>
      </c>
      <c r="S139" s="3" t="s">
        <v>28</v>
      </c>
    </row>
    <row r="140" spans="1:19" ht="24">
      <c r="A140" s="3">
        <v>139</v>
      </c>
      <c r="B140" s="105">
        <v>6510633103</v>
      </c>
      <c r="C140" s="4" t="s">
        <v>22</v>
      </c>
      <c r="D140" s="4" t="s">
        <v>429</v>
      </c>
      <c r="E140" s="4" t="s">
        <v>430</v>
      </c>
      <c r="F140" s="4" t="s">
        <v>431</v>
      </c>
      <c r="G140" s="4" t="s">
        <v>287</v>
      </c>
      <c r="H140" s="4" t="s">
        <v>384</v>
      </c>
      <c r="I140" s="3">
        <v>2</v>
      </c>
      <c r="J140" s="45" t="str">
        <f t="shared" si="18"/>
        <v>1</v>
      </c>
      <c r="K140" s="54" t="str">
        <f t="shared" si="26"/>
        <v>0</v>
      </c>
      <c r="L140" s="69" t="str">
        <f t="shared" si="19"/>
        <v>1</v>
      </c>
      <c r="M140" s="74" t="str">
        <f t="shared" si="20"/>
        <v>0</v>
      </c>
      <c r="N140" s="29" t="str">
        <f t="shared" si="21"/>
        <v>1</v>
      </c>
      <c r="O140" s="61" t="str">
        <f t="shared" ca="1" si="22"/>
        <v>0</v>
      </c>
      <c r="P140" s="65" t="str">
        <f t="shared" si="23"/>
        <v>0</v>
      </c>
      <c r="Q140" s="46">
        <f t="shared" ca="1" si="25"/>
        <v>3</v>
      </c>
      <c r="R140" s="83" t="str">
        <f t="shared" ca="1" si="24"/>
        <v>ผ่าน</v>
      </c>
      <c r="S140" s="3" t="s">
        <v>28</v>
      </c>
    </row>
    <row r="141" spans="1:19" ht="24">
      <c r="A141" s="3">
        <v>140</v>
      </c>
      <c r="B141" s="105">
        <v>6510633106</v>
      </c>
      <c r="C141" s="4" t="s">
        <v>22</v>
      </c>
      <c r="D141" s="4" t="s">
        <v>432</v>
      </c>
      <c r="E141" s="4" t="s">
        <v>433</v>
      </c>
      <c r="F141" s="4" t="s">
        <v>434</v>
      </c>
      <c r="G141" s="4" t="s">
        <v>287</v>
      </c>
      <c r="H141" s="4" t="s">
        <v>384</v>
      </c>
      <c r="I141" s="3">
        <v>2</v>
      </c>
      <c r="J141" s="45" t="str">
        <f t="shared" si="18"/>
        <v>1</v>
      </c>
      <c r="K141" s="54" t="str">
        <f t="shared" si="26"/>
        <v>0</v>
      </c>
      <c r="L141" s="69" t="str">
        <f t="shared" si="19"/>
        <v>1</v>
      </c>
      <c r="M141" s="74" t="str">
        <f t="shared" si="20"/>
        <v>0</v>
      </c>
      <c r="N141" s="29" t="str">
        <f t="shared" si="21"/>
        <v>1</v>
      </c>
      <c r="O141" s="61" t="str">
        <f t="shared" ca="1" si="22"/>
        <v>1</v>
      </c>
      <c r="P141" s="65" t="str">
        <f t="shared" si="23"/>
        <v>0</v>
      </c>
      <c r="Q141" s="46">
        <f t="shared" ca="1" si="25"/>
        <v>4</v>
      </c>
      <c r="R141" s="83" t="str">
        <f t="shared" ca="1" si="24"/>
        <v>ผ่าน</v>
      </c>
      <c r="S141" s="3" t="s">
        <v>28</v>
      </c>
    </row>
    <row r="142" spans="1:19" ht="24">
      <c r="A142" s="3">
        <v>141</v>
      </c>
      <c r="B142" s="105">
        <v>6510633107</v>
      </c>
      <c r="C142" s="4" t="s">
        <v>22</v>
      </c>
      <c r="D142" s="4" t="s">
        <v>435</v>
      </c>
      <c r="E142" s="4" t="s">
        <v>436</v>
      </c>
      <c r="F142" s="4" t="s">
        <v>418</v>
      </c>
      <c r="G142" s="4" t="s">
        <v>287</v>
      </c>
      <c r="H142" s="4" t="s">
        <v>384</v>
      </c>
      <c r="I142" s="3">
        <v>2</v>
      </c>
      <c r="J142" s="45" t="str">
        <f t="shared" si="18"/>
        <v>1</v>
      </c>
      <c r="K142" s="54" t="str">
        <f t="shared" si="26"/>
        <v>0</v>
      </c>
      <c r="L142" s="69" t="str">
        <f t="shared" si="19"/>
        <v>1</v>
      </c>
      <c r="M142" s="74" t="str">
        <f t="shared" si="20"/>
        <v>0</v>
      </c>
      <c r="N142" s="29" t="str">
        <f t="shared" si="21"/>
        <v>1</v>
      </c>
      <c r="O142" s="61" t="str">
        <f t="shared" ca="1" si="22"/>
        <v>0</v>
      </c>
      <c r="P142" s="65" t="str">
        <f t="shared" si="23"/>
        <v>0</v>
      </c>
      <c r="Q142" s="46">
        <f t="shared" ca="1" si="25"/>
        <v>3</v>
      </c>
      <c r="R142" s="83" t="str">
        <f t="shared" ca="1" si="24"/>
        <v>ผ่าน</v>
      </c>
      <c r="S142" s="3" t="s">
        <v>28</v>
      </c>
    </row>
    <row r="143" spans="1:19" ht="24">
      <c r="A143" s="3">
        <v>142</v>
      </c>
      <c r="B143" s="105">
        <v>6510633108</v>
      </c>
      <c r="C143" s="4" t="s">
        <v>29</v>
      </c>
      <c r="D143" s="4" t="s">
        <v>437</v>
      </c>
      <c r="E143" s="4" t="s">
        <v>438</v>
      </c>
      <c r="F143" s="4" t="s">
        <v>179</v>
      </c>
      <c r="G143" s="4" t="s">
        <v>287</v>
      </c>
      <c r="H143" s="4" t="s">
        <v>384</v>
      </c>
      <c r="I143" s="3">
        <v>2</v>
      </c>
      <c r="J143" s="45" t="str">
        <f t="shared" si="18"/>
        <v>1</v>
      </c>
      <c r="K143" s="54" t="str">
        <f t="shared" si="26"/>
        <v>0</v>
      </c>
      <c r="L143" s="69" t="str">
        <f t="shared" si="19"/>
        <v>1</v>
      </c>
      <c r="M143" s="74" t="str">
        <f t="shared" si="20"/>
        <v>0</v>
      </c>
      <c r="N143" s="29" t="str">
        <f t="shared" si="21"/>
        <v>0</v>
      </c>
      <c r="O143" s="61" t="str">
        <f t="shared" ca="1" si="22"/>
        <v>1</v>
      </c>
      <c r="P143" s="65" t="str">
        <f t="shared" si="23"/>
        <v>1</v>
      </c>
      <c r="Q143" s="46">
        <f t="shared" ca="1" si="25"/>
        <v>4</v>
      </c>
      <c r="R143" s="83" t="str">
        <f t="shared" ca="1" si="24"/>
        <v>ผ่าน</v>
      </c>
      <c r="S143" s="3" t="s">
        <v>28</v>
      </c>
    </row>
    <row r="144" spans="1:19" ht="24">
      <c r="A144" s="3">
        <v>143</v>
      </c>
      <c r="B144" s="105">
        <v>6510633111</v>
      </c>
      <c r="C144" s="4" t="s">
        <v>29</v>
      </c>
      <c r="D144" s="4" t="s">
        <v>439</v>
      </c>
      <c r="E144" s="4" t="s">
        <v>440</v>
      </c>
      <c r="F144" s="4" t="s">
        <v>441</v>
      </c>
      <c r="G144" s="4" t="s">
        <v>287</v>
      </c>
      <c r="H144" s="4" t="s">
        <v>384</v>
      </c>
      <c r="I144" s="3">
        <v>2</v>
      </c>
      <c r="J144" s="45" t="str">
        <f t="shared" si="18"/>
        <v>1</v>
      </c>
      <c r="K144" s="54" t="str">
        <f t="shared" si="26"/>
        <v>0</v>
      </c>
      <c r="L144" s="69" t="str">
        <f t="shared" si="19"/>
        <v>1</v>
      </c>
      <c r="M144" s="74" t="str">
        <f t="shared" si="20"/>
        <v>0</v>
      </c>
      <c r="N144" s="29" t="str">
        <f t="shared" si="21"/>
        <v>1</v>
      </c>
      <c r="O144" s="61" t="str">
        <f t="shared" ca="1" si="22"/>
        <v>1</v>
      </c>
      <c r="P144" s="65" t="str">
        <f t="shared" si="23"/>
        <v>1</v>
      </c>
      <c r="Q144" s="46">
        <f t="shared" ca="1" si="25"/>
        <v>5</v>
      </c>
      <c r="R144" s="83" t="str">
        <f t="shared" ca="1" si="24"/>
        <v>ผ่าน</v>
      </c>
      <c r="S144" s="3" t="s">
        <v>28</v>
      </c>
    </row>
    <row r="145" spans="1:19" ht="24">
      <c r="A145" s="3">
        <v>144</v>
      </c>
      <c r="B145" s="105">
        <v>6510633115</v>
      </c>
      <c r="C145" s="4" t="s">
        <v>29</v>
      </c>
      <c r="D145" s="4" t="s">
        <v>442</v>
      </c>
      <c r="E145" s="4" t="s">
        <v>443</v>
      </c>
      <c r="F145" s="4" t="s">
        <v>124</v>
      </c>
      <c r="G145" s="4" t="s">
        <v>287</v>
      </c>
      <c r="H145" s="4" t="s">
        <v>384</v>
      </c>
      <c r="I145" s="3">
        <v>2</v>
      </c>
      <c r="J145" s="45" t="str">
        <f t="shared" si="18"/>
        <v>1</v>
      </c>
      <c r="K145" s="54" t="str">
        <f t="shared" si="26"/>
        <v>1</v>
      </c>
      <c r="L145" s="69" t="str">
        <f t="shared" si="19"/>
        <v>0</v>
      </c>
      <c r="M145" s="74" t="str">
        <f t="shared" si="20"/>
        <v>0</v>
      </c>
      <c r="N145" s="29" t="str">
        <f t="shared" si="21"/>
        <v>1</v>
      </c>
      <c r="O145" s="61" t="str">
        <f t="shared" ca="1" si="22"/>
        <v>1</v>
      </c>
      <c r="P145" s="65" t="str">
        <f t="shared" si="23"/>
        <v>1</v>
      </c>
      <c r="Q145" s="46">
        <f t="shared" ca="1" si="25"/>
        <v>5</v>
      </c>
      <c r="R145" s="83" t="str">
        <f t="shared" ca="1" si="24"/>
        <v>ผ่าน</v>
      </c>
      <c r="S145" s="3" t="s">
        <v>28</v>
      </c>
    </row>
    <row r="146" spans="1:19" ht="24">
      <c r="A146" s="3">
        <v>145</v>
      </c>
      <c r="B146" s="105">
        <v>6510633116</v>
      </c>
      <c r="C146" s="4" t="s">
        <v>29</v>
      </c>
      <c r="D146" s="4" t="s">
        <v>444</v>
      </c>
      <c r="E146" s="4" t="s">
        <v>445</v>
      </c>
      <c r="F146" s="4" t="s">
        <v>446</v>
      </c>
      <c r="G146" s="4" t="s">
        <v>287</v>
      </c>
      <c r="H146" s="4" t="s">
        <v>384</v>
      </c>
      <c r="I146" s="3">
        <v>2</v>
      </c>
      <c r="J146" s="45" t="str">
        <f t="shared" si="18"/>
        <v>1</v>
      </c>
      <c r="K146" s="54" t="str">
        <f t="shared" si="26"/>
        <v>0</v>
      </c>
      <c r="L146" s="69" t="str">
        <f t="shared" si="19"/>
        <v>1</v>
      </c>
      <c r="M146" s="74" t="str">
        <f t="shared" si="20"/>
        <v>0</v>
      </c>
      <c r="N146" s="29" t="str">
        <f t="shared" si="21"/>
        <v>1</v>
      </c>
      <c r="O146" s="61" t="str">
        <f t="shared" ca="1" si="22"/>
        <v>1</v>
      </c>
      <c r="P146" s="65" t="str">
        <f t="shared" si="23"/>
        <v>1</v>
      </c>
      <c r="Q146" s="46">
        <f t="shared" ca="1" si="25"/>
        <v>5</v>
      </c>
      <c r="R146" s="83" t="str">
        <f t="shared" ca="1" si="24"/>
        <v>ผ่าน</v>
      </c>
      <c r="S146" s="3" t="s">
        <v>28</v>
      </c>
    </row>
    <row r="147" spans="1:19" ht="24">
      <c r="A147" s="3">
        <v>146</v>
      </c>
      <c r="B147" s="105">
        <v>6510633117</v>
      </c>
      <c r="C147" s="4" t="s">
        <v>29</v>
      </c>
      <c r="D147" s="4" t="s">
        <v>447</v>
      </c>
      <c r="E147" s="4" t="s">
        <v>448</v>
      </c>
      <c r="F147" s="4" t="s">
        <v>370</v>
      </c>
      <c r="G147" s="4" t="s">
        <v>287</v>
      </c>
      <c r="H147" s="4" t="s">
        <v>384</v>
      </c>
      <c r="I147" s="3">
        <v>2</v>
      </c>
      <c r="J147" s="45" t="str">
        <f t="shared" si="18"/>
        <v>1</v>
      </c>
      <c r="K147" s="54" t="str">
        <f t="shared" si="26"/>
        <v>1</v>
      </c>
      <c r="L147" s="69" t="str">
        <f t="shared" si="19"/>
        <v>0</v>
      </c>
      <c r="M147" s="74" t="str">
        <f t="shared" si="20"/>
        <v>0</v>
      </c>
      <c r="N147" s="29" t="str">
        <f t="shared" si="21"/>
        <v>1</v>
      </c>
      <c r="O147" s="61" t="str">
        <f t="shared" ca="1" si="22"/>
        <v>1</v>
      </c>
      <c r="P147" s="65" t="str">
        <f t="shared" si="23"/>
        <v>1</v>
      </c>
      <c r="Q147" s="46">
        <f t="shared" ca="1" si="25"/>
        <v>5</v>
      </c>
      <c r="R147" s="83" t="str">
        <f t="shared" ca="1" si="24"/>
        <v>ผ่าน</v>
      </c>
      <c r="S147" s="3" t="s">
        <v>28</v>
      </c>
    </row>
    <row r="148" spans="1:19" ht="24">
      <c r="A148" s="3">
        <v>147</v>
      </c>
      <c r="B148" s="105">
        <v>6510633118</v>
      </c>
      <c r="C148" s="4" t="s">
        <v>29</v>
      </c>
      <c r="D148" s="4" t="s">
        <v>449</v>
      </c>
      <c r="E148" s="4" t="s">
        <v>450</v>
      </c>
      <c r="F148" s="4" t="s">
        <v>391</v>
      </c>
      <c r="G148" s="4" t="s">
        <v>287</v>
      </c>
      <c r="H148" s="4" t="s">
        <v>384</v>
      </c>
      <c r="I148" s="3">
        <v>2</v>
      </c>
      <c r="J148" s="44" t="str">
        <f t="shared" si="18"/>
        <v>0</v>
      </c>
      <c r="K148" s="54" t="str">
        <f t="shared" si="26"/>
        <v>1</v>
      </c>
      <c r="L148" s="69" t="str">
        <f t="shared" si="19"/>
        <v>0</v>
      </c>
      <c r="M148" s="74" t="str">
        <f t="shared" si="20"/>
        <v>1</v>
      </c>
      <c r="N148" s="29" t="str">
        <f t="shared" si="21"/>
        <v>0</v>
      </c>
      <c r="O148" s="61" t="str">
        <f t="shared" ca="1" si="22"/>
        <v>1</v>
      </c>
      <c r="P148" s="65" t="str">
        <f t="shared" si="23"/>
        <v>1</v>
      </c>
      <c r="Q148" s="46">
        <f t="shared" ca="1" si="25"/>
        <v>4</v>
      </c>
      <c r="R148" s="83" t="str">
        <f t="shared" ca="1" si="24"/>
        <v>ผ่าน</v>
      </c>
      <c r="S148" s="3" t="s">
        <v>28</v>
      </c>
    </row>
    <row r="149" spans="1:19" ht="24">
      <c r="A149" s="3">
        <v>148</v>
      </c>
      <c r="B149" s="105">
        <v>6510633120</v>
      </c>
      <c r="C149" s="4" t="s">
        <v>29</v>
      </c>
      <c r="D149" s="4" t="s">
        <v>451</v>
      </c>
      <c r="E149" s="4" t="s">
        <v>452</v>
      </c>
      <c r="F149" s="4" t="s">
        <v>453</v>
      </c>
      <c r="G149" s="4" t="s">
        <v>287</v>
      </c>
      <c r="H149" s="4" t="s">
        <v>384</v>
      </c>
      <c r="I149" s="3">
        <v>2</v>
      </c>
      <c r="J149" s="45" t="str">
        <f t="shared" si="18"/>
        <v>1</v>
      </c>
      <c r="K149" s="54" t="str">
        <f t="shared" si="26"/>
        <v>1</v>
      </c>
      <c r="L149" s="69" t="str">
        <f t="shared" si="19"/>
        <v>0</v>
      </c>
      <c r="M149" s="74" t="str">
        <f t="shared" si="20"/>
        <v>1</v>
      </c>
      <c r="N149" s="29" t="str">
        <f t="shared" si="21"/>
        <v>0</v>
      </c>
      <c r="O149" s="61" t="str">
        <f t="shared" ca="1" si="22"/>
        <v>1</v>
      </c>
      <c r="P149" s="65" t="str">
        <f t="shared" si="23"/>
        <v>1</v>
      </c>
      <c r="Q149" s="46">
        <f t="shared" ca="1" si="25"/>
        <v>5</v>
      </c>
      <c r="R149" s="83" t="str">
        <f t="shared" ca="1" si="24"/>
        <v>ผ่าน</v>
      </c>
      <c r="S149" s="3" t="s">
        <v>28</v>
      </c>
    </row>
    <row r="150" spans="1:19" ht="24">
      <c r="A150" s="3">
        <v>149</v>
      </c>
      <c r="B150" s="105">
        <v>6510633122</v>
      </c>
      <c r="C150" s="4" t="s">
        <v>29</v>
      </c>
      <c r="D150" s="4" t="s">
        <v>454</v>
      </c>
      <c r="E150" s="4" t="s">
        <v>455</v>
      </c>
      <c r="F150" s="4" t="s">
        <v>456</v>
      </c>
      <c r="G150" s="4" t="s">
        <v>287</v>
      </c>
      <c r="H150" s="4" t="s">
        <v>384</v>
      </c>
      <c r="I150" s="3">
        <v>2</v>
      </c>
      <c r="J150" s="45" t="str">
        <f t="shared" si="18"/>
        <v>1</v>
      </c>
      <c r="K150" s="54" t="str">
        <f t="shared" si="26"/>
        <v>0</v>
      </c>
      <c r="L150" s="69" t="str">
        <f t="shared" si="19"/>
        <v>1</v>
      </c>
      <c r="M150" s="74" t="str">
        <f t="shared" si="20"/>
        <v>0</v>
      </c>
      <c r="N150" s="29" t="str">
        <f t="shared" si="21"/>
        <v>1</v>
      </c>
      <c r="O150" s="61" t="str">
        <f t="shared" ca="1" si="22"/>
        <v>1</v>
      </c>
      <c r="P150" s="65" t="str">
        <f t="shared" si="23"/>
        <v>0</v>
      </c>
      <c r="Q150" s="46">
        <f t="shared" ca="1" si="25"/>
        <v>4</v>
      </c>
      <c r="R150" s="83" t="str">
        <f t="shared" ca="1" si="24"/>
        <v>ผ่าน</v>
      </c>
      <c r="S150" s="3" t="s">
        <v>28</v>
      </c>
    </row>
    <row r="151" spans="1:19" ht="24">
      <c r="A151" s="3">
        <v>150</v>
      </c>
      <c r="B151" s="105">
        <v>6510633125</v>
      </c>
      <c r="C151" s="4" t="s">
        <v>29</v>
      </c>
      <c r="D151" s="4" t="s">
        <v>457</v>
      </c>
      <c r="E151" s="4" t="s">
        <v>458</v>
      </c>
      <c r="F151" s="4" t="s">
        <v>459</v>
      </c>
      <c r="G151" s="4" t="s">
        <v>287</v>
      </c>
      <c r="H151" s="4" t="s">
        <v>384</v>
      </c>
      <c r="I151" s="3">
        <v>2</v>
      </c>
      <c r="J151" s="45" t="str">
        <f t="shared" si="18"/>
        <v>1</v>
      </c>
      <c r="K151" s="54" t="str">
        <f t="shared" si="26"/>
        <v>1</v>
      </c>
      <c r="L151" s="69" t="str">
        <f t="shared" si="19"/>
        <v>0</v>
      </c>
      <c r="M151" s="74" t="str">
        <f t="shared" si="20"/>
        <v>1</v>
      </c>
      <c r="N151" s="29" t="str">
        <f t="shared" si="21"/>
        <v>0</v>
      </c>
      <c r="O151" s="61" t="str">
        <f t="shared" ca="1" si="22"/>
        <v>0</v>
      </c>
      <c r="P151" s="65" t="str">
        <f t="shared" si="23"/>
        <v>0</v>
      </c>
      <c r="Q151" s="46">
        <f t="shared" ca="1" si="25"/>
        <v>3</v>
      </c>
      <c r="R151" s="83" t="str">
        <f t="shared" ca="1" si="24"/>
        <v>ผ่าน</v>
      </c>
      <c r="S151" s="3" t="s">
        <v>28</v>
      </c>
    </row>
    <row r="152" spans="1:19" ht="24">
      <c r="A152" s="3">
        <v>151</v>
      </c>
      <c r="B152" s="105">
        <v>6510633130</v>
      </c>
      <c r="C152" s="4" t="s">
        <v>29</v>
      </c>
      <c r="D152" s="4" t="s">
        <v>460</v>
      </c>
      <c r="E152" s="4" t="s">
        <v>461</v>
      </c>
      <c r="F152" s="4" t="s">
        <v>462</v>
      </c>
      <c r="G152" s="4" t="s">
        <v>287</v>
      </c>
      <c r="H152" s="4" t="s">
        <v>384</v>
      </c>
      <c r="I152" s="3">
        <v>2</v>
      </c>
      <c r="J152" s="44" t="str">
        <f t="shared" si="18"/>
        <v>0</v>
      </c>
      <c r="K152" s="54" t="str">
        <f t="shared" si="26"/>
        <v>1</v>
      </c>
      <c r="L152" s="69" t="str">
        <f t="shared" si="19"/>
        <v>0</v>
      </c>
      <c r="M152" s="74" t="str">
        <f t="shared" si="20"/>
        <v>0</v>
      </c>
      <c r="N152" s="29" t="str">
        <f t="shared" si="21"/>
        <v>0</v>
      </c>
      <c r="O152" s="61" t="str">
        <f t="shared" ca="1" si="22"/>
        <v>1</v>
      </c>
      <c r="P152" s="65" t="str">
        <f t="shared" si="23"/>
        <v>0</v>
      </c>
      <c r="Q152" s="46">
        <f t="shared" ca="1" si="25"/>
        <v>2</v>
      </c>
      <c r="R152" s="3" t="str">
        <f t="shared" ca="1" si="24"/>
        <v>ไม่ผ่าน</v>
      </c>
      <c r="S152" s="3" t="s">
        <v>28</v>
      </c>
    </row>
    <row r="153" spans="1:19" ht="24">
      <c r="A153" s="3">
        <v>152</v>
      </c>
      <c r="B153" s="105">
        <v>6510633205</v>
      </c>
      <c r="C153" s="4" t="s">
        <v>22</v>
      </c>
      <c r="D153" s="4" t="s">
        <v>463</v>
      </c>
      <c r="E153" s="4" t="s">
        <v>464</v>
      </c>
      <c r="F153" s="4" t="s">
        <v>465</v>
      </c>
      <c r="G153" s="4" t="s">
        <v>287</v>
      </c>
      <c r="H153" s="4" t="s">
        <v>384</v>
      </c>
      <c r="I153" s="3">
        <v>2</v>
      </c>
      <c r="J153" s="45" t="str">
        <f t="shared" si="18"/>
        <v>1</v>
      </c>
      <c r="K153" s="54" t="str">
        <f t="shared" si="26"/>
        <v>0</v>
      </c>
      <c r="L153" s="69" t="str">
        <f t="shared" si="19"/>
        <v>1</v>
      </c>
      <c r="M153" s="74" t="str">
        <f t="shared" si="20"/>
        <v>0</v>
      </c>
      <c r="N153" s="29">
        <v>1</v>
      </c>
      <c r="O153" s="61" t="str">
        <f t="shared" ca="1" si="22"/>
        <v>0</v>
      </c>
      <c r="P153" s="65">
        <v>1</v>
      </c>
      <c r="Q153" s="46">
        <f t="shared" ca="1" si="25"/>
        <v>4</v>
      </c>
      <c r="R153" s="84" t="s">
        <v>395</v>
      </c>
      <c r="S153" s="3" t="s">
        <v>28</v>
      </c>
    </row>
    <row r="154" spans="1:19" ht="24">
      <c r="A154" s="3">
        <v>153</v>
      </c>
      <c r="B154" s="105">
        <v>6510633207</v>
      </c>
      <c r="C154" s="4" t="s">
        <v>22</v>
      </c>
      <c r="D154" s="4" t="s">
        <v>466</v>
      </c>
      <c r="E154" s="4" t="s">
        <v>467</v>
      </c>
      <c r="F154" s="4" t="s">
        <v>468</v>
      </c>
      <c r="G154" s="4" t="s">
        <v>287</v>
      </c>
      <c r="H154" s="4" t="s">
        <v>384</v>
      </c>
      <c r="I154" s="3">
        <v>2</v>
      </c>
      <c r="J154" s="45" t="str">
        <f t="shared" si="18"/>
        <v>1</v>
      </c>
      <c r="K154" s="54" t="str">
        <f t="shared" si="26"/>
        <v>0</v>
      </c>
      <c r="L154" s="69" t="str">
        <f t="shared" si="19"/>
        <v>1</v>
      </c>
      <c r="M154" s="74" t="str">
        <f t="shared" si="20"/>
        <v>0</v>
      </c>
      <c r="N154" s="29">
        <v>1</v>
      </c>
      <c r="O154" s="61" t="str">
        <f t="shared" ca="1" si="22"/>
        <v>0</v>
      </c>
      <c r="P154" s="65">
        <v>1</v>
      </c>
      <c r="Q154" s="46">
        <f t="shared" ca="1" si="25"/>
        <v>4</v>
      </c>
      <c r="R154" s="83" t="str">
        <f ca="1">IF(Q154&gt;=3,"ผ่าน",IF(Q154&lt;3,"ไม่ผ่าน"))</f>
        <v>ผ่าน</v>
      </c>
      <c r="S154" s="3" t="s">
        <v>28</v>
      </c>
    </row>
    <row r="155" spans="1:19" ht="24">
      <c r="A155" s="3">
        <v>154</v>
      </c>
      <c r="B155" s="105">
        <v>6510633211</v>
      </c>
      <c r="C155" s="4" t="s">
        <v>29</v>
      </c>
      <c r="D155" s="4" t="s">
        <v>469</v>
      </c>
      <c r="E155" s="4" t="s">
        <v>470</v>
      </c>
      <c r="F155" s="4" t="s">
        <v>193</v>
      </c>
      <c r="G155" s="4" t="s">
        <v>287</v>
      </c>
      <c r="H155" s="4" t="s">
        <v>384</v>
      </c>
      <c r="I155" s="3">
        <v>2</v>
      </c>
      <c r="J155" s="45" t="str">
        <f t="shared" si="18"/>
        <v>1</v>
      </c>
      <c r="K155" s="54" t="str">
        <f t="shared" si="26"/>
        <v>0</v>
      </c>
      <c r="L155" s="69" t="str">
        <f t="shared" si="19"/>
        <v>1</v>
      </c>
      <c r="M155" s="74" t="str">
        <f t="shared" si="20"/>
        <v>0</v>
      </c>
      <c r="N155" s="29" t="str">
        <f t="shared" si="21"/>
        <v>1</v>
      </c>
      <c r="O155" s="61" t="str">
        <f t="shared" ca="1" si="22"/>
        <v>1</v>
      </c>
      <c r="P155" s="65" t="str">
        <f t="shared" si="23"/>
        <v>1</v>
      </c>
      <c r="Q155" s="46">
        <f t="shared" ca="1" si="25"/>
        <v>5</v>
      </c>
      <c r="R155" s="83" t="str">
        <f t="shared" ca="1" si="24"/>
        <v>ผ่าน</v>
      </c>
      <c r="S155" s="3" t="s">
        <v>28</v>
      </c>
    </row>
    <row r="156" spans="1:19" ht="24">
      <c r="A156" s="3">
        <v>155</v>
      </c>
      <c r="B156" s="105">
        <v>6510633213</v>
      </c>
      <c r="C156" s="4" t="s">
        <v>29</v>
      </c>
      <c r="D156" s="4" t="s">
        <v>471</v>
      </c>
      <c r="E156" s="4" t="s">
        <v>472</v>
      </c>
      <c r="F156" s="4" t="s">
        <v>473</v>
      </c>
      <c r="G156" s="4" t="s">
        <v>287</v>
      </c>
      <c r="H156" s="4" t="s">
        <v>384</v>
      </c>
      <c r="I156" s="3">
        <v>2</v>
      </c>
      <c r="J156" s="45" t="str">
        <f t="shared" si="18"/>
        <v>1</v>
      </c>
      <c r="K156" s="54" t="str">
        <f t="shared" si="26"/>
        <v>1</v>
      </c>
      <c r="L156" s="69" t="str">
        <f t="shared" si="19"/>
        <v>0</v>
      </c>
      <c r="M156" s="74" t="str">
        <f t="shared" si="20"/>
        <v>0</v>
      </c>
      <c r="N156" s="29" t="str">
        <f t="shared" si="21"/>
        <v>1</v>
      </c>
      <c r="O156" s="61" t="str">
        <f t="shared" ca="1" si="22"/>
        <v>0</v>
      </c>
      <c r="P156" s="65" t="str">
        <f t="shared" si="23"/>
        <v>0</v>
      </c>
      <c r="Q156" s="46">
        <f t="shared" ca="1" si="25"/>
        <v>3</v>
      </c>
      <c r="R156" s="83" t="str">
        <f t="shared" ca="1" si="24"/>
        <v>ผ่าน</v>
      </c>
      <c r="S156" s="3" t="s">
        <v>28</v>
      </c>
    </row>
    <row r="157" spans="1:19" ht="24">
      <c r="A157" s="3">
        <v>156</v>
      </c>
      <c r="B157" s="105">
        <v>6510633216</v>
      </c>
      <c r="C157" s="4" t="s">
        <v>29</v>
      </c>
      <c r="D157" s="4" t="s">
        <v>447</v>
      </c>
      <c r="E157" s="4" t="s">
        <v>474</v>
      </c>
      <c r="F157" s="4" t="s">
        <v>475</v>
      </c>
      <c r="G157" s="4" t="s">
        <v>287</v>
      </c>
      <c r="H157" s="4" t="s">
        <v>384</v>
      </c>
      <c r="I157" s="3">
        <v>2</v>
      </c>
      <c r="J157" s="44" t="str">
        <f t="shared" si="18"/>
        <v>0</v>
      </c>
      <c r="K157" s="54" t="str">
        <f t="shared" si="26"/>
        <v>1</v>
      </c>
      <c r="L157" s="69" t="str">
        <f t="shared" si="19"/>
        <v>0</v>
      </c>
      <c r="M157" s="74" t="str">
        <f t="shared" si="20"/>
        <v>1</v>
      </c>
      <c r="N157" s="29" t="str">
        <f t="shared" si="21"/>
        <v>0</v>
      </c>
      <c r="O157" s="61" t="str">
        <f t="shared" ca="1" si="22"/>
        <v>1</v>
      </c>
      <c r="P157" s="65" t="str">
        <f t="shared" si="23"/>
        <v>0</v>
      </c>
      <c r="Q157" s="46">
        <f t="shared" ca="1" si="25"/>
        <v>3</v>
      </c>
      <c r="R157" s="83" t="str">
        <f t="shared" ca="1" si="24"/>
        <v>ผ่าน</v>
      </c>
      <c r="S157" s="3" t="s">
        <v>28</v>
      </c>
    </row>
    <row r="158" spans="1:19" ht="24">
      <c r="A158" s="3">
        <v>157</v>
      </c>
      <c r="B158" s="105">
        <v>6510633224</v>
      </c>
      <c r="C158" s="4" t="s">
        <v>29</v>
      </c>
      <c r="D158" s="4" t="s">
        <v>476</v>
      </c>
      <c r="E158" s="4" t="s">
        <v>477</v>
      </c>
      <c r="F158" s="4" t="s">
        <v>179</v>
      </c>
      <c r="G158" s="4" t="s">
        <v>287</v>
      </c>
      <c r="H158" s="4" t="s">
        <v>384</v>
      </c>
      <c r="I158" s="3">
        <v>2</v>
      </c>
      <c r="J158" s="45" t="str">
        <f t="shared" si="18"/>
        <v>1</v>
      </c>
      <c r="K158" s="54" t="str">
        <f t="shared" si="26"/>
        <v>1</v>
      </c>
      <c r="L158" s="69" t="str">
        <f t="shared" si="19"/>
        <v>0</v>
      </c>
      <c r="M158" s="74" t="str">
        <f t="shared" si="20"/>
        <v>0</v>
      </c>
      <c r="N158" s="29" t="str">
        <f t="shared" si="21"/>
        <v>1</v>
      </c>
      <c r="O158" s="61" t="str">
        <f t="shared" ca="1" si="22"/>
        <v>1</v>
      </c>
      <c r="P158" s="65" t="str">
        <f t="shared" si="23"/>
        <v>1</v>
      </c>
      <c r="Q158" s="46">
        <f t="shared" ca="1" si="25"/>
        <v>5</v>
      </c>
      <c r="R158" s="83" t="str">
        <f t="shared" ca="1" si="24"/>
        <v>ผ่าน</v>
      </c>
      <c r="S158" s="3" t="s">
        <v>28</v>
      </c>
    </row>
    <row r="159" spans="1:19" ht="24">
      <c r="A159" s="3">
        <v>158</v>
      </c>
      <c r="B159" s="105">
        <v>6510633227</v>
      </c>
      <c r="C159" s="4" t="s">
        <v>29</v>
      </c>
      <c r="D159" s="4" t="s">
        <v>478</v>
      </c>
      <c r="E159" s="4" t="s">
        <v>472</v>
      </c>
      <c r="F159" s="4" t="s">
        <v>479</v>
      </c>
      <c r="G159" s="4" t="s">
        <v>287</v>
      </c>
      <c r="H159" s="4" t="s">
        <v>384</v>
      </c>
      <c r="I159" s="3">
        <v>2</v>
      </c>
      <c r="J159" s="45" t="str">
        <f t="shared" si="18"/>
        <v>1</v>
      </c>
      <c r="K159" s="54" t="str">
        <f t="shared" si="26"/>
        <v>0</v>
      </c>
      <c r="L159" s="69" t="str">
        <f t="shared" si="19"/>
        <v>1</v>
      </c>
      <c r="M159" s="74" t="str">
        <f t="shared" si="20"/>
        <v>0</v>
      </c>
      <c r="N159" s="29" t="str">
        <f t="shared" si="21"/>
        <v>1</v>
      </c>
      <c r="O159" s="61" t="str">
        <f t="shared" ca="1" si="22"/>
        <v>1</v>
      </c>
      <c r="P159" s="65" t="str">
        <f t="shared" si="23"/>
        <v>1</v>
      </c>
      <c r="Q159" s="46">
        <f t="shared" ca="1" si="25"/>
        <v>5</v>
      </c>
      <c r="R159" s="83" t="str">
        <f t="shared" ca="1" si="24"/>
        <v>ผ่าน</v>
      </c>
      <c r="S159" s="3" t="s">
        <v>28</v>
      </c>
    </row>
    <row r="160" spans="1:19" ht="24">
      <c r="A160" s="3">
        <v>159</v>
      </c>
      <c r="B160" s="105">
        <v>6510633230</v>
      </c>
      <c r="C160" s="4" t="s">
        <v>29</v>
      </c>
      <c r="D160" s="4" t="s">
        <v>480</v>
      </c>
      <c r="E160" s="4" t="s">
        <v>206</v>
      </c>
      <c r="F160" s="4" t="s">
        <v>391</v>
      </c>
      <c r="G160" s="4" t="s">
        <v>287</v>
      </c>
      <c r="H160" s="4" t="s">
        <v>384</v>
      </c>
      <c r="I160" s="3">
        <v>2</v>
      </c>
      <c r="J160" s="45" t="str">
        <f t="shared" si="18"/>
        <v>1</v>
      </c>
      <c r="K160" s="54" t="str">
        <f t="shared" si="26"/>
        <v>0</v>
      </c>
      <c r="L160" s="69" t="str">
        <f t="shared" si="19"/>
        <v>1</v>
      </c>
      <c r="M160" s="74" t="str">
        <f t="shared" si="20"/>
        <v>1</v>
      </c>
      <c r="N160" s="29" t="str">
        <f t="shared" si="21"/>
        <v>0</v>
      </c>
      <c r="O160" s="61" t="str">
        <f t="shared" ca="1" si="22"/>
        <v>1</v>
      </c>
      <c r="P160" s="65" t="str">
        <f t="shared" si="23"/>
        <v>1</v>
      </c>
      <c r="Q160" s="46">
        <f t="shared" ca="1" si="25"/>
        <v>5</v>
      </c>
      <c r="R160" s="83" t="str">
        <f t="shared" ca="1" si="24"/>
        <v>ผ่าน</v>
      </c>
      <c r="S160" s="3" t="s">
        <v>28</v>
      </c>
    </row>
    <row r="161" spans="1:19" ht="24">
      <c r="A161" s="3">
        <v>160</v>
      </c>
      <c r="B161" s="105">
        <v>6410633101</v>
      </c>
      <c r="C161" s="4" t="s">
        <v>22</v>
      </c>
      <c r="D161" s="4" t="s">
        <v>481</v>
      </c>
      <c r="E161" s="4" t="s">
        <v>482</v>
      </c>
      <c r="F161" s="4" t="s">
        <v>483</v>
      </c>
      <c r="G161" s="4" t="s">
        <v>287</v>
      </c>
      <c r="H161" s="4" t="s">
        <v>384</v>
      </c>
      <c r="I161" s="3">
        <v>3</v>
      </c>
      <c r="J161" s="45" t="str">
        <f t="shared" si="18"/>
        <v>1</v>
      </c>
      <c r="K161" s="54" t="str">
        <f t="shared" si="26"/>
        <v>0</v>
      </c>
      <c r="L161" s="69" t="str">
        <f t="shared" si="19"/>
        <v>1</v>
      </c>
      <c r="M161" s="74" t="str">
        <f t="shared" si="20"/>
        <v>0</v>
      </c>
      <c r="N161" s="29">
        <v>1</v>
      </c>
      <c r="O161" s="61" t="str">
        <f t="shared" ca="1" si="22"/>
        <v>0</v>
      </c>
      <c r="P161" s="65">
        <v>1</v>
      </c>
      <c r="Q161" s="46">
        <f t="shared" ca="1" si="25"/>
        <v>4</v>
      </c>
      <c r="R161" s="83" t="str">
        <f t="shared" ca="1" si="24"/>
        <v>ผ่าน</v>
      </c>
      <c r="S161" s="3" t="s">
        <v>28</v>
      </c>
    </row>
    <row r="162" spans="1:19" ht="24">
      <c r="A162" s="3">
        <v>161</v>
      </c>
      <c r="B162" s="105">
        <v>6410633102</v>
      </c>
      <c r="C162" s="4" t="s">
        <v>22</v>
      </c>
      <c r="D162" s="4" t="s">
        <v>484</v>
      </c>
      <c r="E162" s="4" t="s">
        <v>485</v>
      </c>
      <c r="F162" s="4" t="s">
        <v>486</v>
      </c>
      <c r="G162" s="4" t="s">
        <v>287</v>
      </c>
      <c r="H162" s="4" t="s">
        <v>384</v>
      </c>
      <c r="I162" s="3">
        <v>3</v>
      </c>
      <c r="J162" s="45" t="str">
        <f t="shared" si="18"/>
        <v>1</v>
      </c>
      <c r="K162" s="54" t="str">
        <f t="shared" si="26"/>
        <v>0</v>
      </c>
      <c r="L162" s="69" t="str">
        <f t="shared" si="19"/>
        <v>1</v>
      </c>
      <c r="M162" s="74" t="str">
        <f t="shared" si="20"/>
        <v>0</v>
      </c>
      <c r="N162" s="29">
        <v>1</v>
      </c>
      <c r="O162" s="61" t="str">
        <f t="shared" ca="1" si="22"/>
        <v>0</v>
      </c>
      <c r="P162" s="65">
        <v>1</v>
      </c>
      <c r="Q162" s="46">
        <f t="shared" ca="1" si="25"/>
        <v>4</v>
      </c>
      <c r="R162" s="83" t="str">
        <f t="shared" ca="1" si="24"/>
        <v>ผ่าน</v>
      </c>
      <c r="S162" s="3" t="s">
        <v>28</v>
      </c>
    </row>
    <row r="163" spans="1:19" ht="24">
      <c r="A163" s="3">
        <v>162</v>
      </c>
      <c r="B163" s="105">
        <v>6410633104</v>
      </c>
      <c r="C163" s="4" t="s">
        <v>22</v>
      </c>
      <c r="D163" s="4" t="s">
        <v>487</v>
      </c>
      <c r="E163" s="4" t="s">
        <v>488</v>
      </c>
      <c r="F163" s="4" t="s">
        <v>489</v>
      </c>
      <c r="G163" s="4" t="s">
        <v>287</v>
      </c>
      <c r="H163" s="4" t="s">
        <v>384</v>
      </c>
      <c r="I163" s="3">
        <v>3</v>
      </c>
      <c r="J163" s="45" t="str">
        <f t="shared" si="18"/>
        <v>1</v>
      </c>
      <c r="K163" s="54" t="str">
        <f t="shared" si="26"/>
        <v>0</v>
      </c>
      <c r="L163" s="69" t="str">
        <f t="shared" si="19"/>
        <v>1</v>
      </c>
      <c r="M163" s="74" t="str">
        <f t="shared" si="20"/>
        <v>0</v>
      </c>
      <c r="N163" s="29">
        <v>1</v>
      </c>
      <c r="O163" s="61" t="str">
        <f t="shared" ca="1" si="22"/>
        <v>0</v>
      </c>
      <c r="P163" s="65">
        <v>1</v>
      </c>
      <c r="Q163" s="46">
        <f t="shared" ca="1" si="25"/>
        <v>4</v>
      </c>
      <c r="R163" s="83" t="str">
        <f t="shared" ca="1" si="24"/>
        <v>ผ่าน</v>
      </c>
      <c r="S163" s="3" t="s">
        <v>28</v>
      </c>
    </row>
    <row r="164" spans="1:19" ht="24">
      <c r="A164" s="3">
        <v>163</v>
      </c>
      <c r="B164" s="105">
        <v>6410633105</v>
      </c>
      <c r="C164" s="4" t="s">
        <v>22</v>
      </c>
      <c r="D164" s="4" t="s">
        <v>490</v>
      </c>
      <c r="E164" s="4" t="s">
        <v>491</v>
      </c>
      <c r="F164" s="4" t="s">
        <v>492</v>
      </c>
      <c r="G164" s="4" t="s">
        <v>287</v>
      </c>
      <c r="H164" s="4" t="s">
        <v>384</v>
      </c>
      <c r="I164" s="3">
        <v>3</v>
      </c>
      <c r="J164" s="45" t="str">
        <f t="shared" si="18"/>
        <v>1</v>
      </c>
      <c r="K164" s="54" t="str">
        <f t="shared" si="26"/>
        <v>0</v>
      </c>
      <c r="L164" s="69" t="str">
        <f t="shared" si="19"/>
        <v>1</v>
      </c>
      <c r="M164" s="74" t="str">
        <f t="shared" si="20"/>
        <v>0</v>
      </c>
      <c r="N164" s="29">
        <v>1</v>
      </c>
      <c r="O164" s="61" t="str">
        <f t="shared" ca="1" si="22"/>
        <v>0</v>
      </c>
      <c r="P164" s="65">
        <v>1</v>
      </c>
      <c r="Q164" s="46">
        <f t="shared" ca="1" si="25"/>
        <v>4</v>
      </c>
      <c r="R164" s="83" t="str">
        <f t="shared" ca="1" si="24"/>
        <v>ผ่าน</v>
      </c>
      <c r="S164" s="3" t="s">
        <v>28</v>
      </c>
    </row>
    <row r="165" spans="1:19" ht="24">
      <c r="A165" s="3">
        <v>164</v>
      </c>
      <c r="B165" s="105">
        <v>6410633106</v>
      </c>
      <c r="C165" s="4" t="s">
        <v>22</v>
      </c>
      <c r="D165" s="4" t="s">
        <v>493</v>
      </c>
      <c r="E165" s="4" t="s">
        <v>494</v>
      </c>
      <c r="F165" s="4" t="s">
        <v>495</v>
      </c>
      <c r="G165" s="4" t="s">
        <v>287</v>
      </c>
      <c r="H165" s="4" t="s">
        <v>384</v>
      </c>
      <c r="I165" s="3">
        <v>3</v>
      </c>
      <c r="J165" s="45" t="str">
        <f t="shared" si="18"/>
        <v>1</v>
      </c>
      <c r="K165" s="54" t="str">
        <f t="shared" si="26"/>
        <v>0</v>
      </c>
      <c r="L165" s="69" t="str">
        <f t="shared" si="19"/>
        <v>1</v>
      </c>
      <c r="M165" s="74" t="str">
        <f t="shared" si="20"/>
        <v>0</v>
      </c>
      <c r="N165" s="29">
        <v>1</v>
      </c>
      <c r="O165" s="61" t="str">
        <f t="shared" ca="1" si="22"/>
        <v>0</v>
      </c>
      <c r="P165" s="65">
        <v>1</v>
      </c>
      <c r="Q165" s="46">
        <f t="shared" ca="1" si="25"/>
        <v>4</v>
      </c>
      <c r="R165" s="83" t="str">
        <f t="shared" ca="1" si="24"/>
        <v>ผ่าน</v>
      </c>
      <c r="S165" s="3" t="s">
        <v>28</v>
      </c>
    </row>
    <row r="166" spans="1:19" ht="24">
      <c r="A166" s="3">
        <v>165</v>
      </c>
      <c r="B166" s="105">
        <v>6410633108</v>
      </c>
      <c r="C166" s="4" t="s">
        <v>22</v>
      </c>
      <c r="D166" s="4" t="s">
        <v>496</v>
      </c>
      <c r="E166" s="4" t="s">
        <v>497</v>
      </c>
      <c r="F166" s="4" t="s">
        <v>498</v>
      </c>
      <c r="G166" s="4" t="s">
        <v>287</v>
      </c>
      <c r="H166" s="4" t="s">
        <v>384</v>
      </c>
      <c r="I166" s="3">
        <v>3</v>
      </c>
      <c r="J166" s="45" t="str">
        <f t="shared" si="18"/>
        <v>1</v>
      </c>
      <c r="K166" s="54" t="str">
        <f t="shared" si="26"/>
        <v>0</v>
      </c>
      <c r="L166" s="69" t="str">
        <f t="shared" si="19"/>
        <v>1</v>
      </c>
      <c r="M166" s="74" t="str">
        <f t="shared" si="20"/>
        <v>0</v>
      </c>
      <c r="N166" s="29">
        <v>1</v>
      </c>
      <c r="O166" s="61">
        <v>1</v>
      </c>
      <c r="P166" s="65">
        <v>1</v>
      </c>
      <c r="Q166" s="46">
        <f t="shared" si="25"/>
        <v>5</v>
      </c>
      <c r="R166" s="83" t="str">
        <f t="shared" si="24"/>
        <v>ผ่าน</v>
      </c>
      <c r="S166" s="3" t="s">
        <v>28</v>
      </c>
    </row>
    <row r="167" spans="1:19" ht="24">
      <c r="A167" s="3">
        <v>166</v>
      </c>
      <c r="B167" s="105">
        <v>6410633111</v>
      </c>
      <c r="C167" s="4" t="s">
        <v>22</v>
      </c>
      <c r="D167" s="4" t="s">
        <v>499</v>
      </c>
      <c r="E167" s="4" t="s">
        <v>500</v>
      </c>
      <c r="F167" s="4" t="s">
        <v>501</v>
      </c>
      <c r="G167" s="4" t="s">
        <v>287</v>
      </c>
      <c r="H167" s="4" t="s">
        <v>384</v>
      </c>
      <c r="I167" s="3">
        <v>3</v>
      </c>
      <c r="J167" s="45" t="str">
        <f t="shared" si="18"/>
        <v>1</v>
      </c>
      <c r="K167" s="54" t="str">
        <f t="shared" si="26"/>
        <v>0</v>
      </c>
      <c r="L167" s="69" t="str">
        <f t="shared" si="19"/>
        <v>1</v>
      </c>
      <c r="M167" s="74" t="str">
        <f t="shared" si="20"/>
        <v>0</v>
      </c>
      <c r="N167" s="29" t="str">
        <f t="shared" si="21"/>
        <v>1</v>
      </c>
      <c r="O167" s="61" t="str">
        <f t="shared" ca="1" si="22"/>
        <v>1</v>
      </c>
      <c r="P167" s="65" t="str">
        <f t="shared" si="23"/>
        <v>1</v>
      </c>
      <c r="Q167" s="46">
        <f t="shared" ca="1" si="25"/>
        <v>5</v>
      </c>
      <c r="R167" s="83" t="str">
        <f t="shared" ca="1" si="24"/>
        <v>ผ่าน</v>
      </c>
      <c r="S167" s="3" t="s">
        <v>28</v>
      </c>
    </row>
    <row r="168" spans="1:19" ht="24">
      <c r="A168" s="3">
        <v>167</v>
      </c>
      <c r="B168" s="105">
        <v>6410633113</v>
      </c>
      <c r="C168" s="4" t="s">
        <v>29</v>
      </c>
      <c r="D168" s="4" t="s">
        <v>502</v>
      </c>
      <c r="E168" s="4" t="s">
        <v>503</v>
      </c>
      <c r="F168" s="4" t="s">
        <v>504</v>
      </c>
      <c r="G168" s="4" t="s">
        <v>287</v>
      </c>
      <c r="H168" s="4" t="s">
        <v>384</v>
      </c>
      <c r="I168" s="3">
        <v>3</v>
      </c>
      <c r="J168" s="45" t="str">
        <f t="shared" si="18"/>
        <v>1</v>
      </c>
      <c r="K168" s="54" t="str">
        <f t="shared" si="26"/>
        <v>0</v>
      </c>
      <c r="L168" s="69" t="str">
        <f t="shared" si="19"/>
        <v>1</v>
      </c>
      <c r="M168" s="74" t="str">
        <f t="shared" si="20"/>
        <v>0</v>
      </c>
      <c r="N168" s="29" t="str">
        <f t="shared" si="21"/>
        <v>1</v>
      </c>
      <c r="O168" s="61" t="str">
        <f t="shared" ca="1" si="22"/>
        <v>0</v>
      </c>
      <c r="P168" s="65" t="str">
        <f t="shared" si="23"/>
        <v>1</v>
      </c>
      <c r="Q168" s="46">
        <f t="shared" ca="1" si="25"/>
        <v>4</v>
      </c>
      <c r="R168" s="83" t="str">
        <f t="shared" ca="1" si="24"/>
        <v>ผ่าน</v>
      </c>
      <c r="S168" s="3" t="s">
        <v>28</v>
      </c>
    </row>
    <row r="169" spans="1:19" ht="24">
      <c r="A169" s="3">
        <v>168</v>
      </c>
      <c r="B169" s="105">
        <v>6410633115</v>
      </c>
      <c r="C169" s="4" t="s">
        <v>29</v>
      </c>
      <c r="D169" s="4" t="s">
        <v>505</v>
      </c>
      <c r="E169" s="4" t="s">
        <v>506</v>
      </c>
      <c r="F169" s="4" t="s">
        <v>507</v>
      </c>
      <c r="G169" s="4" t="s">
        <v>287</v>
      </c>
      <c r="H169" s="4" t="s">
        <v>384</v>
      </c>
      <c r="I169" s="3">
        <v>3</v>
      </c>
      <c r="J169" s="45" t="str">
        <f t="shared" si="18"/>
        <v>1</v>
      </c>
      <c r="K169" s="54" t="str">
        <f t="shared" si="26"/>
        <v>0</v>
      </c>
      <c r="L169" s="69" t="str">
        <f t="shared" si="19"/>
        <v>1</v>
      </c>
      <c r="M169" s="74" t="str">
        <f t="shared" si="20"/>
        <v>0</v>
      </c>
      <c r="N169" s="29" t="str">
        <f t="shared" si="21"/>
        <v>1</v>
      </c>
      <c r="O169" s="61" t="str">
        <f t="shared" ca="1" si="22"/>
        <v>1</v>
      </c>
      <c r="P169" s="65" t="str">
        <f t="shared" si="23"/>
        <v>1</v>
      </c>
      <c r="Q169" s="46">
        <f t="shared" ca="1" si="25"/>
        <v>5</v>
      </c>
      <c r="R169" s="83" t="str">
        <f t="shared" ca="1" si="24"/>
        <v>ผ่าน</v>
      </c>
      <c r="S169" s="3" t="s">
        <v>28</v>
      </c>
    </row>
    <row r="170" spans="1:19" ht="24">
      <c r="A170" s="3">
        <v>169</v>
      </c>
      <c r="B170" s="105">
        <v>6410633119</v>
      </c>
      <c r="C170" s="4" t="s">
        <v>29</v>
      </c>
      <c r="D170" s="4" t="s">
        <v>508</v>
      </c>
      <c r="E170" s="4" t="s">
        <v>509</v>
      </c>
      <c r="F170" s="4" t="s">
        <v>510</v>
      </c>
      <c r="G170" s="4" t="s">
        <v>287</v>
      </c>
      <c r="H170" s="4" t="s">
        <v>384</v>
      </c>
      <c r="I170" s="3">
        <v>3</v>
      </c>
      <c r="J170" s="45" t="str">
        <f t="shared" si="18"/>
        <v>1</v>
      </c>
      <c r="K170" s="54" t="str">
        <f t="shared" si="26"/>
        <v>0</v>
      </c>
      <c r="L170" s="69" t="str">
        <f t="shared" si="19"/>
        <v>1</v>
      </c>
      <c r="M170" s="74" t="str">
        <f t="shared" si="20"/>
        <v>0</v>
      </c>
      <c r="N170" s="29">
        <v>1</v>
      </c>
      <c r="O170" s="61" t="str">
        <f t="shared" ca="1" si="22"/>
        <v>0</v>
      </c>
      <c r="P170" s="65" t="str">
        <f t="shared" si="23"/>
        <v>0</v>
      </c>
      <c r="Q170" s="46">
        <f t="shared" ca="1" si="25"/>
        <v>3</v>
      </c>
      <c r="R170" s="83" t="str">
        <f t="shared" ca="1" si="24"/>
        <v>ผ่าน</v>
      </c>
      <c r="S170" s="3" t="s">
        <v>28</v>
      </c>
    </row>
    <row r="171" spans="1:19" ht="24">
      <c r="A171" s="3">
        <v>170</v>
      </c>
      <c r="B171" s="105">
        <v>6410633120</v>
      </c>
      <c r="C171" s="4" t="s">
        <v>29</v>
      </c>
      <c r="D171" s="4" t="s">
        <v>447</v>
      </c>
      <c r="E171" s="4" t="s">
        <v>511</v>
      </c>
      <c r="F171" s="4" t="s">
        <v>512</v>
      </c>
      <c r="G171" s="4" t="s">
        <v>287</v>
      </c>
      <c r="H171" s="4" t="s">
        <v>384</v>
      </c>
      <c r="I171" s="3">
        <v>3</v>
      </c>
      <c r="J171" s="45" t="str">
        <f t="shared" si="18"/>
        <v>1</v>
      </c>
      <c r="K171" s="54" t="str">
        <f t="shared" si="26"/>
        <v>0</v>
      </c>
      <c r="L171" s="69" t="str">
        <f t="shared" si="19"/>
        <v>1</v>
      </c>
      <c r="M171" s="74" t="str">
        <f t="shared" si="20"/>
        <v>0</v>
      </c>
      <c r="N171" s="29" t="str">
        <f t="shared" si="21"/>
        <v>1</v>
      </c>
      <c r="O171" s="61" t="str">
        <f t="shared" ca="1" si="22"/>
        <v>1</v>
      </c>
      <c r="P171" s="65" t="str">
        <f t="shared" si="23"/>
        <v>1</v>
      </c>
      <c r="Q171" s="46">
        <f t="shared" ca="1" si="25"/>
        <v>5</v>
      </c>
      <c r="R171" s="83" t="str">
        <f t="shared" ca="1" si="24"/>
        <v>ผ่าน</v>
      </c>
      <c r="S171" s="3" t="s">
        <v>28</v>
      </c>
    </row>
    <row r="172" spans="1:19" ht="24">
      <c r="A172" s="3">
        <v>171</v>
      </c>
      <c r="B172" s="105">
        <v>6410633124</v>
      </c>
      <c r="C172" s="4" t="s">
        <v>29</v>
      </c>
      <c r="D172" s="4" t="s">
        <v>513</v>
      </c>
      <c r="E172" s="4" t="s">
        <v>514</v>
      </c>
      <c r="F172" s="4" t="s">
        <v>515</v>
      </c>
      <c r="G172" s="4" t="s">
        <v>287</v>
      </c>
      <c r="H172" s="4" t="s">
        <v>384</v>
      </c>
      <c r="I172" s="3">
        <v>3</v>
      </c>
      <c r="J172" s="45" t="str">
        <f t="shared" si="18"/>
        <v>1</v>
      </c>
      <c r="K172" s="54" t="str">
        <f t="shared" si="26"/>
        <v>0</v>
      </c>
      <c r="L172" s="69" t="str">
        <f t="shared" si="19"/>
        <v>1</v>
      </c>
      <c r="M172" s="74" t="str">
        <f t="shared" si="20"/>
        <v>0</v>
      </c>
      <c r="N172" s="29" t="str">
        <f t="shared" si="21"/>
        <v>1</v>
      </c>
      <c r="O172" s="61" t="str">
        <f t="shared" ca="1" si="22"/>
        <v>0</v>
      </c>
      <c r="P172" s="65" t="str">
        <f t="shared" si="23"/>
        <v>0</v>
      </c>
      <c r="Q172" s="46">
        <f t="shared" ca="1" si="25"/>
        <v>3</v>
      </c>
      <c r="R172" s="83" t="str">
        <f t="shared" ca="1" si="24"/>
        <v>ผ่าน</v>
      </c>
      <c r="S172" s="3" t="s">
        <v>28</v>
      </c>
    </row>
    <row r="173" spans="1:19" ht="24">
      <c r="A173" s="3">
        <v>172</v>
      </c>
      <c r="B173" s="105">
        <v>6410633201</v>
      </c>
      <c r="C173" s="4" t="s">
        <v>22</v>
      </c>
      <c r="D173" s="4" t="s">
        <v>516</v>
      </c>
      <c r="E173" s="4" t="s">
        <v>517</v>
      </c>
      <c r="F173" s="4" t="s">
        <v>518</v>
      </c>
      <c r="G173" s="4" t="s">
        <v>287</v>
      </c>
      <c r="H173" s="4" t="s">
        <v>384</v>
      </c>
      <c r="I173" s="3">
        <v>3</v>
      </c>
      <c r="J173" s="45" t="str">
        <f t="shared" si="18"/>
        <v>1</v>
      </c>
      <c r="K173" s="54" t="str">
        <f t="shared" si="26"/>
        <v>0</v>
      </c>
      <c r="L173" s="69" t="str">
        <f t="shared" si="19"/>
        <v>1</v>
      </c>
      <c r="M173" s="74" t="str">
        <f t="shared" si="20"/>
        <v>0</v>
      </c>
      <c r="N173" s="29">
        <v>1</v>
      </c>
      <c r="O173" s="61">
        <v>1</v>
      </c>
      <c r="P173" s="65">
        <v>1</v>
      </c>
      <c r="Q173" s="46">
        <f t="shared" si="25"/>
        <v>5</v>
      </c>
      <c r="R173" s="83" t="str">
        <f t="shared" si="24"/>
        <v>ผ่าน</v>
      </c>
      <c r="S173" s="3" t="s">
        <v>28</v>
      </c>
    </row>
    <row r="174" spans="1:19" ht="24">
      <c r="A174" s="3">
        <v>173</v>
      </c>
      <c r="B174" s="105">
        <v>6410633203</v>
      </c>
      <c r="C174" s="4" t="s">
        <v>22</v>
      </c>
      <c r="D174" s="4" t="s">
        <v>519</v>
      </c>
      <c r="E174" s="4" t="s">
        <v>520</v>
      </c>
      <c r="F174" s="4" t="s">
        <v>479</v>
      </c>
      <c r="G174" s="4" t="s">
        <v>287</v>
      </c>
      <c r="H174" s="4" t="s">
        <v>384</v>
      </c>
      <c r="I174" s="3">
        <v>3</v>
      </c>
      <c r="J174" s="45" t="str">
        <f t="shared" si="18"/>
        <v>1</v>
      </c>
      <c r="K174" s="54" t="str">
        <f t="shared" si="26"/>
        <v>0</v>
      </c>
      <c r="L174" s="69" t="str">
        <f t="shared" si="19"/>
        <v>1</v>
      </c>
      <c r="M174" s="74" t="str">
        <f t="shared" si="20"/>
        <v>0</v>
      </c>
      <c r="N174" s="29">
        <v>1</v>
      </c>
      <c r="O174" s="61" t="str">
        <f t="shared" ca="1" si="22"/>
        <v>0</v>
      </c>
      <c r="P174" s="65">
        <v>1</v>
      </c>
      <c r="Q174" s="46">
        <f t="shared" ca="1" si="25"/>
        <v>4</v>
      </c>
      <c r="R174" s="83" t="str">
        <f t="shared" ca="1" si="24"/>
        <v>ผ่าน</v>
      </c>
      <c r="S174" s="3" t="s">
        <v>28</v>
      </c>
    </row>
    <row r="175" spans="1:19" ht="24">
      <c r="A175" s="3">
        <v>174</v>
      </c>
      <c r="B175" s="105">
        <v>6410633204</v>
      </c>
      <c r="C175" s="4" t="s">
        <v>22</v>
      </c>
      <c r="D175" s="4" t="s">
        <v>521</v>
      </c>
      <c r="E175" s="4" t="s">
        <v>522</v>
      </c>
      <c r="F175" s="4" t="s">
        <v>401</v>
      </c>
      <c r="G175" s="4" t="s">
        <v>287</v>
      </c>
      <c r="H175" s="4" t="s">
        <v>384</v>
      </c>
      <c r="I175" s="3">
        <v>3</v>
      </c>
      <c r="J175" s="45" t="str">
        <f t="shared" si="18"/>
        <v>1</v>
      </c>
      <c r="K175" s="54" t="str">
        <f t="shared" si="26"/>
        <v>0</v>
      </c>
      <c r="L175" s="69" t="str">
        <f t="shared" si="19"/>
        <v>1</v>
      </c>
      <c r="M175" s="74" t="str">
        <f t="shared" si="20"/>
        <v>0</v>
      </c>
      <c r="N175" s="29">
        <v>1</v>
      </c>
      <c r="O175" s="61">
        <v>1</v>
      </c>
      <c r="P175" s="65">
        <v>1</v>
      </c>
      <c r="Q175" s="46">
        <f t="shared" si="25"/>
        <v>5</v>
      </c>
      <c r="R175" s="83" t="str">
        <f t="shared" si="24"/>
        <v>ผ่าน</v>
      </c>
      <c r="S175" s="3" t="s">
        <v>28</v>
      </c>
    </row>
    <row r="176" spans="1:19" ht="24">
      <c r="A176" s="3">
        <v>175</v>
      </c>
      <c r="B176" s="105">
        <v>6410633207</v>
      </c>
      <c r="C176" s="4" t="s">
        <v>22</v>
      </c>
      <c r="D176" s="4" t="s">
        <v>523</v>
      </c>
      <c r="E176" s="4" t="s">
        <v>524</v>
      </c>
      <c r="F176" s="4" t="s">
        <v>525</v>
      </c>
      <c r="G176" s="4" t="s">
        <v>287</v>
      </c>
      <c r="H176" s="4" t="s">
        <v>384</v>
      </c>
      <c r="I176" s="3">
        <v>3</v>
      </c>
      <c r="J176" s="45" t="str">
        <f t="shared" si="18"/>
        <v>1</v>
      </c>
      <c r="K176" s="54" t="str">
        <f t="shared" si="26"/>
        <v>0</v>
      </c>
      <c r="L176" s="69" t="str">
        <f t="shared" si="19"/>
        <v>1</v>
      </c>
      <c r="M176" s="74" t="str">
        <f t="shared" si="20"/>
        <v>0</v>
      </c>
      <c r="N176" s="29">
        <v>1</v>
      </c>
      <c r="O176" s="61" t="str">
        <f t="shared" ca="1" si="22"/>
        <v>0</v>
      </c>
      <c r="P176" s="65">
        <v>1</v>
      </c>
      <c r="Q176" s="46">
        <f t="shared" ca="1" si="25"/>
        <v>4</v>
      </c>
      <c r="R176" s="83" t="str">
        <f t="shared" ca="1" si="24"/>
        <v>ผ่าน</v>
      </c>
      <c r="S176" s="3" t="s">
        <v>28</v>
      </c>
    </row>
    <row r="177" spans="1:19" ht="24">
      <c r="A177" s="3">
        <v>176</v>
      </c>
      <c r="B177" s="105">
        <v>6410633208</v>
      </c>
      <c r="C177" s="4" t="s">
        <v>22</v>
      </c>
      <c r="D177" s="4" t="s">
        <v>526</v>
      </c>
      <c r="E177" s="4" t="s">
        <v>527</v>
      </c>
      <c r="F177" s="4" t="s">
        <v>528</v>
      </c>
      <c r="G177" s="4" t="s">
        <v>287</v>
      </c>
      <c r="H177" s="4" t="s">
        <v>384</v>
      </c>
      <c r="I177" s="3">
        <v>3</v>
      </c>
      <c r="J177" s="45" t="str">
        <f t="shared" si="18"/>
        <v>1</v>
      </c>
      <c r="K177" s="54" t="str">
        <f t="shared" si="26"/>
        <v>0</v>
      </c>
      <c r="L177" s="69" t="str">
        <f t="shared" si="19"/>
        <v>1</v>
      </c>
      <c r="M177" s="74" t="str">
        <f t="shared" si="20"/>
        <v>0</v>
      </c>
      <c r="N177" s="29">
        <v>1</v>
      </c>
      <c r="O177" s="61" t="str">
        <f t="shared" ca="1" si="22"/>
        <v>0</v>
      </c>
      <c r="P177" s="65">
        <v>1</v>
      </c>
      <c r="Q177" s="46">
        <f t="shared" ca="1" si="25"/>
        <v>4</v>
      </c>
      <c r="R177" s="83" t="str">
        <f t="shared" ca="1" si="24"/>
        <v>ผ่าน</v>
      </c>
      <c r="S177" s="3" t="s">
        <v>28</v>
      </c>
    </row>
    <row r="178" spans="1:19" ht="24">
      <c r="A178" s="3">
        <v>177</v>
      </c>
      <c r="B178" s="105">
        <v>6410633209</v>
      </c>
      <c r="C178" s="4" t="s">
        <v>22</v>
      </c>
      <c r="D178" s="4" t="s">
        <v>22</v>
      </c>
      <c r="E178" s="4" t="s">
        <v>529</v>
      </c>
      <c r="F178" s="4" t="s">
        <v>530</v>
      </c>
      <c r="G178" s="4" t="s">
        <v>287</v>
      </c>
      <c r="H178" s="4" t="s">
        <v>384</v>
      </c>
      <c r="I178" s="3">
        <v>3</v>
      </c>
      <c r="J178" s="45" t="str">
        <f t="shared" si="18"/>
        <v>1</v>
      </c>
      <c r="K178" s="54" t="str">
        <f t="shared" si="26"/>
        <v>0</v>
      </c>
      <c r="L178" s="69" t="str">
        <f t="shared" si="19"/>
        <v>1</v>
      </c>
      <c r="M178" s="74" t="str">
        <f t="shared" si="20"/>
        <v>0</v>
      </c>
      <c r="N178" s="29">
        <v>1</v>
      </c>
      <c r="O178" s="61" t="str">
        <f t="shared" ca="1" si="22"/>
        <v>0</v>
      </c>
      <c r="P178" s="65">
        <v>1</v>
      </c>
      <c r="Q178" s="46">
        <f t="shared" ca="1" si="25"/>
        <v>4</v>
      </c>
      <c r="R178" s="83" t="str">
        <f t="shared" ca="1" si="24"/>
        <v>ผ่าน</v>
      </c>
      <c r="S178" s="3" t="s">
        <v>28</v>
      </c>
    </row>
    <row r="179" spans="1:19" ht="24">
      <c r="A179" s="3">
        <v>178</v>
      </c>
      <c r="B179" s="105">
        <v>6410633211</v>
      </c>
      <c r="C179" s="4" t="s">
        <v>22</v>
      </c>
      <c r="D179" s="4" t="s">
        <v>531</v>
      </c>
      <c r="E179" s="4" t="s">
        <v>532</v>
      </c>
      <c r="F179" s="4" t="s">
        <v>270</v>
      </c>
      <c r="G179" s="4" t="s">
        <v>287</v>
      </c>
      <c r="H179" s="4" t="s">
        <v>384</v>
      </c>
      <c r="I179" s="3">
        <v>3</v>
      </c>
      <c r="J179" s="45" t="str">
        <f t="shared" si="18"/>
        <v>1</v>
      </c>
      <c r="K179" s="54" t="str">
        <f t="shared" si="26"/>
        <v>0</v>
      </c>
      <c r="L179" s="69" t="str">
        <f t="shared" si="19"/>
        <v>1</v>
      </c>
      <c r="M179" s="74" t="str">
        <f t="shared" si="20"/>
        <v>0</v>
      </c>
      <c r="N179" s="29">
        <v>1</v>
      </c>
      <c r="O179" s="61" t="str">
        <f t="shared" ca="1" si="22"/>
        <v>0</v>
      </c>
      <c r="P179" s="65">
        <v>1</v>
      </c>
      <c r="Q179" s="46">
        <f t="shared" ca="1" si="25"/>
        <v>4</v>
      </c>
      <c r="R179" s="83" t="str">
        <f t="shared" ca="1" si="24"/>
        <v>ผ่าน</v>
      </c>
      <c r="S179" s="3" t="s">
        <v>28</v>
      </c>
    </row>
    <row r="180" spans="1:19" ht="24">
      <c r="A180" s="3">
        <v>179</v>
      </c>
      <c r="B180" s="105">
        <v>6410633223</v>
      </c>
      <c r="C180" s="4" t="s">
        <v>29</v>
      </c>
      <c r="D180" s="4" t="s">
        <v>533</v>
      </c>
      <c r="E180" s="4" t="s">
        <v>534</v>
      </c>
      <c r="F180" s="4" t="s">
        <v>535</v>
      </c>
      <c r="G180" s="4" t="s">
        <v>287</v>
      </c>
      <c r="H180" s="4" t="s">
        <v>384</v>
      </c>
      <c r="I180" s="3">
        <v>3</v>
      </c>
      <c r="J180" s="45" t="str">
        <f t="shared" si="18"/>
        <v>1</v>
      </c>
      <c r="K180" s="54" t="str">
        <f t="shared" si="26"/>
        <v>0</v>
      </c>
      <c r="L180" s="69" t="str">
        <f t="shared" si="19"/>
        <v>1</v>
      </c>
      <c r="M180" s="74" t="str">
        <f t="shared" si="20"/>
        <v>0</v>
      </c>
      <c r="N180" s="29">
        <v>1</v>
      </c>
      <c r="O180" s="61" t="str">
        <f t="shared" ca="1" si="22"/>
        <v>0</v>
      </c>
      <c r="P180" s="65" t="str">
        <f t="shared" si="23"/>
        <v>1</v>
      </c>
      <c r="Q180" s="46">
        <f t="shared" ca="1" si="25"/>
        <v>4</v>
      </c>
      <c r="R180" s="83" t="str">
        <f t="shared" ca="1" si="24"/>
        <v>ผ่าน</v>
      </c>
      <c r="S180" s="3" t="s">
        <v>28</v>
      </c>
    </row>
    <row r="181" spans="1:19" ht="24">
      <c r="A181" s="3">
        <v>180</v>
      </c>
      <c r="B181" s="105">
        <v>6410633229</v>
      </c>
      <c r="C181" s="4" t="s">
        <v>29</v>
      </c>
      <c r="D181" s="4" t="s">
        <v>536</v>
      </c>
      <c r="E181" s="4" t="s">
        <v>537</v>
      </c>
      <c r="F181" s="4" t="s">
        <v>179</v>
      </c>
      <c r="G181" s="4" t="s">
        <v>287</v>
      </c>
      <c r="H181" s="4" t="s">
        <v>384</v>
      </c>
      <c r="I181" s="3">
        <v>3</v>
      </c>
      <c r="J181" s="45" t="str">
        <f t="shared" si="18"/>
        <v>1</v>
      </c>
      <c r="K181" s="54" t="str">
        <f t="shared" si="26"/>
        <v>0</v>
      </c>
      <c r="L181" s="69" t="str">
        <f t="shared" si="19"/>
        <v>1</v>
      </c>
      <c r="M181" s="74" t="str">
        <f t="shared" si="20"/>
        <v>0</v>
      </c>
      <c r="N181" s="29" t="str">
        <f t="shared" si="21"/>
        <v>1</v>
      </c>
      <c r="O181" s="61" t="str">
        <f t="shared" ca="1" si="22"/>
        <v>0</v>
      </c>
      <c r="P181" s="65" t="str">
        <f t="shared" si="23"/>
        <v>1</v>
      </c>
      <c r="Q181" s="46">
        <f t="shared" ca="1" si="25"/>
        <v>4</v>
      </c>
      <c r="R181" s="83" t="str">
        <f t="shared" ca="1" si="24"/>
        <v>ผ่าน</v>
      </c>
      <c r="S181" s="3" t="s">
        <v>28</v>
      </c>
    </row>
    <row r="182" spans="1:19" ht="24">
      <c r="A182" s="3">
        <v>181</v>
      </c>
      <c r="B182" s="105">
        <v>6410633230</v>
      </c>
      <c r="C182" s="4" t="s">
        <v>29</v>
      </c>
      <c r="D182" s="4" t="s">
        <v>295</v>
      </c>
      <c r="E182" s="4" t="s">
        <v>538</v>
      </c>
      <c r="F182" s="4" t="s">
        <v>38</v>
      </c>
      <c r="G182" s="4" t="s">
        <v>287</v>
      </c>
      <c r="H182" s="4" t="s">
        <v>384</v>
      </c>
      <c r="I182" s="3">
        <v>3</v>
      </c>
      <c r="J182" s="45" t="str">
        <f t="shared" si="18"/>
        <v>1</v>
      </c>
      <c r="K182" s="54" t="str">
        <f t="shared" si="26"/>
        <v>0</v>
      </c>
      <c r="L182" s="69" t="str">
        <f t="shared" si="19"/>
        <v>1</v>
      </c>
      <c r="M182" s="74" t="str">
        <f t="shared" si="20"/>
        <v>0</v>
      </c>
      <c r="N182" s="29">
        <v>1</v>
      </c>
      <c r="O182" s="61" t="str">
        <f t="shared" ca="1" si="22"/>
        <v>1</v>
      </c>
      <c r="P182" s="65" t="str">
        <f t="shared" si="23"/>
        <v>1</v>
      </c>
      <c r="Q182" s="46">
        <f t="shared" ca="1" si="25"/>
        <v>5</v>
      </c>
      <c r="R182" s="83" t="str">
        <f t="shared" ca="1" si="24"/>
        <v>ผ่าน</v>
      </c>
      <c r="S182" s="3" t="s">
        <v>28</v>
      </c>
    </row>
    <row r="183" spans="1:19" ht="24">
      <c r="A183" s="3">
        <v>182</v>
      </c>
      <c r="B183" s="105">
        <v>6410633231</v>
      </c>
      <c r="C183" s="4" t="s">
        <v>29</v>
      </c>
      <c r="D183" s="4" t="s">
        <v>539</v>
      </c>
      <c r="E183" s="4" t="s">
        <v>540</v>
      </c>
      <c r="F183" s="4" t="s">
        <v>391</v>
      </c>
      <c r="G183" s="4" t="s">
        <v>287</v>
      </c>
      <c r="H183" s="4" t="s">
        <v>384</v>
      </c>
      <c r="I183" s="3">
        <v>3</v>
      </c>
      <c r="J183" s="44" t="str">
        <f t="shared" si="18"/>
        <v>0</v>
      </c>
      <c r="K183" s="54" t="str">
        <f t="shared" si="26"/>
        <v>0</v>
      </c>
      <c r="L183" s="69" t="str">
        <f t="shared" si="19"/>
        <v>1</v>
      </c>
      <c r="M183" s="74" t="str">
        <f t="shared" si="20"/>
        <v>0</v>
      </c>
      <c r="N183" s="29">
        <v>1</v>
      </c>
      <c r="O183" s="61">
        <v>1</v>
      </c>
      <c r="P183" s="65">
        <v>1</v>
      </c>
      <c r="Q183" s="46">
        <f t="shared" si="25"/>
        <v>4</v>
      </c>
      <c r="R183" s="83" t="str">
        <f t="shared" si="24"/>
        <v>ผ่าน</v>
      </c>
      <c r="S183" s="3" t="s">
        <v>28</v>
      </c>
    </row>
    <row r="184" spans="1:19" ht="24">
      <c r="A184" s="3">
        <v>183</v>
      </c>
      <c r="B184" s="105">
        <v>6310633104</v>
      </c>
      <c r="C184" s="4" t="s">
        <v>22</v>
      </c>
      <c r="D184" s="4" t="s">
        <v>541</v>
      </c>
      <c r="E184" s="4" t="s">
        <v>542</v>
      </c>
      <c r="F184" s="4" t="s">
        <v>543</v>
      </c>
      <c r="G184" s="4" t="s">
        <v>287</v>
      </c>
      <c r="H184" s="4" t="s">
        <v>384</v>
      </c>
      <c r="I184" s="3">
        <v>4</v>
      </c>
      <c r="J184" s="44" t="str">
        <f t="shared" si="18"/>
        <v>0</v>
      </c>
      <c r="K184" s="54" t="str">
        <f t="shared" si="26"/>
        <v>1</v>
      </c>
      <c r="L184" s="69" t="str">
        <f t="shared" si="19"/>
        <v>0</v>
      </c>
      <c r="M184" s="74" t="str">
        <f t="shared" si="20"/>
        <v>1</v>
      </c>
      <c r="N184" s="29" t="str">
        <f t="shared" si="21"/>
        <v>0</v>
      </c>
      <c r="O184" s="61">
        <v>1</v>
      </c>
      <c r="P184" s="65">
        <v>1</v>
      </c>
      <c r="Q184" s="46">
        <f t="shared" si="25"/>
        <v>4</v>
      </c>
      <c r="R184" s="83" t="str">
        <f t="shared" si="24"/>
        <v>ผ่าน</v>
      </c>
      <c r="S184" s="3" t="s">
        <v>28</v>
      </c>
    </row>
    <row r="185" spans="1:19" ht="24">
      <c r="A185" s="3">
        <v>184</v>
      </c>
      <c r="B185" s="105">
        <v>6310633106</v>
      </c>
      <c r="C185" s="4" t="s">
        <v>22</v>
      </c>
      <c r="D185" s="4" t="s">
        <v>544</v>
      </c>
      <c r="E185" s="4" t="s">
        <v>545</v>
      </c>
      <c r="F185" s="4" t="s">
        <v>546</v>
      </c>
      <c r="G185" s="4" t="s">
        <v>287</v>
      </c>
      <c r="H185" s="4" t="s">
        <v>384</v>
      </c>
      <c r="I185" s="3">
        <v>4</v>
      </c>
      <c r="J185" s="44" t="str">
        <f t="shared" si="18"/>
        <v>0</v>
      </c>
      <c r="K185" s="54" t="str">
        <f t="shared" si="26"/>
        <v>0</v>
      </c>
      <c r="L185" s="69" t="str">
        <f t="shared" si="19"/>
        <v>0</v>
      </c>
      <c r="M185" s="74" t="str">
        <f t="shared" si="20"/>
        <v>0</v>
      </c>
      <c r="N185" s="29" t="str">
        <f t="shared" si="21"/>
        <v>1</v>
      </c>
      <c r="O185" s="61">
        <v>1</v>
      </c>
      <c r="P185" s="65">
        <v>1</v>
      </c>
      <c r="Q185" s="46">
        <f t="shared" si="25"/>
        <v>3</v>
      </c>
      <c r="R185" s="83" t="str">
        <f t="shared" si="24"/>
        <v>ผ่าน</v>
      </c>
      <c r="S185" s="3" t="s">
        <v>28</v>
      </c>
    </row>
    <row r="186" spans="1:19" ht="24">
      <c r="A186" s="3">
        <v>185</v>
      </c>
      <c r="B186" s="105">
        <v>6310633110</v>
      </c>
      <c r="C186" s="4" t="s">
        <v>22</v>
      </c>
      <c r="D186" s="4" t="s">
        <v>547</v>
      </c>
      <c r="E186" s="4" t="s">
        <v>548</v>
      </c>
      <c r="F186" s="4" t="s">
        <v>549</v>
      </c>
      <c r="G186" s="4" t="s">
        <v>287</v>
      </c>
      <c r="H186" s="4" t="s">
        <v>384</v>
      </c>
      <c r="I186" s="3">
        <v>4</v>
      </c>
      <c r="J186" s="45" t="str">
        <f t="shared" si="18"/>
        <v>1</v>
      </c>
      <c r="K186" s="54" t="str">
        <f t="shared" si="26"/>
        <v>0</v>
      </c>
      <c r="L186" s="69" t="str">
        <f t="shared" si="19"/>
        <v>1</v>
      </c>
      <c r="M186" s="74" t="str">
        <f t="shared" si="20"/>
        <v>0</v>
      </c>
      <c r="N186" s="29" t="str">
        <f t="shared" si="21"/>
        <v>1</v>
      </c>
      <c r="O186" s="61">
        <v>1</v>
      </c>
      <c r="P186" s="65">
        <v>1</v>
      </c>
      <c r="Q186" s="46">
        <f t="shared" si="25"/>
        <v>5</v>
      </c>
      <c r="R186" s="83" t="str">
        <f t="shared" si="24"/>
        <v>ผ่าน</v>
      </c>
      <c r="S186" s="3" t="s">
        <v>28</v>
      </c>
    </row>
    <row r="187" spans="1:19" ht="24">
      <c r="A187" s="3">
        <v>186</v>
      </c>
      <c r="B187" s="105">
        <v>6310633113</v>
      </c>
      <c r="C187" s="4" t="s">
        <v>29</v>
      </c>
      <c r="D187" s="4" t="s">
        <v>550</v>
      </c>
      <c r="E187" s="4" t="s">
        <v>551</v>
      </c>
      <c r="F187" s="4" t="s">
        <v>552</v>
      </c>
      <c r="G187" s="4" t="s">
        <v>287</v>
      </c>
      <c r="H187" s="4" t="s">
        <v>384</v>
      </c>
      <c r="I187" s="3">
        <v>4</v>
      </c>
      <c r="J187" s="45" t="str">
        <f t="shared" si="18"/>
        <v>1</v>
      </c>
      <c r="K187" s="54">
        <v>1</v>
      </c>
      <c r="L187" s="69" t="str">
        <f t="shared" si="19"/>
        <v>1</v>
      </c>
      <c r="M187" s="74" t="str">
        <f t="shared" si="20"/>
        <v>0</v>
      </c>
      <c r="N187" s="29" t="str">
        <f t="shared" si="21"/>
        <v>1</v>
      </c>
      <c r="O187" s="61">
        <v>1</v>
      </c>
      <c r="P187" s="65">
        <v>1</v>
      </c>
      <c r="Q187" s="46">
        <f t="shared" si="25"/>
        <v>6</v>
      </c>
      <c r="R187" s="83" t="str">
        <f t="shared" si="24"/>
        <v>ผ่าน</v>
      </c>
      <c r="S187" s="3" t="s">
        <v>28</v>
      </c>
    </row>
    <row r="188" spans="1:19" ht="24">
      <c r="A188" s="3">
        <v>187</v>
      </c>
      <c r="B188" s="105">
        <v>6310633114</v>
      </c>
      <c r="C188" s="4" t="s">
        <v>29</v>
      </c>
      <c r="D188" s="4" t="s">
        <v>439</v>
      </c>
      <c r="E188" s="4" t="s">
        <v>553</v>
      </c>
      <c r="F188" s="4" t="s">
        <v>554</v>
      </c>
      <c r="G188" s="4" t="s">
        <v>287</v>
      </c>
      <c r="H188" s="4" t="s">
        <v>384</v>
      </c>
      <c r="I188" s="3">
        <v>4</v>
      </c>
      <c r="J188" s="45" t="str">
        <f t="shared" si="18"/>
        <v>1</v>
      </c>
      <c r="K188" s="54" t="str">
        <f t="shared" si="26"/>
        <v>0</v>
      </c>
      <c r="L188" s="69" t="str">
        <f t="shared" si="19"/>
        <v>1</v>
      </c>
      <c r="M188" s="74" t="str">
        <f t="shared" si="20"/>
        <v>1</v>
      </c>
      <c r="N188" s="29" t="str">
        <f t="shared" si="21"/>
        <v>0</v>
      </c>
      <c r="O188" s="61">
        <v>1</v>
      </c>
      <c r="P188" s="65">
        <v>1</v>
      </c>
      <c r="Q188" s="46">
        <f t="shared" si="25"/>
        <v>5</v>
      </c>
      <c r="R188" s="83" t="str">
        <f t="shared" si="24"/>
        <v>ผ่าน</v>
      </c>
      <c r="S188" s="3" t="s">
        <v>28</v>
      </c>
    </row>
    <row r="189" spans="1:19" ht="24">
      <c r="A189" s="3">
        <v>188</v>
      </c>
      <c r="B189" s="105">
        <v>6310633120</v>
      </c>
      <c r="C189" s="4" t="s">
        <v>29</v>
      </c>
      <c r="D189" s="4" t="s">
        <v>555</v>
      </c>
      <c r="E189" s="4" t="s">
        <v>85</v>
      </c>
      <c r="F189" s="4" t="s">
        <v>556</v>
      </c>
      <c r="G189" s="4" t="s">
        <v>287</v>
      </c>
      <c r="H189" s="4" t="s">
        <v>384</v>
      </c>
      <c r="I189" s="3">
        <v>4</v>
      </c>
      <c r="J189" s="44" t="str">
        <f t="shared" si="18"/>
        <v>0</v>
      </c>
      <c r="K189" s="54" t="str">
        <f t="shared" si="26"/>
        <v>0</v>
      </c>
      <c r="L189" s="69" t="str">
        <f t="shared" si="19"/>
        <v>0</v>
      </c>
      <c r="M189" s="74" t="str">
        <f t="shared" si="20"/>
        <v>0</v>
      </c>
      <c r="N189" s="29" t="str">
        <f t="shared" si="21"/>
        <v>0</v>
      </c>
      <c r="O189" s="61">
        <v>1</v>
      </c>
      <c r="P189" s="65">
        <v>1</v>
      </c>
      <c r="Q189" s="46">
        <f t="shared" si="25"/>
        <v>2</v>
      </c>
      <c r="R189" s="3" t="str">
        <f t="shared" si="24"/>
        <v>ไม่ผ่าน</v>
      </c>
      <c r="S189" s="3" t="s">
        <v>28</v>
      </c>
    </row>
    <row r="190" spans="1:19" ht="24">
      <c r="A190" s="3">
        <v>189</v>
      </c>
      <c r="B190" s="105">
        <v>6310633122</v>
      </c>
      <c r="C190" s="4" t="s">
        <v>29</v>
      </c>
      <c r="D190" s="4" t="s">
        <v>557</v>
      </c>
      <c r="E190" s="4" t="s">
        <v>558</v>
      </c>
      <c r="F190" s="4" t="s">
        <v>559</v>
      </c>
      <c r="G190" s="4" t="s">
        <v>287</v>
      </c>
      <c r="H190" s="4" t="s">
        <v>384</v>
      </c>
      <c r="I190" s="3">
        <v>4</v>
      </c>
      <c r="J190" s="44">
        <v>1</v>
      </c>
      <c r="K190" s="54" t="str">
        <f t="shared" si="26"/>
        <v>0</v>
      </c>
      <c r="L190" s="69" t="str">
        <f t="shared" si="19"/>
        <v>1</v>
      </c>
      <c r="M190" s="74" t="str">
        <f t="shared" si="20"/>
        <v>0</v>
      </c>
      <c r="N190" s="29">
        <v>1</v>
      </c>
      <c r="O190" s="61">
        <v>1</v>
      </c>
      <c r="P190" s="65">
        <v>1</v>
      </c>
      <c r="Q190" s="46">
        <f t="shared" si="25"/>
        <v>5</v>
      </c>
      <c r="R190" s="83" t="str">
        <f t="shared" si="24"/>
        <v>ผ่าน</v>
      </c>
      <c r="S190" s="3" t="s">
        <v>28</v>
      </c>
    </row>
    <row r="191" spans="1:19" ht="24">
      <c r="A191" s="3">
        <v>190</v>
      </c>
      <c r="B191" s="105">
        <v>6310633123</v>
      </c>
      <c r="C191" s="4" t="s">
        <v>29</v>
      </c>
      <c r="D191" s="4" t="s">
        <v>560</v>
      </c>
      <c r="E191" s="4" t="s">
        <v>561</v>
      </c>
      <c r="F191" s="4" t="s">
        <v>562</v>
      </c>
      <c r="G191" s="4" t="s">
        <v>287</v>
      </c>
      <c r="H191" s="4" t="s">
        <v>384</v>
      </c>
      <c r="I191" s="3">
        <v>4</v>
      </c>
      <c r="J191" s="45" t="str">
        <f t="shared" si="18"/>
        <v>1</v>
      </c>
      <c r="K191" s="54" t="str">
        <f t="shared" si="26"/>
        <v>1</v>
      </c>
      <c r="L191" s="69" t="str">
        <f t="shared" si="19"/>
        <v>0</v>
      </c>
      <c r="M191" s="74" t="str">
        <f t="shared" si="20"/>
        <v>1</v>
      </c>
      <c r="N191" s="29" t="str">
        <f t="shared" si="21"/>
        <v>0</v>
      </c>
      <c r="O191" s="61">
        <v>1</v>
      </c>
      <c r="P191" s="65">
        <v>1</v>
      </c>
      <c r="Q191" s="46">
        <f t="shared" si="25"/>
        <v>5</v>
      </c>
      <c r="R191" s="83" t="str">
        <f t="shared" si="24"/>
        <v>ผ่าน</v>
      </c>
      <c r="S191" s="3" t="s">
        <v>28</v>
      </c>
    </row>
    <row r="192" spans="1:19" ht="24">
      <c r="A192" s="3">
        <v>191</v>
      </c>
      <c r="B192" s="105">
        <v>6310633124</v>
      </c>
      <c r="C192" s="4" t="s">
        <v>29</v>
      </c>
      <c r="D192" s="4" t="s">
        <v>563</v>
      </c>
      <c r="E192" s="4" t="s">
        <v>564</v>
      </c>
      <c r="F192" s="4" t="s">
        <v>565</v>
      </c>
      <c r="G192" s="4" t="s">
        <v>287</v>
      </c>
      <c r="H192" s="4" t="s">
        <v>384</v>
      </c>
      <c r="I192" s="3">
        <v>4</v>
      </c>
      <c r="J192" s="45" t="str">
        <f t="shared" si="18"/>
        <v>1</v>
      </c>
      <c r="K192" s="54">
        <v>1</v>
      </c>
      <c r="L192" s="69" t="str">
        <f t="shared" si="19"/>
        <v>0</v>
      </c>
      <c r="M192" s="74" t="str">
        <f t="shared" si="20"/>
        <v>1</v>
      </c>
      <c r="N192" s="29" t="str">
        <f t="shared" si="21"/>
        <v>0</v>
      </c>
      <c r="O192" s="61">
        <v>1</v>
      </c>
      <c r="P192" s="65">
        <v>1</v>
      </c>
      <c r="Q192" s="46">
        <f t="shared" si="25"/>
        <v>5</v>
      </c>
      <c r="R192" s="83" t="str">
        <f t="shared" si="24"/>
        <v>ผ่าน</v>
      </c>
      <c r="S192" s="3" t="s">
        <v>28</v>
      </c>
    </row>
    <row r="193" spans="1:19" ht="24">
      <c r="A193" s="3">
        <v>192</v>
      </c>
      <c r="B193" s="105">
        <v>6310633126</v>
      </c>
      <c r="C193" s="4" t="s">
        <v>29</v>
      </c>
      <c r="D193" s="4" t="s">
        <v>566</v>
      </c>
      <c r="E193" s="4" t="s">
        <v>567</v>
      </c>
      <c r="F193" s="4" t="s">
        <v>568</v>
      </c>
      <c r="G193" s="4" t="s">
        <v>287</v>
      </c>
      <c r="H193" s="4" t="s">
        <v>384</v>
      </c>
      <c r="I193" s="3">
        <v>4</v>
      </c>
      <c r="J193" s="45" t="str">
        <f t="shared" si="18"/>
        <v>1</v>
      </c>
      <c r="K193" s="54">
        <v>1</v>
      </c>
      <c r="L193" s="69" t="str">
        <f t="shared" si="19"/>
        <v>0</v>
      </c>
      <c r="M193" s="74" t="str">
        <f t="shared" si="20"/>
        <v>1</v>
      </c>
      <c r="N193" s="29" t="str">
        <f t="shared" si="21"/>
        <v>0</v>
      </c>
      <c r="O193" s="61">
        <v>1</v>
      </c>
      <c r="P193" s="65">
        <v>1</v>
      </c>
      <c r="Q193" s="46">
        <f t="shared" si="25"/>
        <v>5</v>
      </c>
      <c r="R193" s="83" t="str">
        <f t="shared" si="24"/>
        <v>ผ่าน</v>
      </c>
      <c r="S193" s="3" t="s">
        <v>28</v>
      </c>
    </row>
    <row r="194" spans="1:19" ht="24">
      <c r="A194" s="3">
        <v>193</v>
      </c>
      <c r="B194" s="105">
        <v>6310633128</v>
      </c>
      <c r="C194" s="4" t="s">
        <v>29</v>
      </c>
      <c r="D194" s="4" t="s">
        <v>569</v>
      </c>
      <c r="E194" s="4" t="s">
        <v>472</v>
      </c>
      <c r="F194" s="4" t="s">
        <v>570</v>
      </c>
      <c r="G194" s="4" t="s">
        <v>287</v>
      </c>
      <c r="H194" s="4" t="s">
        <v>384</v>
      </c>
      <c r="I194" s="3">
        <v>4</v>
      </c>
      <c r="J194" s="45" t="str">
        <f t="shared" ref="J194:J257" si="27">IF(IFERROR(VLOOKUP(B194,DATA,1,FALSE),),"1","0")</f>
        <v>1</v>
      </c>
      <c r="K194" s="54">
        <v>1</v>
      </c>
      <c r="L194" s="69" t="str">
        <f t="shared" ref="L194:L257" si="28">IF(IFERROR(VLOOKUP(B194,DATA7,1,FALSE),),"1","0")</f>
        <v>0</v>
      </c>
      <c r="M194" s="74" t="str">
        <f t="shared" ref="M194:M257" si="29">IF(IFERROR(VLOOKUP(B194,DATA9,1,FALSE),),"1","0")</f>
        <v>0</v>
      </c>
      <c r="N194" s="29" t="str">
        <f t="shared" ref="N194:N257" si="30">IF(IFERROR(VLOOKUP(B194,DATA10,1,FALSE),),"1","0")</f>
        <v>1</v>
      </c>
      <c r="O194" s="61">
        <v>1</v>
      </c>
      <c r="P194" s="65">
        <v>1</v>
      </c>
      <c r="Q194" s="46">
        <f t="shared" si="25"/>
        <v>5</v>
      </c>
      <c r="R194" s="83" t="str">
        <f t="shared" ref="R194:R257" si="31">IF(Q194&gt;=3,"ผ่าน",IF(Q194&lt;3,"ไม่ผ่าน"))</f>
        <v>ผ่าน</v>
      </c>
      <c r="S194" s="3" t="s">
        <v>28</v>
      </c>
    </row>
    <row r="195" spans="1:19" ht="24">
      <c r="A195" s="3">
        <v>194</v>
      </c>
      <c r="B195" s="105">
        <v>6310633129</v>
      </c>
      <c r="C195" s="4" t="s">
        <v>29</v>
      </c>
      <c r="D195" s="4" t="s">
        <v>205</v>
      </c>
      <c r="E195" s="4" t="s">
        <v>571</v>
      </c>
      <c r="F195" s="4" t="s">
        <v>572</v>
      </c>
      <c r="G195" s="4" t="s">
        <v>287</v>
      </c>
      <c r="H195" s="4" t="s">
        <v>384</v>
      </c>
      <c r="I195" s="3">
        <v>4</v>
      </c>
      <c r="J195" s="45" t="str">
        <f t="shared" si="27"/>
        <v>1</v>
      </c>
      <c r="K195" s="54" t="str">
        <f t="shared" ref="K195:K258" si="32">IF(IFERROR(VLOOKUP(B195,DATA8,1,FALSE),),"1","0")</f>
        <v>0</v>
      </c>
      <c r="L195" s="69" t="str">
        <f t="shared" si="28"/>
        <v>1</v>
      </c>
      <c r="M195" s="74" t="str">
        <f t="shared" si="29"/>
        <v>0</v>
      </c>
      <c r="N195" s="29" t="str">
        <f t="shared" si="30"/>
        <v>1</v>
      </c>
      <c r="O195" s="61">
        <v>1</v>
      </c>
      <c r="P195" s="65">
        <v>1</v>
      </c>
      <c r="Q195" s="46">
        <f t="shared" ref="Q195:Q258" si="33">J195+K195+L195+M195+N195+O195+P195</f>
        <v>5</v>
      </c>
      <c r="R195" s="83" t="str">
        <f t="shared" si="31"/>
        <v>ผ่าน</v>
      </c>
      <c r="S195" s="3" t="s">
        <v>28</v>
      </c>
    </row>
    <row r="196" spans="1:19" ht="24">
      <c r="A196" s="3">
        <v>195</v>
      </c>
      <c r="B196" s="105">
        <v>6310633131</v>
      </c>
      <c r="C196" s="4" t="s">
        <v>29</v>
      </c>
      <c r="D196" s="4" t="s">
        <v>573</v>
      </c>
      <c r="E196" s="4" t="s">
        <v>574</v>
      </c>
      <c r="F196" s="4" t="s">
        <v>575</v>
      </c>
      <c r="G196" s="4" t="s">
        <v>287</v>
      </c>
      <c r="H196" s="4" t="s">
        <v>384</v>
      </c>
      <c r="I196" s="3">
        <v>4</v>
      </c>
      <c r="J196" s="45" t="str">
        <f t="shared" si="27"/>
        <v>1</v>
      </c>
      <c r="K196" s="54" t="str">
        <f t="shared" si="32"/>
        <v>0</v>
      </c>
      <c r="L196" s="69" t="str">
        <f t="shared" si="28"/>
        <v>1</v>
      </c>
      <c r="M196" s="74" t="str">
        <f t="shared" si="29"/>
        <v>0</v>
      </c>
      <c r="N196" s="29" t="str">
        <f t="shared" si="30"/>
        <v>1</v>
      </c>
      <c r="O196" s="61">
        <v>1</v>
      </c>
      <c r="P196" s="65">
        <v>1</v>
      </c>
      <c r="Q196" s="46">
        <f t="shared" si="33"/>
        <v>5</v>
      </c>
      <c r="R196" s="83" t="str">
        <f t="shared" si="31"/>
        <v>ผ่าน</v>
      </c>
      <c r="S196" s="3" t="s">
        <v>28</v>
      </c>
    </row>
    <row r="197" spans="1:19" ht="24">
      <c r="A197" s="3">
        <v>196</v>
      </c>
      <c r="B197" s="105">
        <v>6310633132</v>
      </c>
      <c r="C197" s="4" t="s">
        <v>29</v>
      </c>
      <c r="D197" s="4" t="s">
        <v>576</v>
      </c>
      <c r="E197" s="4" t="s">
        <v>577</v>
      </c>
      <c r="F197" s="4" t="s">
        <v>65</v>
      </c>
      <c r="G197" s="4" t="s">
        <v>287</v>
      </c>
      <c r="H197" s="4" t="s">
        <v>384</v>
      </c>
      <c r="I197" s="3">
        <v>4</v>
      </c>
      <c r="J197" s="44" t="str">
        <f t="shared" si="27"/>
        <v>0</v>
      </c>
      <c r="K197" s="54" t="str">
        <f t="shared" si="32"/>
        <v>1</v>
      </c>
      <c r="L197" s="69" t="str">
        <f t="shared" si="28"/>
        <v>0</v>
      </c>
      <c r="M197" s="74" t="str">
        <f t="shared" si="29"/>
        <v>1</v>
      </c>
      <c r="N197" s="29" t="str">
        <f t="shared" si="30"/>
        <v>0</v>
      </c>
      <c r="O197" s="61">
        <v>1</v>
      </c>
      <c r="P197" s="65">
        <v>1</v>
      </c>
      <c r="Q197" s="46">
        <f t="shared" si="33"/>
        <v>4</v>
      </c>
      <c r="R197" s="83" t="str">
        <f t="shared" si="31"/>
        <v>ผ่าน</v>
      </c>
      <c r="S197" s="3" t="s">
        <v>28</v>
      </c>
    </row>
    <row r="198" spans="1:19" ht="24">
      <c r="A198" s="3">
        <v>197</v>
      </c>
      <c r="B198" s="105">
        <v>6310633133</v>
      </c>
      <c r="C198" s="4" t="s">
        <v>29</v>
      </c>
      <c r="D198" s="4" t="s">
        <v>578</v>
      </c>
      <c r="E198" s="4" t="s">
        <v>579</v>
      </c>
      <c r="F198" s="4" t="s">
        <v>164</v>
      </c>
      <c r="G198" s="4" t="s">
        <v>287</v>
      </c>
      <c r="H198" s="4" t="s">
        <v>384</v>
      </c>
      <c r="I198" s="3">
        <v>4</v>
      </c>
      <c r="J198" s="45" t="str">
        <f t="shared" si="27"/>
        <v>1</v>
      </c>
      <c r="K198" s="54" t="str">
        <f t="shared" si="32"/>
        <v>0</v>
      </c>
      <c r="L198" s="69" t="str">
        <f t="shared" si="28"/>
        <v>0</v>
      </c>
      <c r="M198" s="74" t="str">
        <f t="shared" si="29"/>
        <v>0</v>
      </c>
      <c r="N198" s="29" t="str">
        <f t="shared" si="30"/>
        <v>1</v>
      </c>
      <c r="O198" s="61">
        <v>1</v>
      </c>
      <c r="P198" s="65">
        <v>1</v>
      </c>
      <c r="Q198" s="46">
        <f t="shared" si="33"/>
        <v>4</v>
      </c>
      <c r="R198" s="83" t="str">
        <f t="shared" si="31"/>
        <v>ผ่าน</v>
      </c>
      <c r="S198" s="3" t="s">
        <v>28</v>
      </c>
    </row>
    <row r="199" spans="1:19" ht="24">
      <c r="A199" s="3">
        <v>198</v>
      </c>
      <c r="B199" s="105">
        <v>6310633134</v>
      </c>
      <c r="C199" s="4" t="s">
        <v>29</v>
      </c>
      <c r="D199" s="4" t="s">
        <v>580</v>
      </c>
      <c r="E199" s="4" t="s">
        <v>581</v>
      </c>
      <c r="F199" s="4" t="s">
        <v>473</v>
      </c>
      <c r="G199" s="4" t="s">
        <v>287</v>
      </c>
      <c r="H199" s="4" t="s">
        <v>384</v>
      </c>
      <c r="I199" s="3">
        <v>4</v>
      </c>
      <c r="J199" s="45" t="str">
        <f t="shared" si="27"/>
        <v>1</v>
      </c>
      <c r="K199" s="54">
        <v>1</v>
      </c>
      <c r="L199" s="69">
        <v>0</v>
      </c>
      <c r="M199" s="74" t="str">
        <f t="shared" si="29"/>
        <v>0</v>
      </c>
      <c r="N199" s="29" t="str">
        <f t="shared" si="30"/>
        <v>1</v>
      </c>
      <c r="O199" s="61">
        <v>1</v>
      </c>
      <c r="P199" s="65">
        <v>1</v>
      </c>
      <c r="Q199" s="46">
        <f t="shared" si="33"/>
        <v>5</v>
      </c>
      <c r="R199" s="83" t="str">
        <f t="shared" si="31"/>
        <v>ผ่าน</v>
      </c>
      <c r="S199" s="3" t="s">
        <v>28</v>
      </c>
    </row>
    <row r="200" spans="1:19" ht="24">
      <c r="A200" s="3">
        <v>199</v>
      </c>
      <c r="B200" s="105">
        <v>6310633201</v>
      </c>
      <c r="C200" s="4" t="s">
        <v>22</v>
      </c>
      <c r="D200" s="4" t="s">
        <v>582</v>
      </c>
      <c r="E200" s="4" t="s">
        <v>583</v>
      </c>
      <c r="F200" s="4" t="s">
        <v>584</v>
      </c>
      <c r="G200" s="4" t="s">
        <v>287</v>
      </c>
      <c r="H200" s="4" t="s">
        <v>384</v>
      </c>
      <c r="I200" s="3">
        <v>4</v>
      </c>
      <c r="J200" s="45" t="str">
        <f t="shared" si="27"/>
        <v>1</v>
      </c>
      <c r="K200" s="54" t="str">
        <f t="shared" si="32"/>
        <v>0</v>
      </c>
      <c r="L200" s="69" t="str">
        <f t="shared" si="28"/>
        <v>0</v>
      </c>
      <c r="M200" s="74" t="str">
        <f t="shared" si="29"/>
        <v>0</v>
      </c>
      <c r="N200" s="29" t="str">
        <f t="shared" si="30"/>
        <v>1</v>
      </c>
      <c r="O200" s="61">
        <v>1</v>
      </c>
      <c r="P200" s="65">
        <v>1</v>
      </c>
      <c r="Q200" s="46">
        <f t="shared" si="33"/>
        <v>4</v>
      </c>
      <c r="R200" s="83" t="str">
        <f t="shared" si="31"/>
        <v>ผ่าน</v>
      </c>
      <c r="S200" s="3" t="s">
        <v>28</v>
      </c>
    </row>
    <row r="201" spans="1:19" ht="24">
      <c r="A201" s="3">
        <v>200</v>
      </c>
      <c r="B201" s="105">
        <v>6310633205</v>
      </c>
      <c r="C201" s="4" t="s">
        <v>22</v>
      </c>
      <c r="D201" s="4" t="s">
        <v>585</v>
      </c>
      <c r="E201" s="4" t="s">
        <v>586</v>
      </c>
      <c r="F201" s="4" t="s">
        <v>546</v>
      </c>
      <c r="G201" s="4" t="s">
        <v>287</v>
      </c>
      <c r="H201" s="4" t="s">
        <v>384</v>
      </c>
      <c r="I201" s="3">
        <v>4</v>
      </c>
      <c r="J201" s="44" t="str">
        <f t="shared" si="27"/>
        <v>0</v>
      </c>
      <c r="K201" s="54" t="str">
        <f t="shared" si="32"/>
        <v>0</v>
      </c>
      <c r="L201" s="69" t="str">
        <f t="shared" si="28"/>
        <v>0</v>
      </c>
      <c r="M201" s="74" t="str">
        <f t="shared" si="29"/>
        <v>0</v>
      </c>
      <c r="N201" s="29" t="str">
        <f t="shared" si="30"/>
        <v>1</v>
      </c>
      <c r="O201" s="61">
        <v>1</v>
      </c>
      <c r="P201" s="65">
        <v>1</v>
      </c>
      <c r="Q201" s="46">
        <f t="shared" si="33"/>
        <v>3</v>
      </c>
      <c r="R201" s="83" t="str">
        <f t="shared" si="31"/>
        <v>ผ่าน</v>
      </c>
      <c r="S201" s="3" t="s">
        <v>28</v>
      </c>
    </row>
    <row r="202" spans="1:19" ht="24">
      <c r="A202" s="3">
        <v>201</v>
      </c>
      <c r="B202" s="105">
        <v>6310633206</v>
      </c>
      <c r="C202" s="4" t="s">
        <v>22</v>
      </c>
      <c r="D202" s="4" t="s">
        <v>432</v>
      </c>
      <c r="E202" s="4" t="s">
        <v>587</v>
      </c>
      <c r="F202" s="4" t="s">
        <v>588</v>
      </c>
      <c r="G202" s="4" t="s">
        <v>287</v>
      </c>
      <c r="H202" s="4" t="s">
        <v>384</v>
      </c>
      <c r="I202" s="3">
        <v>4</v>
      </c>
      <c r="J202" s="44" t="str">
        <f t="shared" si="27"/>
        <v>0</v>
      </c>
      <c r="K202" s="54" t="str">
        <f t="shared" si="32"/>
        <v>0</v>
      </c>
      <c r="L202" s="69" t="str">
        <f t="shared" si="28"/>
        <v>0</v>
      </c>
      <c r="M202" s="74" t="str">
        <f t="shared" si="29"/>
        <v>0</v>
      </c>
      <c r="N202" s="29" t="str">
        <f t="shared" si="30"/>
        <v>0</v>
      </c>
      <c r="O202" s="61">
        <v>1</v>
      </c>
      <c r="P202" s="65">
        <v>1</v>
      </c>
      <c r="Q202" s="46">
        <f t="shared" si="33"/>
        <v>2</v>
      </c>
      <c r="R202" s="3" t="str">
        <f t="shared" si="31"/>
        <v>ไม่ผ่าน</v>
      </c>
      <c r="S202" s="3" t="s">
        <v>28</v>
      </c>
    </row>
    <row r="203" spans="1:19" ht="24">
      <c r="A203" s="3">
        <v>202</v>
      </c>
      <c r="B203" s="105">
        <v>6310633210</v>
      </c>
      <c r="C203" s="4" t="s">
        <v>22</v>
      </c>
      <c r="D203" s="4" t="s">
        <v>589</v>
      </c>
      <c r="E203" s="4" t="s">
        <v>590</v>
      </c>
      <c r="F203" s="4" t="s">
        <v>591</v>
      </c>
      <c r="G203" s="4" t="s">
        <v>287</v>
      </c>
      <c r="H203" s="4" t="s">
        <v>384</v>
      </c>
      <c r="I203" s="3">
        <v>4</v>
      </c>
      <c r="J203" s="45" t="str">
        <f t="shared" si="27"/>
        <v>1</v>
      </c>
      <c r="K203" s="54" t="str">
        <f t="shared" si="32"/>
        <v>0</v>
      </c>
      <c r="L203" s="69" t="str">
        <f t="shared" si="28"/>
        <v>1</v>
      </c>
      <c r="M203" s="74" t="str">
        <f t="shared" si="29"/>
        <v>0</v>
      </c>
      <c r="N203" s="29" t="str">
        <f t="shared" si="30"/>
        <v>0</v>
      </c>
      <c r="O203" s="61">
        <v>1</v>
      </c>
      <c r="P203" s="65">
        <v>1</v>
      </c>
      <c r="Q203" s="46">
        <f t="shared" si="33"/>
        <v>4</v>
      </c>
      <c r="R203" s="83" t="str">
        <f t="shared" si="31"/>
        <v>ผ่าน</v>
      </c>
      <c r="S203" s="3" t="s">
        <v>28</v>
      </c>
    </row>
    <row r="204" spans="1:19" ht="24">
      <c r="A204" s="3">
        <v>203</v>
      </c>
      <c r="B204" s="105">
        <v>6310633215</v>
      </c>
      <c r="C204" s="4" t="s">
        <v>29</v>
      </c>
      <c r="D204" s="4" t="s">
        <v>592</v>
      </c>
      <c r="E204" s="4" t="s">
        <v>593</v>
      </c>
      <c r="F204" s="4" t="s">
        <v>594</v>
      </c>
      <c r="G204" s="4" t="s">
        <v>287</v>
      </c>
      <c r="H204" s="4" t="s">
        <v>384</v>
      </c>
      <c r="I204" s="3">
        <v>4</v>
      </c>
      <c r="J204" s="45" t="str">
        <f t="shared" si="27"/>
        <v>1</v>
      </c>
      <c r="K204" s="54" t="str">
        <f t="shared" si="32"/>
        <v>1</v>
      </c>
      <c r="L204" s="69" t="str">
        <f t="shared" si="28"/>
        <v>0</v>
      </c>
      <c r="M204" s="74" t="str">
        <f t="shared" si="29"/>
        <v>1</v>
      </c>
      <c r="N204" s="29" t="str">
        <f t="shared" si="30"/>
        <v>0</v>
      </c>
      <c r="O204" s="61">
        <v>1</v>
      </c>
      <c r="P204" s="65">
        <v>1</v>
      </c>
      <c r="Q204" s="46">
        <f t="shared" si="33"/>
        <v>5</v>
      </c>
      <c r="R204" s="83" t="str">
        <f t="shared" si="31"/>
        <v>ผ่าน</v>
      </c>
      <c r="S204" s="3" t="s">
        <v>28</v>
      </c>
    </row>
    <row r="205" spans="1:19" ht="24">
      <c r="A205" s="3">
        <v>204</v>
      </c>
      <c r="B205" s="105">
        <v>6310633217</v>
      </c>
      <c r="C205" s="4" t="s">
        <v>29</v>
      </c>
      <c r="D205" s="4" t="s">
        <v>177</v>
      </c>
      <c r="E205" s="4" t="s">
        <v>595</v>
      </c>
      <c r="F205" s="4" t="s">
        <v>596</v>
      </c>
      <c r="G205" s="4" t="s">
        <v>287</v>
      </c>
      <c r="H205" s="4" t="s">
        <v>384</v>
      </c>
      <c r="I205" s="3">
        <v>4</v>
      </c>
      <c r="J205" s="44" t="str">
        <f t="shared" si="27"/>
        <v>0</v>
      </c>
      <c r="K205" s="54" t="str">
        <f t="shared" si="32"/>
        <v>1</v>
      </c>
      <c r="L205" s="69" t="str">
        <f t="shared" si="28"/>
        <v>0</v>
      </c>
      <c r="M205" s="74" t="str">
        <f t="shared" si="29"/>
        <v>1</v>
      </c>
      <c r="N205" s="29" t="str">
        <f t="shared" si="30"/>
        <v>0</v>
      </c>
      <c r="O205" s="61">
        <v>1</v>
      </c>
      <c r="P205" s="65">
        <v>1</v>
      </c>
      <c r="Q205" s="46">
        <f t="shared" si="33"/>
        <v>4</v>
      </c>
      <c r="R205" s="83" t="str">
        <f t="shared" si="31"/>
        <v>ผ่าน</v>
      </c>
      <c r="S205" s="3" t="s">
        <v>28</v>
      </c>
    </row>
    <row r="206" spans="1:19" ht="24">
      <c r="A206" s="3">
        <v>205</v>
      </c>
      <c r="B206" s="105">
        <v>6310633223</v>
      </c>
      <c r="C206" s="4" t="s">
        <v>29</v>
      </c>
      <c r="D206" s="4" t="s">
        <v>597</v>
      </c>
      <c r="E206" s="4" t="s">
        <v>598</v>
      </c>
      <c r="F206" s="4" t="s">
        <v>599</v>
      </c>
      <c r="G206" s="4" t="s">
        <v>287</v>
      </c>
      <c r="H206" s="4" t="s">
        <v>384</v>
      </c>
      <c r="I206" s="3">
        <v>4</v>
      </c>
      <c r="J206" s="45" t="str">
        <f t="shared" si="27"/>
        <v>1</v>
      </c>
      <c r="K206" s="54">
        <v>1</v>
      </c>
      <c r="L206" s="69" t="str">
        <f t="shared" si="28"/>
        <v>0</v>
      </c>
      <c r="M206" s="74" t="str">
        <f t="shared" si="29"/>
        <v>0</v>
      </c>
      <c r="N206" s="29" t="str">
        <f t="shared" si="30"/>
        <v>1</v>
      </c>
      <c r="O206" s="61">
        <v>1</v>
      </c>
      <c r="P206" s="65">
        <v>1</v>
      </c>
      <c r="Q206" s="46">
        <f t="shared" si="33"/>
        <v>5</v>
      </c>
      <c r="R206" s="83" t="str">
        <f t="shared" si="31"/>
        <v>ผ่าน</v>
      </c>
      <c r="S206" s="3" t="s">
        <v>28</v>
      </c>
    </row>
    <row r="207" spans="1:19" ht="24">
      <c r="A207" s="3">
        <v>206</v>
      </c>
      <c r="B207" s="105">
        <v>6310633229</v>
      </c>
      <c r="C207" s="4" t="s">
        <v>29</v>
      </c>
      <c r="D207" s="4" t="s">
        <v>600</v>
      </c>
      <c r="E207" s="4" t="s">
        <v>601</v>
      </c>
      <c r="F207" s="4" t="s">
        <v>602</v>
      </c>
      <c r="G207" s="4" t="s">
        <v>287</v>
      </c>
      <c r="H207" s="4" t="s">
        <v>384</v>
      </c>
      <c r="I207" s="3">
        <v>4</v>
      </c>
      <c r="J207" s="45" t="str">
        <f t="shared" si="27"/>
        <v>1</v>
      </c>
      <c r="K207" s="54">
        <v>1</v>
      </c>
      <c r="L207" s="69" t="str">
        <f t="shared" si="28"/>
        <v>0</v>
      </c>
      <c r="M207" s="74" t="str">
        <f t="shared" si="29"/>
        <v>0</v>
      </c>
      <c r="N207" s="29" t="str">
        <f t="shared" si="30"/>
        <v>1</v>
      </c>
      <c r="O207" s="61">
        <v>1</v>
      </c>
      <c r="P207" s="65">
        <v>1</v>
      </c>
      <c r="Q207" s="46">
        <f t="shared" si="33"/>
        <v>5</v>
      </c>
      <c r="R207" s="83" t="str">
        <f t="shared" si="31"/>
        <v>ผ่าน</v>
      </c>
      <c r="S207" s="3" t="s">
        <v>28</v>
      </c>
    </row>
    <row r="208" spans="1:19" ht="24">
      <c r="A208" s="3">
        <v>207</v>
      </c>
      <c r="B208" s="105">
        <v>6310633230</v>
      </c>
      <c r="C208" s="4" t="s">
        <v>29</v>
      </c>
      <c r="D208" s="4" t="s">
        <v>603</v>
      </c>
      <c r="E208" s="4" t="s">
        <v>604</v>
      </c>
      <c r="F208" s="4" t="s">
        <v>605</v>
      </c>
      <c r="G208" s="4" t="s">
        <v>287</v>
      </c>
      <c r="H208" s="4" t="s">
        <v>384</v>
      </c>
      <c r="I208" s="3">
        <v>4</v>
      </c>
      <c r="J208" s="44" t="str">
        <f t="shared" si="27"/>
        <v>0</v>
      </c>
      <c r="K208" s="54">
        <v>1</v>
      </c>
      <c r="L208" s="69" t="str">
        <f t="shared" si="28"/>
        <v>0</v>
      </c>
      <c r="M208" s="74" t="str">
        <f t="shared" si="29"/>
        <v>1</v>
      </c>
      <c r="N208" s="29" t="str">
        <f t="shared" si="30"/>
        <v>0</v>
      </c>
      <c r="O208" s="61">
        <v>1</v>
      </c>
      <c r="P208" s="65">
        <v>1</v>
      </c>
      <c r="Q208" s="46">
        <f t="shared" si="33"/>
        <v>4</v>
      </c>
      <c r="R208" s="83" t="str">
        <f t="shared" si="31"/>
        <v>ผ่าน</v>
      </c>
      <c r="S208" s="3" t="s">
        <v>28</v>
      </c>
    </row>
    <row r="209" spans="1:19" ht="24">
      <c r="A209" s="3">
        <v>208</v>
      </c>
      <c r="B209" s="105">
        <v>6310633232</v>
      </c>
      <c r="C209" s="4" t="s">
        <v>29</v>
      </c>
      <c r="D209" s="4" t="s">
        <v>606</v>
      </c>
      <c r="E209" s="4" t="s">
        <v>607</v>
      </c>
      <c r="F209" s="4" t="s">
        <v>608</v>
      </c>
      <c r="G209" s="4" t="s">
        <v>287</v>
      </c>
      <c r="H209" s="4" t="s">
        <v>384</v>
      </c>
      <c r="I209" s="3">
        <v>4</v>
      </c>
      <c r="J209" s="44" t="str">
        <f t="shared" si="27"/>
        <v>0</v>
      </c>
      <c r="K209" s="54" t="str">
        <f t="shared" si="32"/>
        <v>1</v>
      </c>
      <c r="L209" s="69" t="str">
        <f t="shared" si="28"/>
        <v>0</v>
      </c>
      <c r="M209" s="74" t="str">
        <f t="shared" si="29"/>
        <v>0</v>
      </c>
      <c r="N209" s="29" t="str">
        <f t="shared" si="30"/>
        <v>0</v>
      </c>
      <c r="O209" s="61">
        <v>1</v>
      </c>
      <c r="P209" s="65">
        <v>1</v>
      </c>
      <c r="Q209" s="46">
        <f t="shared" si="33"/>
        <v>3</v>
      </c>
      <c r="R209" s="83" t="str">
        <f t="shared" si="31"/>
        <v>ผ่าน</v>
      </c>
      <c r="S209" s="3" t="s">
        <v>28</v>
      </c>
    </row>
    <row r="210" spans="1:19" ht="24">
      <c r="A210" s="3">
        <v>209</v>
      </c>
      <c r="B210" s="105">
        <v>6610392101</v>
      </c>
      <c r="C210" s="4" t="s">
        <v>22</v>
      </c>
      <c r="D210" s="4" t="s">
        <v>481</v>
      </c>
      <c r="E210" s="4" t="s">
        <v>192</v>
      </c>
      <c r="F210" s="4" t="s">
        <v>609</v>
      </c>
      <c r="G210" s="4" t="s">
        <v>287</v>
      </c>
      <c r="H210" s="4" t="s">
        <v>610</v>
      </c>
      <c r="I210" s="3">
        <v>1</v>
      </c>
      <c r="J210" s="45" t="str">
        <f t="shared" si="27"/>
        <v>1</v>
      </c>
      <c r="K210" s="54" t="str">
        <f t="shared" si="32"/>
        <v>1</v>
      </c>
      <c r="L210" s="69" t="str">
        <f t="shared" si="28"/>
        <v>0</v>
      </c>
      <c r="M210" s="74" t="str">
        <f t="shared" si="29"/>
        <v>1</v>
      </c>
      <c r="N210" s="29" t="str">
        <f t="shared" si="30"/>
        <v>0</v>
      </c>
      <c r="O210" s="61" t="str">
        <f t="shared" ref="O210:O273" ca="1" si="34">IF(IFERROR(VLOOKUP(B210,DATA11,1,FALSE),),"1","0")</f>
        <v>1</v>
      </c>
      <c r="P210" s="65" t="str">
        <f t="shared" ref="P210:P273" si="35">IF(IFERROR(VLOOKUP(B210,DATA12,1,FALSE),),"1","0")</f>
        <v>1</v>
      </c>
      <c r="Q210" s="46">
        <f t="shared" ca="1" si="33"/>
        <v>5</v>
      </c>
      <c r="R210" s="83" t="str">
        <f t="shared" ca="1" si="31"/>
        <v>ผ่าน</v>
      </c>
      <c r="S210" s="3" t="s">
        <v>28</v>
      </c>
    </row>
    <row r="211" spans="1:19" ht="24">
      <c r="A211" s="3">
        <v>210</v>
      </c>
      <c r="B211" s="105">
        <v>6610392104</v>
      </c>
      <c r="C211" s="4" t="s">
        <v>22</v>
      </c>
      <c r="D211" s="4" t="s">
        <v>611</v>
      </c>
      <c r="E211" s="4" t="s">
        <v>612</v>
      </c>
      <c r="F211" s="4" t="s">
        <v>613</v>
      </c>
      <c r="G211" s="4" t="s">
        <v>287</v>
      </c>
      <c r="H211" s="4" t="s">
        <v>610</v>
      </c>
      <c r="I211" s="3">
        <v>1</v>
      </c>
      <c r="J211" s="45" t="str">
        <f t="shared" si="27"/>
        <v>1</v>
      </c>
      <c r="K211" s="54" t="str">
        <f t="shared" si="32"/>
        <v>1</v>
      </c>
      <c r="L211" s="69" t="str">
        <f t="shared" si="28"/>
        <v>0</v>
      </c>
      <c r="M211" s="74" t="str">
        <f t="shared" si="29"/>
        <v>1</v>
      </c>
      <c r="N211" s="29" t="str">
        <f t="shared" si="30"/>
        <v>0</v>
      </c>
      <c r="O211" s="61" t="str">
        <f t="shared" ca="1" si="34"/>
        <v>1</v>
      </c>
      <c r="P211" s="65" t="str">
        <f t="shared" si="35"/>
        <v>0</v>
      </c>
      <c r="Q211" s="46">
        <f t="shared" ca="1" si="33"/>
        <v>4</v>
      </c>
      <c r="R211" s="83" t="str">
        <f t="shared" ca="1" si="31"/>
        <v>ผ่าน</v>
      </c>
      <c r="S211" s="3" t="s">
        <v>28</v>
      </c>
    </row>
    <row r="212" spans="1:19" ht="24">
      <c r="A212" s="3">
        <v>211</v>
      </c>
      <c r="B212" s="105">
        <v>6610392109</v>
      </c>
      <c r="C212" s="4" t="s">
        <v>22</v>
      </c>
      <c r="D212" s="4" t="s">
        <v>614</v>
      </c>
      <c r="E212" s="4" t="s">
        <v>615</v>
      </c>
      <c r="F212" s="4" t="s">
        <v>616</v>
      </c>
      <c r="G212" s="4" t="s">
        <v>287</v>
      </c>
      <c r="H212" s="4" t="s">
        <v>610</v>
      </c>
      <c r="I212" s="3">
        <v>1</v>
      </c>
      <c r="J212" s="45" t="str">
        <f t="shared" si="27"/>
        <v>1</v>
      </c>
      <c r="K212" s="54" t="str">
        <f t="shared" si="32"/>
        <v>1</v>
      </c>
      <c r="L212" s="69" t="str">
        <f t="shared" si="28"/>
        <v>0</v>
      </c>
      <c r="M212" s="74" t="str">
        <f t="shared" si="29"/>
        <v>1</v>
      </c>
      <c r="N212" s="29" t="str">
        <f t="shared" si="30"/>
        <v>0</v>
      </c>
      <c r="O212" s="61" t="str">
        <f t="shared" ca="1" si="34"/>
        <v>0</v>
      </c>
      <c r="P212" s="65" t="str">
        <f t="shared" si="35"/>
        <v>0</v>
      </c>
      <c r="Q212" s="46">
        <f t="shared" ca="1" si="33"/>
        <v>3</v>
      </c>
      <c r="R212" s="83" t="str">
        <f t="shared" ca="1" si="31"/>
        <v>ผ่าน</v>
      </c>
      <c r="S212" s="3" t="s">
        <v>28</v>
      </c>
    </row>
    <row r="213" spans="1:19" ht="24">
      <c r="A213" s="3">
        <v>212</v>
      </c>
      <c r="B213" s="105">
        <v>6610392110</v>
      </c>
      <c r="C213" s="4" t="s">
        <v>22</v>
      </c>
      <c r="D213" s="4" t="s">
        <v>432</v>
      </c>
      <c r="E213" s="4" t="s">
        <v>617</v>
      </c>
      <c r="F213" s="4" t="s">
        <v>618</v>
      </c>
      <c r="G213" s="4" t="s">
        <v>287</v>
      </c>
      <c r="H213" s="4" t="s">
        <v>610</v>
      </c>
      <c r="I213" s="3">
        <v>1</v>
      </c>
      <c r="J213" s="45" t="str">
        <f t="shared" si="27"/>
        <v>1</v>
      </c>
      <c r="K213" s="54" t="str">
        <f t="shared" si="32"/>
        <v>1</v>
      </c>
      <c r="L213" s="69" t="str">
        <f t="shared" si="28"/>
        <v>0</v>
      </c>
      <c r="M213" s="74" t="str">
        <f t="shared" si="29"/>
        <v>1</v>
      </c>
      <c r="N213" s="29" t="str">
        <f t="shared" si="30"/>
        <v>0</v>
      </c>
      <c r="O213" s="61" t="str">
        <f t="shared" ca="1" si="34"/>
        <v>0</v>
      </c>
      <c r="P213" s="65" t="str">
        <f t="shared" si="35"/>
        <v>0</v>
      </c>
      <c r="Q213" s="46">
        <f t="shared" ca="1" si="33"/>
        <v>3</v>
      </c>
      <c r="R213" s="83" t="str">
        <f t="shared" ca="1" si="31"/>
        <v>ผ่าน</v>
      </c>
      <c r="S213" s="3" t="s">
        <v>28</v>
      </c>
    </row>
    <row r="214" spans="1:19" ht="24">
      <c r="A214" s="3">
        <v>213</v>
      </c>
      <c r="B214" s="105">
        <v>6610392115</v>
      </c>
      <c r="C214" s="4" t="s">
        <v>29</v>
      </c>
      <c r="D214" s="4" t="s">
        <v>619</v>
      </c>
      <c r="E214" s="4" t="s">
        <v>620</v>
      </c>
      <c r="F214" s="4" t="s">
        <v>621</v>
      </c>
      <c r="G214" s="4" t="s">
        <v>287</v>
      </c>
      <c r="H214" s="4" t="s">
        <v>610</v>
      </c>
      <c r="I214" s="3">
        <v>1</v>
      </c>
      <c r="J214" s="45" t="str">
        <f t="shared" si="27"/>
        <v>1</v>
      </c>
      <c r="K214" s="54" t="str">
        <f t="shared" si="32"/>
        <v>1</v>
      </c>
      <c r="L214" s="69" t="str">
        <f t="shared" si="28"/>
        <v>0</v>
      </c>
      <c r="M214" s="74" t="str">
        <f t="shared" si="29"/>
        <v>1</v>
      </c>
      <c r="N214" s="29" t="str">
        <f t="shared" si="30"/>
        <v>0</v>
      </c>
      <c r="O214" s="61" t="str">
        <f t="shared" ca="1" si="34"/>
        <v>1</v>
      </c>
      <c r="P214" s="65" t="str">
        <f t="shared" si="35"/>
        <v>0</v>
      </c>
      <c r="Q214" s="46">
        <f t="shared" ca="1" si="33"/>
        <v>4</v>
      </c>
      <c r="R214" s="83" t="str">
        <f t="shared" ca="1" si="31"/>
        <v>ผ่าน</v>
      </c>
      <c r="S214" s="3" t="s">
        <v>28</v>
      </c>
    </row>
    <row r="215" spans="1:19" ht="24">
      <c r="A215" s="3">
        <v>214</v>
      </c>
      <c r="B215" s="105">
        <v>6610392121</v>
      </c>
      <c r="C215" s="4" t="s">
        <v>29</v>
      </c>
      <c r="D215" s="4" t="s">
        <v>622</v>
      </c>
      <c r="E215" s="4" t="s">
        <v>393</v>
      </c>
      <c r="F215" s="4" t="s">
        <v>623</v>
      </c>
      <c r="G215" s="4" t="s">
        <v>287</v>
      </c>
      <c r="H215" s="4" t="s">
        <v>610</v>
      </c>
      <c r="I215" s="3">
        <v>1</v>
      </c>
      <c r="J215" s="44" t="str">
        <f t="shared" si="27"/>
        <v>0</v>
      </c>
      <c r="K215" s="54" t="str">
        <f t="shared" si="32"/>
        <v>1</v>
      </c>
      <c r="L215" s="69" t="str">
        <f t="shared" si="28"/>
        <v>0</v>
      </c>
      <c r="M215" s="74" t="str">
        <f t="shared" si="29"/>
        <v>1</v>
      </c>
      <c r="N215" s="29" t="str">
        <f t="shared" si="30"/>
        <v>0</v>
      </c>
      <c r="O215" s="61" t="str">
        <f t="shared" ca="1" si="34"/>
        <v>0</v>
      </c>
      <c r="P215" s="65" t="str">
        <f t="shared" si="35"/>
        <v>1</v>
      </c>
      <c r="Q215" s="46">
        <f t="shared" ca="1" si="33"/>
        <v>3</v>
      </c>
      <c r="R215" s="83" t="str">
        <f t="shared" ca="1" si="31"/>
        <v>ผ่าน</v>
      </c>
      <c r="S215" s="3" t="s">
        <v>28</v>
      </c>
    </row>
    <row r="216" spans="1:19" ht="24">
      <c r="A216" s="3">
        <v>215</v>
      </c>
      <c r="B216" s="105">
        <v>6610392126</v>
      </c>
      <c r="C216" s="4" t="s">
        <v>29</v>
      </c>
      <c r="D216" s="4" t="s">
        <v>624</v>
      </c>
      <c r="E216" s="4" t="s">
        <v>625</v>
      </c>
      <c r="F216" s="4" t="s">
        <v>626</v>
      </c>
      <c r="G216" s="4" t="s">
        <v>287</v>
      </c>
      <c r="H216" s="4" t="s">
        <v>610</v>
      </c>
      <c r="I216" s="3">
        <v>1</v>
      </c>
      <c r="J216" s="44" t="str">
        <f t="shared" si="27"/>
        <v>0</v>
      </c>
      <c r="K216" s="54" t="str">
        <f t="shared" si="32"/>
        <v>1</v>
      </c>
      <c r="L216" s="69" t="str">
        <f t="shared" si="28"/>
        <v>0</v>
      </c>
      <c r="M216" s="74" t="str">
        <f t="shared" si="29"/>
        <v>1</v>
      </c>
      <c r="N216" s="29" t="str">
        <f t="shared" si="30"/>
        <v>0</v>
      </c>
      <c r="O216" s="61" t="str">
        <f t="shared" ca="1" si="34"/>
        <v>0</v>
      </c>
      <c r="P216" s="65" t="str">
        <f t="shared" si="35"/>
        <v>1</v>
      </c>
      <c r="Q216" s="46">
        <f t="shared" ca="1" si="33"/>
        <v>3</v>
      </c>
      <c r="R216" s="83" t="str">
        <f t="shared" ca="1" si="31"/>
        <v>ผ่าน</v>
      </c>
      <c r="S216" s="3" t="s">
        <v>28</v>
      </c>
    </row>
    <row r="217" spans="1:19" ht="24">
      <c r="A217" s="3">
        <v>216</v>
      </c>
      <c r="B217" s="105">
        <v>6610392203</v>
      </c>
      <c r="C217" s="4" t="s">
        <v>22</v>
      </c>
      <c r="D217" s="4" t="s">
        <v>627</v>
      </c>
      <c r="E217" s="4" t="s">
        <v>628</v>
      </c>
      <c r="F217" s="4" t="s">
        <v>629</v>
      </c>
      <c r="G217" s="4" t="s">
        <v>287</v>
      </c>
      <c r="H217" s="4" t="s">
        <v>610</v>
      </c>
      <c r="I217" s="3">
        <v>1</v>
      </c>
      <c r="J217" s="45" t="str">
        <f t="shared" si="27"/>
        <v>1</v>
      </c>
      <c r="K217" s="54" t="str">
        <f t="shared" si="32"/>
        <v>0</v>
      </c>
      <c r="L217" s="69" t="str">
        <f t="shared" si="28"/>
        <v>1</v>
      </c>
      <c r="M217" s="74" t="str">
        <f t="shared" si="29"/>
        <v>0</v>
      </c>
      <c r="N217" s="29" t="str">
        <f t="shared" si="30"/>
        <v>0</v>
      </c>
      <c r="O217" s="61" t="str">
        <f t="shared" ca="1" si="34"/>
        <v>1</v>
      </c>
      <c r="P217" s="65" t="str">
        <f t="shared" si="35"/>
        <v>1</v>
      </c>
      <c r="Q217" s="46">
        <f t="shared" ca="1" si="33"/>
        <v>4</v>
      </c>
      <c r="R217" s="83" t="str">
        <f t="shared" ca="1" si="31"/>
        <v>ผ่าน</v>
      </c>
      <c r="S217" s="3" t="s">
        <v>28</v>
      </c>
    </row>
    <row r="218" spans="1:19" ht="24">
      <c r="A218" s="3">
        <v>217</v>
      </c>
      <c r="B218" s="105">
        <v>6610392212</v>
      </c>
      <c r="C218" s="4" t="s">
        <v>22</v>
      </c>
      <c r="D218" s="4" t="s">
        <v>630</v>
      </c>
      <c r="E218" s="4" t="s">
        <v>631</v>
      </c>
      <c r="F218" s="4" t="s">
        <v>486</v>
      </c>
      <c r="G218" s="4" t="s">
        <v>287</v>
      </c>
      <c r="H218" s="4" t="s">
        <v>610</v>
      </c>
      <c r="I218" s="3">
        <v>1</v>
      </c>
      <c r="J218" s="45" t="str">
        <f t="shared" si="27"/>
        <v>1</v>
      </c>
      <c r="K218" s="54" t="str">
        <f t="shared" si="32"/>
        <v>1</v>
      </c>
      <c r="L218" s="69" t="str">
        <f t="shared" si="28"/>
        <v>0</v>
      </c>
      <c r="M218" s="74" t="str">
        <f t="shared" si="29"/>
        <v>0</v>
      </c>
      <c r="N218" s="29" t="str">
        <f t="shared" si="30"/>
        <v>0</v>
      </c>
      <c r="O218" s="61" t="str">
        <f t="shared" ca="1" si="34"/>
        <v>0</v>
      </c>
      <c r="P218" s="65" t="str">
        <f t="shared" si="35"/>
        <v>0</v>
      </c>
      <c r="Q218" s="46">
        <f t="shared" ca="1" si="33"/>
        <v>2</v>
      </c>
      <c r="R218" s="3" t="str">
        <f t="shared" ca="1" si="31"/>
        <v>ไม่ผ่าน</v>
      </c>
      <c r="S218" s="3" t="s">
        <v>28</v>
      </c>
    </row>
    <row r="219" spans="1:19" ht="24">
      <c r="A219" s="3">
        <v>218</v>
      </c>
      <c r="B219" s="105">
        <v>6610392213</v>
      </c>
      <c r="C219" s="4" t="s">
        <v>22</v>
      </c>
      <c r="D219" s="4" t="s">
        <v>632</v>
      </c>
      <c r="E219" s="4" t="s">
        <v>633</v>
      </c>
      <c r="F219" s="4" t="s">
        <v>634</v>
      </c>
      <c r="G219" s="4" t="s">
        <v>287</v>
      </c>
      <c r="H219" s="4" t="s">
        <v>610</v>
      </c>
      <c r="I219" s="3">
        <v>1</v>
      </c>
      <c r="J219" s="44" t="str">
        <f t="shared" si="27"/>
        <v>0</v>
      </c>
      <c r="K219" s="54" t="str">
        <f t="shared" si="32"/>
        <v>0</v>
      </c>
      <c r="L219" s="69" t="str">
        <f t="shared" si="28"/>
        <v>0</v>
      </c>
      <c r="M219" s="74" t="str">
        <f t="shared" si="29"/>
        <v>1</v>
      </c>
      <c r="N219" s="29" t="str">
        <f t="shared" si="30"/>
        <v>0</v>
      </c>
      <c r="O219" s="61" t="str">
        <f t="shared" ca="1" si="34"/>
        <v>1</v>
      </c>
      <c r="P219" s="65" t="str">
        <f t="shared" si="35"/>
        <v>1</v>
      </c>
      <c r="Q219" s="46">
        <f t="shared" ca="1" si="33"/>
        <v>3</v>
      </c>
      <c r="R219" s="83" t="str">
        <f t="shared" ca="1" si="31"/>
        <v>ผ่าน</v>
      </c>
      <c r="S219" s="3" t="s">
        <v>28</v>
      </c>
    </row>
    <row r="220" spans="1:19" ht="24">
      <c r="A220" s="3">
        <v>219</v>
      </c>
      <c r="B220" s="105">
        <v>6610392224</v>
      </c>
      <c r="C220" s="4" t="s">
        <v>29</v>
      </c>
      <c r="D220" s="4" t="s">
        <v>635</v>
      </c>
      <c r="E220" s="4" t="s">
        <v>636</v>
      </c>
      <c r="F220" s="4" t="s">
        <v>409</v>
      </c>
      <c r="G220" s="4" t="s">
        <v>287</v>
      </c>
      <c r="H220" s="4" t="s">
        <v>610</v>
      </c>
      <c r="I220" s="3">
        <v>1</v>
      </c>
      <c r="J220" s="44" t="str">
        <f t="shared" si="27"/>
        <v>0</v>
      </c>
      <c r="K220" s="54" t="str">
        <f t="shared" si="32"/>
        <v>1</v>
      </c>
      <c r="L220" s="69" t="str">
        <f t="shared" si="28"/>
        <v>0</v>
      </c>
      <c r="M220" s="74" t="str">
        <f t="shared" si="29"/>
        <v>1</v>
      </c>
      <c r="N220" s="29" t="str">
        <f t="shared" si="30"/>
        <v>0</v>
      </c>
      <c r="O220" s="61" t="str">
        <f t="shared" ca="1" si="34"/>
        <v>1</v>
      </c>
      <c r="P220" s="65" t="str">
        <f t="shared" si="35"/>
        <v>0</v>
      </c>
      <c r="Q220" s="46">
        <f t="shared" ca="1" si="33"/>
        <v>3</v>
      </c>
      <c r="R220" s="83" t="str">
        <f t="shared" ca="1" si="31"/>
        <v>ผ่าน</v>
      </c>
      <c r="S220" s="3" t="s">
        <v>28</v>
      </c>
    </row>
    <row r="221" spans="1:19" ht="24">
      <c r="A221" s="3">
        <v>220</v>
      </c>
      <c r="B221" s="105">
        <v>6610392226</v>
      </c>
      <c r="C221" s="4" t="s">
        <v>29</v>
      </c>
      <c r="D221" s="4" t="s">
        <v>637</v>
      </c>
      <c r="E221" s="4" t="s">
        <v>638</v>
      </c>
      <c r="F221" s="4" t="s">
        <v>453</v>
      </c>
      <c r="G221" s="4" t="s">
        <v>287</v>
      </c>
      <c r="H221" s="4" t="s">
        <v>610</v>
      </c>
      <c r="I221" s="3">
        <v>1</v>
      </c>
      <c r="J221" s="45" t="str">
        <f t="shared" si="27"/>
        <v>1</v>
      </c>
      <c r="K221" s="54" t="str">
        <f t="shared" si="32"/>
        <v>1</v>
      </c>
      <c r="L221" s="69" t="str">
        <f t="shared" si="28"/>
        <v>0</v>
      </c>
      <c r="M221" s="74" t="str">
        <f t="shared" si="29"/>
        <v>1</v>
      </c>
      <c r="N221" s="29" t="str">
        <f t="shared" si="30"/>
        <v>0</v>
      </c>
      <c r="O221" s="61" t="str">
        <f t="shared" ca="1" si="34"/>
        <v>1</v>
      </c>
      <c r="P221" s="65" t="str">
        <f t="shared" si="35"/>
        <v>0</v>
      </c>
      <c r="Q221" s="46">
        <f t="shared" ca="1" si="33"/>
        <v>4</v>
      </c>
      <c r="R221" s="83" t="str">
        <f t="shared" ca="1" si="31"/>
        <v>ผ่าน</v>
      </c>
      <c r="S221" s="3" t="s">
        <v>28</v>
      </c>
    </row>
    <row r="222" spans="1:19" ht="24">
      <c r="A222" s="3">
        <v>221</v>
      </c>
      <c r="B222" s="105">
        <v>6510392111</v>
      </c>
      <c r="C222" s="4" t="s">
        <v>29</v>
      </c>
      <c r="D222" s="4" t="s">
        <v>639</v>
      </c>
      <c r="E222" s="4" t="s">
        <v>640</v>
      </c>
      <c r="F222" s="4" t="s">
        <v>641</v>
      </c>
      <c r="G222" s="4" t="s">
        <v>287</v>
      </c>
      <c r="H222" s="4" t="s">
        <v>610</v>
      </c>
      <c r="I222" s="3">
        <v>2</v>
      </c>
      <c r="J222" s="45" t="str">
        <f t="shared" si="27"/>
        <v>1</v>
      </c>
      <c r="K222" s="54" t="str">
        <f t="shared" si="32"/>
        <v>1</v>
      </c>
      <c r="L222" s="69" t="str">
        <f t="shared" si="28"/>
        <v>0</v>
      </c>
      <c r="M222" s="74" t="str">
        <f t="shared" si="29"/>
        <v>1</v>
      </c>
      <c r="N222" s="29" t="str">
        <f t="shared" si="30"/>
        <v>0</v>
      </c>
      <c r="O222" s="61" t="str">
        <f t="shared" ca="1" si="34"/>
        <v>0</v>
      </c>
      <c r="P222" s="65" t="str">
        <f t="shared" si="35"/>
        <v>1</v>
      </c>
      <c r="Q222" s="46">
        <f t="shared" ca="1" si="33"/>
        <v>4</v>
      </c>
      <c r="R222" s="83" t="str">
        <f t="shared" ca="1" si="31"/>
        <v>ผ่าน</v>
      </c>
      <c r="S222" s="3" t="s">
        <v>28</v>
      </c>
    </row>
    <row r="223" spans="1:19" ht="24">
      <c r="A223" s="3">
        <v>222</v>
      </c>
      <c r="B223" s="105">
        <v>6510392112</v>
      </c>
      <c r="C223" s="4" t="s">
        <v>29</v>
      </c>
      <c r="D223" s="4" t="s">
        <v>642</v>
      </c>
      <c r="E223" s="4" t="s">
        <v>643</v>
      </c>
      <c r="F223" s="4" t="s">
        <v>644</v>
      </c>
      <c r="G223" s="4" t="s">
        <v>287</v>
      </c>
      <c r="H223" s="4" t="s">
        <v>610</v>
      </c>
      <c r="I223" s="3">
        <v>2</v>
      </c>
      <c r="J223" s="44" t="str">
        <f t="shared" si="27"/>
        <v>0</v>
      </c>
      <c r="K223" s="54" t="str">
        <f t="shared" si="32"/>
        <v>0</v>
      </c>
      <c r="L223" s="69" t="str">
        <f t="shared" si="28"/>
        <v>0</v>
      </c>
      <c r="M223" s="74" t="str">
        <f t="shared" si="29"/>
        <v>0</v>
      </c>
      <c r="N223" s="29" t="str">
        <f t="shared" si="30"/>
        <v>0</v>
      </c>
      <c r="O223" s="61" t="str">
        <f t="shared" ca="1" si="34"/>
        <v>0</v>
      </c>
      <c r="P223" s="65" t="str">
        <f t="shared" si="35"/>
        <v>0</v>
      </c>
      <c r="Q223" s="46">
        <f t="shared" ca="1" si="33"/>
        <v>0</v>
      </c>
      <c r="R223" s="3" t="str">
        <f t="shared" ca="1" si="31"/>
        <v>ไม่ผ่าน</v>
      </c>
      <c r="S223" s="3" t="s">
        <v>28</v>
      </c>
    </row>
    <row r="224" spans="1:19" ht="24">
      <c r="A224" s="3">
        <v>223</v>
      </c>
      <c r="B224" s="105">
        <v>6510392117</v>
      </c>
      <c r="C224" s="4" t="s">
        <v>29</v>
      </c>
      <c r="D224" s="4" t="s">
        <v>645</v>
      </c>
      <c r="E224" s="4" t="s">
        <v>646</v>
      </c>
      <c r="F224" s="4" t="s">
        <v>647</v>
      </c>
      <c r="G224" s="4" t="s">
        <v>287</v>
      </c>
      <c r="H224" s="4" t="s">
        <v>610</v>
      </c>
      <c r="I224" s="3">
        <v>2</v>
      </c>
      <c r="J224" s="45" t="str">
        <f t="shared" si="27"/>
        <v>1</v>
      </c>
      <c r="K224" s="54" t="str">
        <f t="shared" si="32"/>
        <v>1</v>
      </c>
      <c r="L224" s="69" t="str">
        <f t="shared" si="28"/>
        <v>0</v>
      </c>
      <c r="M224" s="74" t="str">
        <f t="shared" si="29"/>
        <v>1</v>
      </c>
      <c r="N224" s="29" t="str">
        <f t="shared" si="30"/>
        <v>0</v>
      </c>
      <c r="O224" s="61" t="str">
        <f t="shared" ca="1" si="34"/>
        <v>0</v>
      </c>
      <c r="P224" s="65" t="str">
        <f t="shared" si="35"/>
        <v>1</v>
      </c>
      <c r="Q224" s="46">
        <f t="shared" ca="1" si="33"/>
        <v>4</v>
      </c>
      <c r="R224" s="83" t="str">
        <f t="shared" ca="1" si="31"/>
        <v>ผ่าน</v>
      </c>
      <c r="S224" s="3" t="s">
        <v>28</v>
      </c>
    </row>
    <row r="225" spans="1:19" ht="24">
      <c r="A225" s="3">
        <v>224</v>
      </c>
      <c r="B225" s="105">
        <v>6510392124</v>
      </c>
      <c r="C225" s="4" t="s">
        <v>29</v>
      </c>
      <c r="D225" s="4" t="s">
        <v>648</v>
      </c>
      <c r="E225" s="4" t="s">
        <v>649</v>
      </c>
      <c r="F225" s="4" t="s">
        <v>196</v>
      </c>
      <c r="G225" s="4" t="s">
        <v>287</v>
      </c>
      <c r="H225" s="4" t="s">
        <v>610</v>
      </c>
      <c r="I225" s="3">
        <v>2</v>
      </c>
      <c r="J225" s="45" t="str">
        <f t="shared" si="27"/>
        <v>1</v>
      </c>
      <c r="K225" s="54" t="str">
        <f t="shared" si="32"/>
        <v>1</v>
      </c>
      <c r="L225" s="69" t="str">
        <f t="shared" si="28"/>
        <v>0</v>
      </c>
      <c r="M225" s="74" t="str">
        <f t="shared" si="29"/>
        <v>0</v>
      </c>
      <c r="N225" s="29" t="str">
        <f t="shared" si="30"/>
        <v>1</v>
      </c>
      <c r="O225" s="61" t="str">
        <f t="shared" ca="1" si="34"/>
        <v>0</v>
      </c>
      <c r="P225" s="65" t="str">
        <f t="shared" si="35"/>
        <v>1</v>
      </c>
      <c r="Q225" s="46">
        <f t="shared" ca="1" si="33"/>
        <v>4</v>
      </c>
      <c r="R225" s="83" t="str">
        <f t="shared" ca="1" si="31"/>
        <v>ผ่าน</v>
      </c>
      <c r="S225" s="3" t="s">
        <v>28</v>
      </c>
    </row>
    <row r="226" spans="1:19" ht="24">
      <c r="A226" s="3">
        <v>225</v>
      </c>
      <c r="B226" s="105">
        <v>6510392128</v>
      </c>
      <c r="C226" s="4" t="s">
        <v>29</v>
      </c>
      <c r="D226" s="4" t="s">
        <v>650</v>
      </c>
      <c r="E226" s="4" t="s">
        <v>651</v>
      </c>
      <c r="F226" s="4" t="s">
        <v>652</v>
      </c>
      <c r="G226" s="4" t="s">
        <v>287</v>
      </c>
      <c r="H226" s="4" t="s">
        <v>610</v>
      </c>
      <c r="I226" s="3">
        <v>2</v>
      </c>
      <c r="J226" s="45" t="str">
        <f t="shared" si="27"/>
        <v>1</v>
      </c>
      <c r="K226" s="54" t="str">
        <f t="shared" si="32"/>
        <v>1</v>
      </c>
      <c r="L226" s="69" t="str">
        <f t="shared" si="28"/>
        <v>0</v>
      </c>
      <c r="M226" s="74" t="str">
        <f t="shared" si="29"/>
        <v>1</v>
      </c>
      <c r="N226" s="29" t="str">
        <f t="shared" si="30"/>
        <v>0</v>
      </c>
      <c r="O226" s="61" t="str">
        <f t="shared" ca="1" si="34"/>
        <v>0</v>
      </c>
      <c r="P226" s="65" t="str">
        <f t="shared" si="35"/>
        <v>1</v>
      </c>
      <c r="Q226" s="46">
        <f t="shared" ca="1" si="33"/>
        <v>4</v>
      </c>
      <c r="R226" s="83" t="str">
        <f t="shared" ca="1" si="31"/>
        <v>ผ่าน</v>
      </c>
      <c r="S226" s="3" t="s">
        <v>28</v>
      </c>
    </row>
    <row r="227" spans="1:19" ht="24">
      <c r="A227" s="3">
        <v>226</v>
      </c>
      <c r="B227" s="105">
        <v>6510392215</v>
      </c>
      <c r="C227" s="4" t="s">
        <v>29</v>
      </c>
      <c r="D227" s="4" t="s">
        <v>653</v>
      </c>
      <c r="E227" s="4" t="s">
        <v>654</v>
      </c>
      <c r="F227" s="4" t="s">
        <v>41</v>
      </c>
      <c r="G227" s="4" t="s">
        <v>287</v>
      </c>
      <c r="H227" s="4" t="s">
        <v>610</v>
      </c>
      <c r="I227" s="3">
        <v>2</v>
      </c>
      <c r="J227" s="45" t="str">
        <f t="shared" si="27"/>
        <v>1</v>
      </c>
      <c r="K227" s="54" t="str">
        <f t="shared" si="32"/>
        <v>1</v>
      </c>
      <c r="L227" s="69" t="str">
        <f t="shared" si="28"/>
        <v>0</v>
      </c>
      <c r="M227" s="74" t="str">
        <f t="shared" si="29"/>
        <v>0</v>
      </c>
      <c r="N227" s="29" t="str">
        <f t="shared" si="30"/>
        <v>1</v>
      </c>
      <c r="O227" s="61" t="str">
        <f t="shared" ca="1" si="34"/>
        <v>0</v>
      </c>
      <c r="P227" s="65" t="str">
        <f t="shared" si="35"/>
        <v>1</v>
      </c>
      <c r="Q227" s="46">
        <f t="shared" ca="1" si="33"/>
        <v>4</v>
      </c>
      <c r="R227" s="83" t="str">
        <f t="shared" ca="1" si="31"/>
        <v>ผ่าน</v>
      </c>
      <c r="S227" s="3" t="s">
        <v>28</v>
      </c>
    </row>
    <row r="228" spans="1:19" ht="24">
      <c r="A228" s="3">
        <v>227</v>
      </c>
      <c r="B228" s="105">
        <v>6410392105</v>
      </c>
      <c r="C228" s="4" t="s">
        <v>22</v>
      </c>
      <c r="D228" s="4" t="s">
        <v>655</v>
      </c>
      <c r="E228" s="4" t="s">
        <v>656</v>
      </c>
      <c r="F228" s="4" t="s">
        <v>657</v>
      </c>
      <c r="G228" s="4" t="s">
        <v>287</v>
      </c>
      <c r="H228" s="4" t="s">
        <v>610</v>
      </c>
      <c r="I228" s="3">
        <v>3</v>
      </c>
      <c r="J228" s="29" t="str">
        <f t="shared" si="27"/>
        <v>0</v>
      </c>
      <c r="K228" s="54" t="str">
        <f t="shared" si="32"/>
        <v>0</v>
      </c>
      <c r="L228" s="69" t="str">
        <f t="shared" si="28"/>
        <v>0</v>
      </c>
      <c r="M228" s="74" t="str">
        <f t="shared" si="29"/>
        <v>0</v>
      </c>
      <c r="N228" s="29" t="str">
        <f t="shared" si="30"/>
        <v>0</v>
      </c>
      <c r="O228" s="61" t="str">
        <f t="shared" ca="1" si="34"/>
        <v>0</v>
      </c>
      <c r="P228" s="65" t="str">
        <f t="shared" si="35"/>
        <v>1</v>
      </c>
      <c r="Q228" s="46">
        <f t="shared" ca="1" si="33"/>
        <v>1</v>
      </c>
      <c r="R228" s="3" t="str">
        <f t="shared" ca="1" si="31"/>
        <v>ไม่ผ่าน</v>
      </c>
      <c r="S228" s="3" t="s">
        <v>28</v>
      </c>
    </row>
    <row r="229" spans="1:19" ht="24">
      <c r="A229" s="3">
        <v>228</v>
      </c>
      <c r="B229" s="105">
        <v>6410392207</v>
      </c>
      <c r="C229" s="4" t="s">
        <v>22</v>
      </c>
      <c r="D229" s="4" t="s">
        <v>658</v>
      </c>
      <c r="E229" s="4" t="s">
        <v>659</v>
      </c>
      <c r="F229" s="4" t="s">
        <v>660</v>
      </c>
      <c r="G229" s="4" t="s">
        <v>287</v>
      </c>
      <c r="H229" s="4" t="s">
        <v>610</v>
      </c>
      <c r="I229" s="3">
        <v>3</v>
      </c>
      <c r="J229" s="29" t="str">
        <f t="shared" si="27"/>
        <v>0</v>
      </c>
      <c r="K229" s="54" t="str">
        <f t="shared" si="32"/>
        <v>0</v>
      </c>
      <c r="L229" s="69" t="str">
        <f t="shared" si="28"/>
        <v>0</v>
      </c>
      <c r="M229" s="74" t="str">
        <f t="shared" si="29"/>
        <v>0</v>
      </c>
      <c r="N229" s="29" t="str">
        <f t="shared" si="30"/>
        <v>0</v>
      </c>
      <c r="O229" s="61" t="str">
        <f t="shared" ca="1" si="34"/>
        <v>0</v>
      </c>
      <c r="P229" s="65" t="str">
        <f t="shared" si="35"/>
        <v>0</v>
      </c>
      <c r="Q229" s="46">
        <f t="shared" ca="1" si="33"/>
        <v>0</v>
      </c>
      <c r="R229" s="3" t="str">
        <f t="shared" ca="1" si="31"/>
        <v>ไม่ผ่าน</v>
      </c>
      <c r="S229" s="3" t="s">
        <v>28</v>
      </c>
    </row>
    <row r="230" spans="1:19" ht="24">
      <c r="A230" s="3">
        <v>229</v>
      </c>
      <c r="B230" s="105">
        <v>6310392102</v>
      </c>
      <c r="C230" s="4" t="s">
        <v>22</v>
      </c>
      <c r="D230" s="4" t="s">
        <v>661</v>
      </c>
      <c r="E230" s="4" t="s">
        <v>662</v>
      </c>
      <c r="F230" s="4" t="s">
        <v>663</v>
      </c>
      <c r="G230" s="4" t="s">
        <v>287</v>
      </c>
      <c r="H230" s="4" t="s">
        <v>610</v>
      </c>
      <c r="I230" s="3">
        <v>4</v>
      </c>
      <c r="J230" s="29" t="str">
        <f t="shared" si="27"/>
        <v>0</v>
      </c>
      <c r="K230" s="54" t="str">
        <f t="shared" si="32"/>
        <v>0</v>
      </c>
      <c r="L230" s="69" t="str">
        <f t="shared" si="28"/>
        <v>0</v>
      </c>
      <c r="M230" s="74" t="str">
        <f t="shared" si="29"/>
        <v>0</v>
      </c>
      <c r="N230" s="29" t="str">
        <f t="shared" si="30"/>
        <v>0</v>
      </c>
      <c r="O230" s="61">
        <v>1</v>
      </c>
      <c r="P230" s="65">
        <v>1</v>
      </c>
      <c r="Q230" s="46">
        <f t="shared" si="33"/>
        <v>2</v>
      </c>
      <c r="R230" s="3" t="str">
        <f t="shared" si="31"/>
        <v>ไม่ผ่าน</v>
      </c>
      <c r="S230" s="3" t="s">
        <v>28</v>
      </c>
    </row>
    <row r="231" spans="1:19" ht="24">
      <c r="A231" s="3">
        <v>230</v>
      </c>
      <c r="B231" s="105">
        <v>6310392103</v>
      </c>
      <c r="C231" s="4" t="s">
        <v>22</v>
      </c>
      <c r="D231" s="4" t="s">
        <v>664</v>
      </c>
      <c r="E231" s="4" t="s">
        <v>665</v>
      </c>
      <c r="F231" s="4" t="s">
        <v>666</v>
      </c>
      <c r="G231" s="4" t="s">
        <v>287</v>
      </c>
      <c r="H231" s="4" t="s">
        <v>610</v>
      </c>
      <c r="I231" s="3">
        <v>4</v>
      </c>
      <c r="J231" s="29" t="str">
        <f t="shared" si="27"/>
        <v>0</v>
      </c>
      <c r="K231" s="54" t="str">
        <f t="shared" si="32"/>
        <v>0</v>
      </c>
      <c r="L231" s="69" t="str">
        <f t="shared" si="28"/>
        <v>0</v>
      </c>
      <c r="M231" s="74" t="str">
        <f t="shared" si="29"/>
        <v>0</v>
      </c>
      <c r="N231" s="29" t="str">
        <f t="shared" si="30"/>
        <v>0</v>
      </c>
      <c r="O231" s="61">
        <v>1</v>
      </c>
      <c r="P231" s="65">
        <v>1</v>
      </c>
      <c r="Q231" s="46">
        <f t="shared" si="33"/>
        <v>2</v>
      </c>
      <c r="R231" s="3" t="str">
        <f t="shared" si="31"/>
        <v>ไม่ผ่าน</v>
      </c>
      <c r="S231" s="3" t="s">
        <v>28</v>
      </c>
    </row>
    <row r="232" spans="1:19" ht="24">
      <c r="A232" s="3">
        <v>231</v>
      </c>
      <c r="B232" s="105">
        <v>6310392104</v>
      </c>
      <c r="C232" s="4" t="s">
        <v>22</v>
      </c>
      <c r="D232" s="4" t="s">
        <v>667</v>
      </c>
      <c r="E232" s="4" t="s">
        <v>668</v>
      </c>
      <c r="F232" s="4" t="s">
        <v>669</v>
      </c>
      <c r="G232" s="4" t="s">
        <v>287</v>
      </c>
      <c r="H232" s="4" t="s">
        <v>610</v>
      </c>
      <c r="I232" s="3">
        <v>4</v>
      </c>
      <c r="J232" s="29" t="str">
        <f t="shared" si="27"/>
        <v>0</v>
      </c>
      <c r="K232" s="54" t="str">
        <f t="shared" si="32"/>
        <v>1</v>
      </c>
      <c r="L232" s="69" t="str">
        <f t="shared" si="28"/>
        <v>0</v>
      </c>
      <c r="M232" s="74" t="str">
        <f t="shared" si="29"/>
        <v>1</v>
      </c>
      <c r="N232" s="29" t="str">
        <f t="shared" si="30"/>
        <v>0</v>
      </c>
      <c r="O232" s="61">
        <v>1</v>
      </c>
      <c r="P232" s="65">
        <v>1</v>
      </c>
      <c r="Q232" s="46">
        <f t="shared" si="33"/>
        <v>4</v>
      </c>
      <c r="R232" s="83" t="str">
        <f t="shared" si="31"/>
        <v>ผ่าน</v>
      </c>
      <c r="S232" s="3" t="s">
        <v>28</v>
      </c>
    </row>
    <row r="233" spans="1:19" ht="24">
      <c r="A233" s="3">
        <v>232</v>
      </c>
      <c r="B233" s="105">
        <v>6310392203</v>
      </c>
      <c r="C233" s="4" t="s">
        <v>22</v>
      </c>
      <c r="D233" s="4" t="s">
        <v>670</v>
      </c>
      <c r="E233" s="4" t="s">
        <v>671</v>
      </c>
      <c r="F233" s="4" t="s">
        <v>672</v>
      </c>
      <c r="G233" s="4" t="s">
        <v>287</v>
      </c>
      <c r="H233" s="4" t="s">
        <v>610</v>
      </c>
      <c r="I233" s="3">
        <v>4</v>
      </c>
      <c r="J233" s="29" t="str">
        <f t="shared" si="27"/>
        <v>0</v>
      </c>
      <c r="K233" s="54" t="str">
        <f t="shared" si="32"/>
        <v>0</v>
      </c>
      <c r="L233" s="69" t="str">
        <f t="shared" si="28"/>
        <v>0</v>
      </c>
      <c r="M233" s="74" t="str">
        <f t="shared" si="29"/>
        <v>1</v>
      </c>
      <c r="N233" s="29" t="str">
        <f t="shared" si="30"/>
        <v>0</v>
      </c>
      <c r="O233" s="61">
        <v>1</v>
      </c>
      <c r="P233" s="65">
        <v>1</v>
      </c>
      <c r="Q233" s="46">
        <f t="shared" si="33"/>
        <v>3</v>
      </c>
      <c r="R233" s="83" t="str">
        <f t="shared" si="31"/>
        <v>ผ่าน</v>
      </c>
      <c r="S233" s="3" t="s">
        <v>28</v>
      </c>
    </row>
    <row r="234" spans="1:19" ht="24">
      <c r="A234" s="3">
        <v>233</v>
      </c>
      <c r="B234" s="105">
        <v>6310392217</v>
      </c>
      <c r="C234" s="4" t="s">
        <v>22</v>
      </c>
      <c r="D234" s="4" t="s">
        <v>673</v>
      </c>
      <c r="E234" s="4" t="s">
        <v>674</v>
      </c>
      <c r="F234" s="4" t="s">
        <v>675</v>
      </c>
      <c r="G234" s="4" t="s">
        <v>287</v>
      </c>
      <c r="H234" s="4" t="s">
        <v>610</v>
      </c>
      <c r="I234" s="3">
        <v>4</v>
      </c>
      <c r="J234" s="29" t="str">
        <f t="shared" si="27"/>
        <v>1</v>
      </c>
      <c r="K234" s="54" t="str">
        <f t="shared" si="32"/>
        <v>1</v>
      </c>
      <c r="L234" s="69" t="str">
        <f t="shared" si="28"/>
        <v>0</v>
      </c>
      <c r="M234" s="74" t="str">
        <f t="shared" si="29"/>
        <v>1</v>
      </c>
      <c r="N234" s="29" t="str">
        <f t="shared" si="30"/>
        <v>0</v>
      </c>
      <c r="O234" s="61">
        <v>1</v>
      </c>
      <c r="P234" s="65">
        <v>1</v>
      </c>
      <c r="Q234" s="46">
        <f t="shared" si="33"/>
        <v>5</v>
      </c>
      <c r="R234" s="83" t="str">
        <f t="shared" si="31"/>
        <v>ผ่าน</v>
      </c>
      <c r="S234" s="3" t="s">
        <v>28</v>
      </c>
    </row>
    <row r="235" spans="1:19" ht="24">
      <c r="A235" s="3">
        <v>234</v>
      </c>
      <c r="B235" s="105">
        <v>6310392108</v>
      </c>
      <c r="C235" s="4" t="s">
        <v>22</v>
      </c>
      <c r="D235" s="4" t="s">
        <v>676</v>
      </c>
      <c r="E235" s="4" t="s">
        <v>677</v>
      </c>
      <c r="F235" s="4" t="s">
        <v>588</v>
      </c>
      <c r="G235" s="4" t="s">
        <v>287</v>
      </c>
      <c r="H235" s="4" t="s">
        <v>610</v>
      </c>
      <c r="I235" s="3">
        <v>4</v>
      </c>
      <c r="J235" s="29" t="str">
        <f t="shared" si="27"/>
        <v>1</v>
      </c>
      <c r="K235" s="54" t="str">
        <f t="shared" si="32"/>
        <v>1</v>
      </c>
      <c r="L235" s="69" t="str">
        <f t="shared" si="28"/>
        <v>0</v>
      </c>
      <c r="M235" s="74" t="str">
        <f t="shared" si="29"/>
        <v>1</v>
      </c>
      <c r="N235" s="29" t="str">
        <f t="shared" si="30"/>
        <v>0</v>
      </c>
      <c r="O235" s="61">
        <v>1</v>
      </c>
      <c r="P235" s="65">
        <v>1</v>
      </c>
      <c r="Q235" s="46">
        <f t="shared" si="33"/>
        <v>5</v>
      </c>
      <c r="R235" s="83" t="str">
        <f t="shared" si="31"/>
        <v>ผ่าน</v>
      </c>
      <c r="S235" s="3" t="s">
        <v>28</v>
      </c>
    </row>
    <row r="236" spans="1:19" ht="24">
      <c r="A236" s="3">
        <v>235</v>
      </c>
      <c r="B236" s="105">
        <v>6610079102</v>
      </c>
      <c r="C236" s="4" t="s">
        <v>22</v>
      </c>
      <c r="D236" s="4" t="s">
        <v>678</v>
      </c>
      <c r="E236" s="4" t="s">
        <v>679</v>
      </c>
      <c r="F236" s="4" t="s">
        <v>680</v>
      </c>
      <c r="G236" s="4" t="s">
        <v>287</v>
      </c>
      <c r="H236" s="4" t="s">
        <v>681</v>
      </c>
      <c r="I236" s="3">
        <v>1</v>
      </c>
      <c r="J236" s="29" t="str">
        <f t="shared" si="27"/>
        <v>0</v>
      </c>
      <c r="K236" s="54">
        <v>1</v>
      </c>
      <c r="L236" s="69" t="str">
        <f t="shared" si="28"/>
        <v>0</v>
      </c>
      <c r="M236" s="74" t="str">
        <f t="shared" si="29"/>
        <v>1</v>
      </c>
      <c r="N236" s="29" t="str">
        <f t="shared" si="30"/>
        <v>0</v>
      </c>
      <c r="O236" s="61" t="str">
        <f t="shared" ca="1" si="34"/>
        <v>0</v>
      </c>
      <c r="P236" s="65" t="str">
        <f t="shared" si="35"/>
        <v>0</v>
      </c>
      <c r="Q236" s="46">
        <f t="shared" ca="1" si="33"/>
        <v>2</v>
      </c>
      <c r="R236" s="3" t="str">
        <f t="shared" ca="1" si="31"/>
        <v>ไม่ผ่าน</v>
      </c>
      <c r="S236" s="3" t="s">
        <v>28</v>
      </c>
    </row>
    <row r="237" spans="1:19" ht="24">
      <c r="A237" s="3">
        <v>236</v>
      </c>
      <c r="B237" s="105">
        <v>6610079113</v>
      </c>
      <c r="C237" s="4" t="s">
        <v>22</v>
      </c>
      <c r="D237" s="4" t="s">
        <v>682</v>
      </c>
      <c r="E237" s="4" t="s">
        <v>683</v>
      </c>
      <c r="F237" s="4" t="s">
        <v>684</v>
      </c>
      <c r="G237" s="4" t="s">
        <v>287</v>
      </c>
      <c r="H237" s="4" t="s">
        <v>681</v>
      </c>
      <c r="I237" s="3">
        <v>1</v>
      </c>
      <c r="J237" s="29" t="str">
        <f t="shared" si="27"/>
        <v>0</v>
      </c>
      <c r="K237" s="54">
        <v>1</v>
      </c>
      <c r="L237" s="69" t="str">
        <f t="shared" si="28"/>
        <v>0</v>
      </c>
      <c r="M237" s="74" t="str">
        <f t="shared" si="29"/>
        <v>1</v>
      </c>
      <c r="N237" s="29" t="str">
        <f t="shared" si="30"/>
        <v>0</v>
      </c>
      <c r="O237" s="61" t="str">
        <f t="shared" ca="1" si="34"/>
        <v>0</v>
      </c>
      <c r="P237" s="65" t="str">
        <f t="shared" si="35"/>
        <v>0</v>
      </c>
      <c r="Q237" s="46">
        <f t="shared" ca="1" si="33"/>
        <v>2</v>
      </c>
      <c r="R237" s="3" t="str">
        <f t="shared" ca="1" si="31"/>
        <v>ไม่ผ่าน</v>
      </c>
      <c r="S237" s="3" t="s">
        <v>28</v>
      </c>
    </row>
    <row r="238" spans="1:19" ht="24">
      <c r="A238" s="3">
        <v>237</v>
      </c>
      <c r="B238" s="105">
        <v>6510079209</v>
      </c>
      <c r="C238" s="4" t="s">
        <v>22</v>
      </c>
      <c r="D238" s="4" t="s">
        <v>685</v>
      </c>
      <c r="E238" s="4" t="s">
        <v>686</v>
      </c>
      <c r="F238" s="4" t="s">
        <v>687</v>
      </c>
      <c r="G238" s="4" t="s">
        <v>287</v>
      </c>
      <c r="H238" s="4" t="s">
        <v>681</v>
      </c>
      <c r="I238" s="3">
        <v>2</v>
      </c>
      <c r="J238" s="29" t="str">
        <f t="shared" si="27"/>
        <v>1</v>
      </c>
      <c r="K238" s="54" t="str">
        <f t="shared" si="32"/>
        <v>0</v>
      </c>
      <c r="L238" s="69" t="str">
        <f t="shared" si="28"/>
        <v>0</v>
      </c>
      <c r="M238" s="74" t="str">
        <f t="shared" si="29"/>
        <v>1</v>
      </c>
      <c r="N238" s="29" t="str">
        <f t="shared" si="30"/>
        <v>0</v>
      </c>
      <c r="O238" s="61" t="str">
        <f t="shared" ca="1" si="34"/>
        <v>0</v>
      </c>
      <c r="P238" s="65" t="str">
        <f t="shared" si="35"/>
        <v>1</v>
      </c>
      <c r="Q238" s="46">
        <f t="shared" ca="1" si="33"/>
        <v>3</v>
      </c>
      <c r="R238" s="83" t="str">
        <f t="shared" ca="1" si="31"/>
        <v>ผ่าน</v>
      </c>
      <c r="S238" s="3" t="s">
        <v>28</v>
      </c>
    </row>
    <row r="239" spans="1:19" ht="24">
      <c r="A239" s="3">
        <v>238</v>
      </c>
      <c r="B239" s="105">
        <v>6510079211</v>
      </c>
      <c r="C239" s="4" t="s">
        <v>22</v>
      </c>
      <c r="D239" s="4" t="s">
        <v>688</v>
      </c>
      <c r="E239" s="4" t="s">
        <v>689</v>
      </c>
      <c r="F239" s="4" t="s">
        <v>690</v>
      </c>
      <c r="G239" s="4" t="s">
        <v>287</v>
      </c>
      <c r="H239" s="4" t="s">
        <v>681</v>
      </c>
      <c r="I239" s="3">
        <v>2</v>
      </c>
      <c r="J239" s="29" t="str">
        <f t="shared" si="27"/>
        <v>1</v>
      </c>
      <c r="K239" s="54" t="str">
        <f t="shared" si="32"/>
        <v>1</v>
      </c>
      <c r="L239" s="69" t="str">
        <f t="shared" si="28"/>
        <v>0</v>
      </c>
      <c r="M239" s="74" t="str">
        <f t="shared" si="29"/>
        <v>1</v>
      </c>
      <c r="N239" s="29" t="str">
        <f t="shared" si="30"/>
        <v>0</v>
      </c>
      <c r="O239" s="61" t="str">
        <f t="shared" ca="1" si="34"/>
        <v>1</v>
      </c>
      <c r="P239" s="65" t="str">
        <f t="shared" si="35"/>
        <v>1</v>
      </c>
      <c r="Q239" s="46">
        <f t="shared" ca="1" si="33"/>
        <v>5</v>
      </c>
      <c r="R239" s="83" t="str">
        <f t="shared" ca="1" si="31"/>
        <v>ผ่าน</v>
      </c>
      <c r="S239" s="3" t="s">
        <v>28</v>
      </c>
    </row>
    <row r="240" spans="1:19" ht="24">
      <c r="A240" s="3">
        <v>239</v>
      </c>
      <c r="B240" s="105">
        <v>6410079101</v>
      </c>
      <c r="C240" s="4" t="s">
        <v>22</v>
      </c>
      <c r="D240" s="4" t="s">
        <v>691</v>
      </c>
      <c r="E240" s="4" t="s">
        <v>692</v>
      </c>
      <c r="F240" s="4" t="s">
        <v>693</v>
      </c>
      <c r="G240" s="4" t="s">
        <v>287</v>
      </c>
      <c r="H240" s="4" t="s">
        <v>681</v>
      </c>
      <c r="I240" s="3">
        <v>3</v>
      </c>
      <c r="J240" s="29" t="str">
        <f t="shared" si="27"/>
        <v>0</v>
      </c>
      <c r="K240" s="54" t="str">
        <f t="shared" si="32"/>
        <v>0</v>
      </c>
      <c r="L240" s="69" t="str">
        <f t="shared" si="28"/>
        <v>0</v>
      </c>
      <c r="M240" s="74" t="str">
        <f t="shared" si="29"/>
        <v>0</v>
      </c>
      <c r="N240" s="29" t="str">
        <f t="shared" si="30"/>
        <v>0</v>
      </c>
      <c r="O240" s="61" t="str">
        <f t="shared" ca="1" si="34"/>
        <v>0</v>
      </c>
      <c r="P240" s="65" t="str">
        <f t="shared" si="35"/>
        <v>0</v>
      </c>
      <c r="Q240" s="46">
        <f t="shared" ca="1" si="33"/>
        <v>0</v>
      </c>
      <c r="R240" s="3" t="str">
        <f t="shared" ca="1" si="31"/>
        <v>ไม่ผ่าน</v>
      </c>
      <c r="S240" s="3" t="s">
        <v>28</v>
      </c>
    </row>
    <row r="241" spans="1:19" ht="24">
      <c r="A241" s="3">
        <v>240</v>
      </c>
      <c r="B241" s="105">
        <v>6410079111</v>
      </c>
      <c r="C241" s="4" t="s">
        <v>22</v>
      </c>
      <c r="D241" s="4" t="s">
        <v>694</v>
      </c>
      <c r="E241" s="4" t="s">
        <v>695</v>
      </c>
      <c r="F241" s="4" t="s">
        <v>696</v>
      </c>
      <c r="G241" s="4" t="s">
        <v>287</v>
      </c>
      <c r="H241" s="4" t="s">
        <v>681</v>
      </c>
      <c r="I241" s="3">
        <v>3</v>
      </c>
      <c r="J241" s="29" t="str">
        <f t="shared" si="27"/>
        <v>0</v>
      </c>
      <c r="K241" s="54" t="str">
        <f t="shared" si="32"/>
        <v>0</v>
      </c>
      <c r="L241" s="69" t="str">
        <f t="shared" si="28"/>
        <v>0</v>
      </c>
      <c r="M241" s="74" t="str">
        <f t="shared" si="29"/>
        <v>0</v>
      </c>
      <c r="N241" s="29" t="str">
        <f t="shared" si="30"/>
        <v>0</v>
      </c>
      <c r="O241" s="61" t="str">
        <f t="shared" ca="1" si="34"/>
        <v>0</v>
      </c>
      <c r="P241" s="65" t="str">
        <f t="shared" si="35"/>
        <v>0</v>
      </c>
      <c r="Q241" s="46">
        <f t="shared" ca="1" si="33"/>
        <v>0</v>
      </c>
      <c r="R241" s="3" t="str">
        <f t="shared" ca="1" si="31"/>
        <v>ไม่ผ่าน</v>
      </c>
      <c r="S241" s="3" t="s">
        <v>28</v>
      </c>
    </row>
    <row r="242" spans="1:19" ht="24">
      <c r="A242" s="3">
        <v>241</v>
      </c>
      <c r="B242" s="105">
        <v>6410079122</v>
      </c>
      <c r="C242" s="4" t="s">
        <v>22</v>
      </c>
      <c r="D242" s="4" t="s">
        <v>547</v>
      </c>
      <c r="E242" s="4" t="s">
        <v>697</v>
      </c>
      <c r="F242" s="4" t="s">
        <v>698</v>
      </c>
      <c r="G242" s="4" t="s">
        <v>287</v>
      </c>
      <c r="H242" s="4" t="s">
        <v>681</v>
      </c>
      <c r="I242" s="3">
        <v>3</v>
      </c>
      <c r="J242" s="29" t="str">
        <f t="shared" si="27"/>
        <v>0</v>
      </c>
      <c r="K242" s="54">
        <v>1</v>
      </c>
      <c r="L242" s="69" t="str">
        <f t="shared" si="28"/>
        <v>0</v>
      </c>
      <c r="M242" s="74" t="str">
        <f t="shared" si="29"/>
        <v>1</v>
      </c>
      <c r="N242" s="29" t="str">
        <f t="shared" si="30"/>
        <v>0</v>
      </c>
      <c r="O242" s="61" t="str">
        <f t="shared" ca="1" si="34"/>
        <v>0</v>
      </c>
      <c r="P242" s="65" t="str">
        <f t="shared" si="35"/>
        <v>0</v>
      </c>
      <c r="Q242" s="46">
        <f t="shared" ca="1" si="33"/>
        <v>2</v>
      </c>
      <c r="R242" s="3" t="str">
        <f t="shared" ca="1" si="31"/>
        <v>ไม่ผ่าน</v>
      </c>
      <c r="S242" s="3" t="s">
        <v>28</v>
      </c>
    </row>
    <row r="243" spans="1:19" ht="24">
      <c r="A243" s="3">
        <v>242</v>
      </c>
      <c r="B243" s="105">
        <v>6410079210</v>
      </c>
      <c r="C243" s="4" t="s">
        <v>22</v>
      </c>
      <c r="D243" s="4" t="s">
        <v>699</v>
      </c>
      <c r="E243" s="4" t="s">
        <v>700</v>
      </c>
      <c r="F243" s="4" t="s">
        <v>701</v>
      </c>
      <c r="G243" s="4" t="s">
        <v>287</v>
      </c>
      <c r="H243" s="4" t="s">
        <v>681</v>
      </c>
      <c r="I243" s="3">
        <v>3</v>
      </c>
      <c r="J243" s="29" t="str">
        <f t="shared" si="27"/>
        <v>0</v>
      </c>
      <c r="K243" s="54" t="str">
        <f t="shared" si="32"/>
        <v>0</v>
      </c>
      <c r="L243" s="69" t="str">
        <f t="shared" si="28"/>
        <v>0</v>
      </c>
      <c r="M243" s="74" t="str">
        <f t="shared" si="29"/>
        <v>0</v>
      </c>
      <c r="N243" s="29" t="str">
        <f t="shared" si="30"/>
        <v>0</v>
      </c>
      <c r="O243" s="61" t="str">
        <f t="shared" ca="1" si="34"/>
        <v>0</v>
      </c>
      <c r="P243" s="65" t="str">
        <f t="shared" si="35"/>
        <v>0</v>
      </c>
      <c r="Q243" s="46">
        <f t="shared" ca="1" si="33"/>
        <v>0</v>
      </c>
      <c r="R243" s="3" t="str">
        <f t="shared" ca="1" si="31"/>
        <v>ไม่ผ่าน</v>
      </c>
      <c r="S243" s="3" t="s">
        <v>28</v>
      </c>
    </row>
    <row r="244" spans="1:19" ht="24">
      <c r="A244" s="3">
        <v>243</v>
      </c>
      <c r="B244" s="105">
        <v>6610068102</v>
      </c>
      <c r="C244" s="4" t="s">
        <v>22</v>
      </c>
      <c r="D244" s="4" t="s">
        <v>702</v>
      </c>
      <c r="E244" s="4" t="s">
        <v>703</v>
      </c>
      <c r="F244" s="4" t="s">
        <v>704</v>
      </c>
      <c r="G244" s="4" t="s">
        <v>287</v>
      </c>
      <c r="H244" s="4" t="s">
        <v>705</v>
      </c>
      <c r="I244" s="3">
        <v>1</v>
      </c>
      <c r="J244" s="29" t="str">
        <f t="shared" si="27"/>
        <v>1</v>
      </c>
      <c r="K244" s="54" t="str">
        <f t="shared" si="32"/>
        <v>0</v>
      </c>
      <c r="L244" s="69" t="str">
        <f t="shared" si="28"/>
        <v>1</v>
      </c>
      <c r="M244" s="74" t="str">
        <f t="shared" si="29"/>
        <v>0</v>
      </c>
      <c r="N244" s="29" t="str">
        <f t="shared" si="30"/>
        <v>1</v>
      </c>
      <c r="O244" s="61" t="str">
        <f t="shared" ca="1" si="34"/>
        <v>1</v>
      </c>
      <c r="P244" s="65" t="str">
        <f t="shared" si="35"/>
        <v>1</v>
      </c>
      <c r="Q244" s="46">
        <f t="shared" ca="1" si="33"/>
        <v>5</v>
      </c>
      <c r="R244" s="83" t="str">
        <f t="shared" ca="1" si="31"/>
        <v>ผ่าน</v>
      </c>
      <c r="S244" s="3" t="s">
        <v>28</v>
      </c>
    </row>
    <row r="245" spans="1:19" ht="24">
      <c r="A245" s="3">
        <v>244</v>
      </c>
      <c r="B245" s="105">
        <v>6610068106</v>
      </c>
      <c r="C245" s="4" t="s">
        <v>22</v>
      </c>
      <c r="D245" s="4" t="s">
        <v>706</v>
      </c>
      <c r="E245" s="4" t="s">
        <v>175</v>
      </c>
      <c r="F245" s="4" t="s">
        <v>707</v>
      </c>
      <c r="G245" s="4" t="s">
        <v>287</v>
      </c>
      <c r="H245" s="4" t="s">
        <v>705</v>
      </c>
      <c r="I245" s="3">
        <v>1</v>
      </c>
      <c r="J245" s="29" t="str">
        <f t="shared" si="27"/>
        <v>0</v>
      </c>
      <c r="K245" s="54" t="str">
        <f t="shared" si="32"/>
        <v>1</v>
      </c>
      <c r="L245" s="69" t="str">
        <f t="shared" si="28"/>
        <v>0</v>
      </c>
      <c r="M245" s="74" t="str">
        <f t="shared" si="29"/>
        <v>0</v>
      </c>
      <c r="N245" s="29" t="str">
        <f t="shared" si="30"/>
        <v>0</v>
      </c>
      <c r="O245" s="61" t="str">
        <f t="shared" ca="1" si="34"/>
        <v>1</v>
      </c>
      <c r="P245" s="65" t="str">
        <f t="shared" si="35"/>
        <v>0</v>
      </c>
      <c r="Q245" s="46">
        <f t="shared" ca="1" si="33"/>
        <v>2</v>
      </c>
      <c r="R245" s="3" t="str">
        <f t="shared" ca="1" si="31"/>
        <v>ไม่ผ่าน</v>
      </c>
      <c r="S245" s="3" t="s">
        <v>28</v>
      </c>
    </row>
    <row r="246" spans="1:19" ht="24">
      <c r="A246" s="3">
        <v>245</v>
      </c>
      <c r="B246" s="105">
        <v>6610068107</v>
      </c>
      <c r="C246" s="4" t="s">
        <v>22</v>
      </c>
      <c r="D246" s="4" t="s">
        <v>708</v>
      </c>
      <c r="E246" s="4" t="s">
        <v>709</v>
      </c>
      <c r="F246" s="4" t="s">
        <v>710</v>
      </c>
      <c r="G246" s="4" t="s">
        <v>287</v>
      </c>
      <c r="H246" s="4" t="s">
        <v>705</v>
      </c>
      <c r="I246" s="3">
        <v>1</v>
      </c>
      <c r="J246" s="29" t="str">
        <f t="shared" si="27"/>
        <v>0</v>
      </c>
      <c r="K246" s="54" t="str">
        <f t="shared" si="32"/>
        <v>0</v>
      </c>
      <c r="L246" s="69" t="str">
        <f t="shared" si="28"/>
        <v>0</v>
      </c>
      <c r="M246" s="74" t="str">
        <f t="shared" si="29"/>
        <v>1</v>
      </c>
      <c r="N246" s="29" t="str">
        <f t="shared" si="30"/>
        <v>0</v>
      </c>
      <c r="O246" s="61" t="str">
        <f t="shared" ca="1" si="34"/>
        <v>1</v>
      </c>
      <c r="P246" s="65" t="str">
        <f t="shared" si="35"/>
        <v>0</v>
      </c>
      <c r="Q246" s="46">
        <f t="shared" ca="1" si="33"/>
        <v>2</v>
      </c>
      <c r="R246" s="3" t="str">
        <f t="shared" ca="1" si="31"/>
        <v>ไม่ผ่าน</v>
      </c>
      <c r="S246" s="3" t="s">
        <v>28</v>
      </c>
    </row>
    <row r="247" spans="1:19" ht="24">
      <c r="A247" s="3">
        <v>246</v>
      </c>
      <c r="B247" s="105">
        <v>6610068113</v>
      </c>
      <c r="C247" s="4" t="s">
        <v>22</v>
      </c>
      <c r="D247" s="4" t="s">
        <v>711</v>
      </c>
      <c r="E247" s="4" t="s">
        <v>712</v>
      </c>
      <c r="F247" s="4" t="s">
        <v>270</v>
      </c>
      <c r="G247" s="4" t="s">
        <v>287</v>
      </c>
      <c r="H247" s="4" t="s">
        <v>705</v>
      </c>
      <c r="I247" s="3">
        <v>1</v>
      </c>
      <c r="J247" s="29" t="str">
        <f t="shared" si="27"/>
        <v>0</v>
      </c>
      <c r="K247" s="54" t="str">
        <f t="shared" si="32"/>
        <v>0</v>
      </c>
      <c r="L247" s="69" t="str">
        <f t="shared" si="28"/>
        <v>1</v>
      </c>
      <c r="M247" s="74" t="str">
        <f t="shared" si="29"/>
        <v>0</v>
      </c>
      <c r="N247" s="29" t="str">
        <f t="shared" si="30"/>
        <v>1</v>
      </c>
      <c r="O247" s="61" t="str">
        <f t="shared" ca="1" si="34"/>
        <v>1</v>
      </c>
      <c r="P247" s="65" t="str">
        <f t="shared" si="35"/>
        <v>1</v>
      </c>
      <c r="Q247" s="46">
        <f t="shared" ca="1" si="33"/>
        <v>4</v>
      </c>
      <c r="R247" s="83" t="str">
        <f t="shared" ca="1" si="31"/>
        <v>ผ่าน</v>
      </c>
      <c r="S247" s="3" t="s">
        <v>28</v>
      </c>
    </row>
    <row r="248" spans="1:19" ht="24">
      <c r="A248" s="3">
        <v>247</v>
      </c>
      <c r="B248" s="105">
        <v>6610068114</v>
      </c>
      <c r="C248" s="4" t="s">
        <v>22</v>
      </c>
      <c r="D248" s="4" t="s">
        <v>713</v>
      </c>
      <c r="E248" s="4" t="s">
        <v>714</v>
      </c>
      <c r="F248" s="4" t="s">
        <v>715</v>
      </c>
      <c r="G248" s="4" t="s">
        <v>287</v>
      </c>
      <c r="H248" s="4" t="s">
        <v>705</v>
      </c>
      <c r="I248" s="3">
        <v>1</v>
      </c>
      <c r="J248" s="29" t="str">
        <f t="shared" si="27"/>
        <v>0</v>
      </c>
      <c r="K248" s="54" t="str">
        <f t="shared" si="32"/>
        <v>1</v>
      </c>
      <c r="L248" s="69" t="str">
        <f t="shared" si="28"/>
        <v>0</v>
      </c>
      <c r="M248" s="74" t="str">
        <f t="shared" si="29"/>
        <v>0</v>
      </c>
      <c r="N248" s="29" t="str">
        <f t="shared" si="30"/>
        <v>0</v>
      </c>
      <c r="O248" s="61" t="str">
        <f t="shared" ca="1" si="34"/>
        <v>1</v>
      </c>
      <c r="P248" s="65" t="str">
        <f t="shared" si="35"/>
        <v>1</v>
      </c>
      <c r="Q248" s="46">
        <f t="shared" ca="1" si="33"/>
        <v>3</v>
      </c>
      <c r="R248" s="83" t="str">
        <f t="shared" ca="1" si="31"/>
        <v>ผ่าน</v>
      </c>
      <c r="S248" s="3" t="s">
        <v>28</v>
      </c>
    </row>
    <row r="249" spans="1:19" ht="24">
      <c r="A249" s="3">
        <v>248</v>
      </c>
      <c r="B249" s="105">
        <v>6610068127</v>
      </c>
      <c r="C249" s="4" t="s">
        <v>22</v>
      </c>
      <c r="D249" s="4" t="s">
        <v>716</v>
      </c>
      <c r="E249" s="4" t="s">
        <v>717</v>
      </c>
      <c r="F249" s="4" t="s">
        <v>718</v>
      </c>
      <c r="G249" s="4" t="s">
        <v>287</v>
      </c>
      <c r="H249" s="4" t="s">
        <v>705</v>
      </c>
      <c r="I249" s="3">
        <v>1</v>
      </c>
      <c r="J249" s="29" t="str">
        <f t="shared" si="27"/>
        <v>0</v>
      </c>
      <c r="K249" s="54" t="str">
        <f t="shared" si="32"/>
        <v>1</v>
      </c>
      <c r="L249" s="69" t="str">
        <f t="shared" si="28"/>
        <v>0</v>
      </c>
      <c r="M249" s="74" t="str">
        <f t="shared" si="29"/>
        <v>0</v>
      </c>
      <c r="N249" s="29" t="str">
        <f t="shared" si="30"/>
        <v>1</v>
      </c>
      <c r="O249" s="61" t="str">
        <f t="shared" ca="1" si="34"/>
        <v>0</v>
      </c>
      <c r="P249" s="65" t="str">
        <f t="shared" si="35"/>
        <v>1</v>
      </c>
      <c r="Q249" s="46">
        <f t="shared" ca="1" si="33"/>
        <v>3</v>
      </c>
      <c r="R249" s="83" t="str">
        <f t="shared" ca="1" si="31"/>
        <v>ผ่าน</v>
      </c>
      <c r="S249" s="3" t="s">
        <v>28</v>
      </c>
    </row>
    <row r="250" spans="1:19" ht="24">
      <c r="A250" s="3">
        <v>249</v>
      </c>
      <c r="B250" s="105">
        <v>6610068209</v>
      </c>
      <c r="C250" s="4" t="s">
        <v>22</v>
      </c>
      <c r="D250" s="4" t="s">
        <v>719</v>
      </c>
      <c r="E250" s="4" t="s">
        <v>720</v>
      </c>
      <c r="F250" s="4" t="s">
        <v>721</v>
      </c>
      <c r="G250" s="4" t="s">
        <v>287</v>
      </c>
      <c r="H250" s="4" t="s">
        <v>705</v>
      </c>
      <c r="I250" s="3">
        <v>1</v>
      </c>
      <c r="J250" s="29" t="str">
        <f t="shared" si="27"/>
        <v>0</v>
      </c>
      <c r="K250" s="54" t="str">
        <f t="shared" si="32"/>
        <v>0</v>
      </c>
      <c r="L250" s="69" t="str">
        <f t="shared" si="28"/>
        <v>0</v>
      </c>
      <c r="M250" s="74" t="str">
        <f t="shared" si="29"/>
        <v>0</v>
      </c>
      <c r="N250" s="29" t="str">
        <f t="shared" si="30"/>
        <v>0</v>
      </c>
      <c r="O250" s="61" t="str">
        <f t="shared" ca="1" si="34"/>
        <v>0</v>
      </c>
      <c r="P250" s="65" t="str">
        <f t="shared" si="35"/>
        <v>0</v>
      </c>
      <c r="Q250" s="46">
        <f t="shared" ca="1" si="33"/>
        <v>0</v>
      </c>
      <c r="R250" s="3" t="str">
        <f t="shared" ca="1" si="31"/>
        <v>ไม่ผ่าน</v>
      </c>
      <c r="S250" s="3" t="s">
        <v>28</v>
      </c>
    </row>
    <row r="251" spans="1:19" ht="24">
      <c r="A251" s="3">
        <v>250</v>
      </c>
      <c r="B251" s="105">
        <v>6610068224</v>
      </c>
      <c r="C251" s="4" t="s">
        <v>22</v>
      </c>
      <c r="D251" s="4" t="s">
        <v>385</v>
      </c>
      <c r="E251" s="4" t="s">
        <v>722</v>
      </c>
      <c r="F251" s="4" t="s">
        <v>383</v>
      </c>
      <c r="G251" s="4" t="s">
        <v>287</v>
      </c>
      <c r="H251" s="4" t="s">
        <v>705</v>
      </c>
      <c r="I251" s="3">
        <v>1</v>
      </c>
      <c r="J251" s="29" t="str">
        <f t="shared" si="27"/>
        <v>0</v>
      </c>
      <c r="K251" s="54" t="str">
        <f t="shared" si="32"/>
        <v>1</v>
      </c>
      <c r="L251" s="69" t="str">
        <f t="shared" si="28"/>
        <v>0</v>
      </c>
      <c r="M251" s="74" t="str">
        <f t="shared" si="29"/>
        <v>0</v>
      </c>
      <c r="N251" s="29" t="str">
        <f t="shared" si="30"/>
        <v>1</v>
      </c>
      <c r="O251" s="61" t="str">
        <f t="shared" ca="1" si="34"/>
        <v>1</v>
      </c>
      <c r="P251" s="65" t="str">
        <f t="shared" si="35"/>
        <v>1</v>
      </c>
      <c r="Q251" s="46">
        <f t="shared" ca="1" si="33"/>
        <v>4</v>
      </c>
      <c r="R251" s="83" t="str">
        <f t="shared" ca="1" si="31"/>
        <v>ผ่าน</v>
      </c>
      <c r="S251" s="3" t="s">
        <v>28</v>
      </c>
    </row>
    <row r="252" spans="1:19" ht="24">
      <c r="A252" s="3">
        <v>251</v>
      </c>
      <c r="B252" s="105">
        <v>6610068226</v>
      </c>
      <c r="C252" s="4" t="s">
        <v>22</v>
      </c>
      <c r="D252" s="4" t="s">
        <v>723</v>
      </c>
      <c r="E252" s="4" t="s">
        <v>724</v>
      </c>
      <c r="F252" s="4" t="s">
        <v>725</v>
      </c>
      <c r="G252" s="4" t="s">
        <v>287</v>
      </c>
      <c r="H252" s="4" t="s">
        <v>705</v>
      </c>
      <c r="I252" s="3">
        <v>1</v>
      </c>
      <c r="J252" s="29" t="str">
        <f t="shared" si="27"/>
        <v>0</v>
      </c>
      <c r="K252" s="54" t="str">
        <f t="shared" si="32"/>
        <v>1</v>
      </c>
      <c r="L252" s="69" t="str">
        <f t="shared" si="28"/>
        <v>0</v>
      </c>
      <c r="M252" s="74" t="str">
        <f t="shared" si="29"/>
        <v>1</v>
      </c>
      <c r="N252" s="29" t="str">
        <f t="shared" si="30"/>
        <v>0</v>
      </c>
      <c r="O252" s="61" t="str">
        <f t="shared" ca="1" si="34"/>
        <v>1</v>
      </c>
      <c r="P252" s="65" t="str">
        <f t="shared" si="35"/>
        <v>0</v>
      </c>
      <c r="Q252" s="46">
        <f t="shared" ca="1" si="33"/>
        <v>3</v>
      </c>
      <c r="R252" s="83" t="str">
        <f t="shared" ca="1" si="31"/>
        <v>ผ่าน</v>
      </c>
      <c r="S252" s="3" t="s">
        <v>28</v>
      </c>
    </row>
    <row r="253" spans="1:19" ht="24">
      <c r="A253" s="3">
        <v>252</v>
      </c>
      <c r="B253" s="105">
        <v>6410068203</v>
      </c>
      <c r="C253" s="4" t="s">
        <v>22</v>
      </c>
      <c r="D253" s="4" t="s">
        <v>726</v>
      </c>
      <c r="E253" s="4" t="s">
        <v>727</v>
      </c>
      <c r="F253" s="4" t="s">
        <v>728</v>
      </c>
      <c r="G253" s="4" t="s">
        <v>287</v>
      </c>
      <c r="H253" s="4" t="s">
        <v>705</v>
      </c>
      <c r="I253" s="3">
        <v>3</v>
      </c>
      <c r="J253" s="29" t="str">
        <f t="shared" si="27"/>
        <v>0</v>
      </c>
      <c r="K253" s="54">
        <v>1</v>
      </c>
      <c r="L253" s="69" t="str">
        <f t="shared" si="28"/>
        <v>0</v>
      </c>
      <c r="M253" s="74" t="str">
        <f t="shared" si="29"/>
        <v>0</v>
      </c>
      <c r="N253" s="29" t="str">
        <f t="shared" si="30"/>
        <v>0</v>
      </c>
      <c r="O253" s="61" t="str">
        <f t="shared" ca="1" si="34"/>
        <v>1</v>
      </c>
      <c r="P253" s="65" t="str">
        <f t="shared" si="35"/>
        <v>1</v>
      </c>
      <c r="Q253" s="46">
        <f t="shared" ca="1" si="33"/>
        <v>3</v>
      </c>
      <c r="R253" s="83" t="str">
        <f t="shared" ca="1" si="31"/>
        <v>ผ่าน</v>
      </c>
      <c r="S253" s="3" t="s">
        <v>28</v>
      </c>
    </row>
    <row r="254" spans="1:19" ht="24">
      <c r="A254" s="3">
        <v>253</v>
      </c>
      <c r="B254" s="105">
        <v>6410068205</v>
      </c>
      <c r="C254" s="4" t="s">
        <v>22</v>
      </c>
      <c r="D254" s="4" t="s">
        <v>729</v>
      </c>
      <c r="E254" s="4" t="s">
        <v>730</v>
      </c>
      <c r="F254" s="4" t="s">
        <v>731</v>
      </c>
      <c r="G254" s="4" t="s">
        <v>287</v>
      </c>
      <c r="H254" s="4" t="s">
        <v>705</v>
      </c>
      <c r="I254" s="3">
        <v>3</v>
      </c>
      <c r="J254" s="29" t="str">
        <f t="shared" si="27"/>
        <v>0</v>
      </c>
      <c r="K254" s="54">
        <v>1</v>
      </c>
      <c r="L254" s="69" t="str">
        <f t="shared" si="28"/>
        <v>0</v>
      </c>
      <c r="M254" s="74" t="str">
        <f t="shared" si="29"/>
        <v>0</v>
      </c>
      <c r="N254" s="29" t="str">
        <f t="shared" si="30"/>
        <v>0</v>
      </c>
      <c r="O254" s="61" t="str">
        <f t="shared" ca="1" si="34"/>
        <v>1</v>
      </c>
      <c r="P254" s="65" t="str">
        <f t="shared" si="35"/>
        <v>1</v>
      </c>
      <c r="Q254" s="46">
        <f t="shared" ca="1" si="33"/>
        <v>3</v>
      </c>
      <c r="R254" s="83" t="str">
        <f t="shared" ca="1" si="31"/>
        <v>ผ่าน</v>
      </c>
      <c r="S254" s="3" t="s">
        <v>28</v>
      </c>
    </row>
    <row r="255" spans="1:19" ht="24">
      <c r="A255" s="3">
        <v>254</v>
      </c>
      <c r="B255" s="105">
        <v>6410207103</v>
      </c>
      <c r="C255" s="4" t="s">
        <v>29</v>
      </c>
      <c r="D255" s="4" t="s">
        <v>732</v>
      </c>
      <c r="E255" s="4" t="s">
        <v>733</v>
      </c>
      <c r="F255" s="4" t="s">
        <v>734</v>
      </c>
      <c r="G255" s="4" t="s">
        <v>287</v>
      </c>
      <c r="H255" s="4" t="s">
        <v>735</v>
      </c>
      <c r="I255" s="3">
        <v>3</v>
      </c>
      <c r="J255" s="29" t="str">
        <f t="shared" si="27"/>
        <v>0</v>
      </c>
      <c r="K255" s="54">
        <v>1</v>
      </c>
      <c r="L255" s="69" t="str">
        <f t="shared" si="28"/>
        <v>0</v>
      </c>
      <c r="M255" s="74" t="str">
        <f t="shared" si="29"/>
        <v>0</v>
      </c>
      <c r="N255" s="29" t="str">
        <f t="shared" si="30"/>
        <v>0</v>
      </c>
      <c r="O255" s="61" t="str">
        <f t="shared" ca="1" si="34"/>
        <v>1</v>
      </c>
      <c r="P255" s="65" t="str">
        <f t="shared" si="35"/>
        <v>0</v>
      </c>
      <c r="Q255" s="46">
        <f t="shared" ca="1" si="33"/>
        <v>2</v>
      </c>
      <c r="R255" s="3" t="str">
        <f t="shared" ca="1" si="31"/>
        <v>ไม่ผ่าน</v>
      </c>
      <c r="S255" s="3" t="s">
        <v>28</v>
      </c>
    </row>
    <row r="256" spans="1:19" ht="24">
      <c r="A256" s="3">
        <v>255</v>
      </c>
      <c r="B256" s="105">
        <v>6512247108</v>
      </c>
      <c r="C256" s="4" t="s">
        <v>29</v>
      </c>
      <c r="D256" s="4" t="s">
        <v>736</v>
      </c>
      <c r="E256" s="4" t="s">
        <v>737</v>
      </c>
      <c r="F256" s="4" t="s">
        <v>738</v>
      </c>
      <c r="G256" s="4" t="s">
        <v>287</v>
      </c>
      <c r="H256" s="4" t="s">
        <v>739</v>
      </c>
      <c r="I256" s="3">
        <v>2</v>
      </c>
      <c r="J256" s="29" t="str">
        <f t="shared" si="27"/>
        <v>0</v>
      </c>
      <c r="K256" s="54" t="str">
        <f t="shared" si="32"/>
        <v>1</v>
      </c>
      <c r="L256" s="69" t="str">
        <f t="shared" si="28"/>
        <v>0</v>
      </c>
      <c r="M256" s="74" t="str">
        <f t="shared" si="29"/>
        <v>0</v>
      </c>
      <c r="N256" s="29" t="str">
        <f t="shared" si="30"/>
        <v>1</v>
      </c>
      <c r="O256" s="61" t="str">
        <f t="shared" ca="1" si="34"/>
        <v>1</v>
      </c>
      <c r="P256" s="65" t="str">
        <f t="shared" si="35"/>
        <v>1</v>
      </c>
      <c r="Q256" s="46">
        <f t="shared" ca="1" si="33"/>
        <v>4</v>
      </c>
      <c r="R256" s="83" t="str">
        <f t="shared" ca="1" si="31"/>
        <v>ผ่าน</v>
      </c>
      <c r="S256" s="3" t="s">
        <v>28</v>
      </c>
    </row>
    <row r="257" spans="1:19" ht="24">
      <c r="A257" s="3">
        <v>256</v>
      </c>
      <c r="B257" s="105">
        <v>6512247114</v>
      </c>
      <c r="C257" s="4" t="s">
        <v>29</v>
      </c>
      <c r="D257" s="4" t="s">
        <v>740</v>
      </c>
      <c r="E257" s="4" t="s">
        <v>741</v>
      </c>
      <c r="F257" s="4" t="s">
        <v>742</v>
      </c>
      <c r="G257" s="4" t="s">
        <v>287</v>
      </c>
      <c r="H257" s="4" t="s">
        <v>739</v>
      </c>
      <c r="I257" s="3">
        <v>2</v>
      </c>
      <c r="J257" s="29" t="str">
        <f t="shared" si="27"/>
        <v>1</v>
      </c>
      <c r="K257" s="54">
        <v>1</v>
      </c>
      <c r="L257" s="69" t="str">
        <f t="shared" si="28"/>
        <v>0</v>
      </c>
      <c r="M257" s="74" t="str">
        <f t="shared" si="29"/>
        <v>0</v>
      </c>
      <c r="N257" s="29" t="str">
        <f t="shared" si="30"/>
        <v>1</v>
      </c>
      <c r="O257" s="61" t="str">
        <f t="shared" ca="1" si="34"/>
        <v>1</v>
      </c>
      <c r="P257" s="65" t="str">
        <f t="shared" si="35"/>
        <v>1</v>
      </c>
      <c r="Q257" s="46">
        <f t="shared" ca="1" si="33"/>
        <v>5</v>
      </c>
      <c r="R257" s="83" t="str">
        <f t="shared" ca="1" si="31"/>
        <v>ผ่าน</v>
      </c>
      <c r="S257" s="3" t="s">
        <v>28</v>
      </c>
    </row>
    <row r="258" spans="1:19" ht="24">
      <c r="A258" s="3">
        <v>257</v>
      </c>
      <c r="B258" s="105">
        <v>6512247122</v>
      </c>
      <c r="C258" s="4" t="s">
        <v>29</v>
      </c>
      <c r="D258" s="4" t="s">
        <v>743</v>
      </c>
      <c r="E258" s="4" t="s">
        <v>744</v>
      </c>
      <c r="F258" s="4" t="s">
        <v>745</v>
      </c>
      <c r="G258" s="4" t="s">
        <v>287</v>
      </c>
      <c r="H258" s="4" t="s">
        <v>739</v>
      </c>
      <c r="I258" s="3">
        <v>2</v>
      </c>
      <c r="J258" s="29" t="str">
        <f t="shared" ref="J258:J321" si="36">IF(IFERROR(VLOOKUP(B258,DATA,1,FALSE),),"1","0")</f>
        <v>0</v>
      </c>
      <c r="K258" s="54" t="str">
        <f t="shared" ref="K258:K321" si="37">IF(IFERROR(VLOOKUP(B258,DATA8,1,FALSE),),"1","0")</f>
        <v>0</v>
      </c>
      <c r="L258" s="69" t="str">
        <f t="shared" ref="L258:L321" si="38">IF(IFERROR(VLOOKUP(B258,DATA7,1,FALSE),),"1","0")</f>
        <v>0</v>
      </c>
      <c r="M258" s="74" t="str">
        <f t="shared" ref="M258:M321" si="39">IF(IFERROR(VLOOKUP(B258,DATA9,1,FALSE),),"1","0")</f>
        <v>0</v>
      </c>
      <c r="N258" s="29" t="str">
        <f t="shared" ref="N258:N321" si="40">IF(IFERROR(VLOOKUP(B258,DATA10,1,FALSE),),"1","0")</f>
        <v>1</v>
      </c>
      <c r="O258" s="61" t="str">
        <f t="shared" ca="1" si="34"/>
        <v>0</v>
      </c>
      <c r="P258" s="65" t="str">
        <f t="shared" si="35"/>
        <v>1</v>
      </c>
      <c r="Q258" s="46">
        <f t="shared" ca="1" si="33"/>
        <v>2</v>
      </c>
      <c r="R258" s="84" t="s">
        <v>395</v>
      </c>
      <c r="S258" s="3" t="s">
        <v>28</v>
      </c>
    </row>
    <row r="259" spans="1:19" ht="24">
      <c r="A259" s="3">
        <v>258</v>
      </c>
      <c r="B259" s="105">
        <v>6512247127</v>
      </c>
      <c r="C259" s="4" t="s">
        <v>29</v>
      </c>
      <c r="D259" s="4" t="s">
        <v>746</v>
      </c>
      <c r="E259" s="4" t="s">
        <v>747</v>
      </c>
      <c r="F259" s="4" t="s">
        <v>242</v>
      </c>
      <c r="G259" s="4" t="s">
        <v>287</v>
      </c>
      <c r="H259" s="4" t="s">
        <v>739</v>
      </c>
      <c r="I259" s="3">
        <v>2</v>
      </c>
      <c r="J259" s="29" t="str">
        <f t="shared" si="36"/>
        <v>1</v>
      </c>
      <c r="K259" s="54">
        <v>1</v>
      </c>
      <c r="L259" s="69" t="str">
        <f t="shared" si="38"/>
        <v>0</v>
      </c>
      <c r="M259" s="74" t="str">
        <f t="shared" si="39"/>
        <v>0</v>
      </c>
      <c r="N259" s="29" t="str">
        <f t="shared" si="40"/>
        <v>1</v>
      </c>
      <c r="O259" s="61" t="str">
        <f t="shared" ca="1" si="34"/>
        <v>1</v>
      </c>
      <c r="P259" s="65" t="str">
        <f t="shared" si="35"/>
        <v>1</v>
      </c>
      <c r="Q259" s="46">
        <f t="shared" ref="Q259:Q322" ca="1" si="41">J259+K259+L259+M259+N259+O259+P259</f>
        <v>5</v>
      </c>
      <c r="R259" s="83" t="str">
        <f t="shared" ref="R259:R322" ca="1" si="42">IF(Q259&gt;=3,"ผ่าน",IF(Q259&lt;3,"ไม่ผ่าน"))</f>
        <v>ผ่าน</v>
      </c>
      <c r="S259" s="3" t="s">
        <v>28</v>
      </c>
    </row>
    <row r="260" spans="1:19" ht="24">
      <c r="A260" s="3">
        <v>259</v>
      </c>
      <c r="B260" s="105">
        <v>6512247130</v>
      </c>
      <c r="C260" s="4" t="s">
        <v>29</v>
      </c>
      <c r="D260" s="4" t="s">
        <v>748</v>
      </c>
      <c r="E260" s="4" t="s">
        <v>749</v>
      </c>
      <c r="F260" s="4" t="s">
        <v>750</v>
      </c>
      <c r="G260" s="4" t="s">
        <v>287</v>
      </c>
      <c r="H260" s="4" t="s">
        <v>739</v>
      </c>
      <c r="I260" s="3">
        <v>2</v>
      </c>
      <c r="J260" s="29" t="str">
        <f t="shared" si="36"/>
        <v>1</v>
      </c>
      <c r="K260" s="54">
        <v>1</v>
      </c>
      <c r="L260" s="69" t="str">
        <f t="shared" si="38"/>
        <v>0</v>
      </c>
      <c r="M260" s="74" t="str">
        <f t="shared" si="39"/>
        <v>0</v>
      </c>
      <c r="N260" s="29" t="str">
        <f t="shared" si="40"/>
        <v>1</v>
      </c>
      <c r="O260" s="61" t="str">
        <f t="shared" ca="1" si="34"/>
        <v>1</v>
      </c>
      <c r="P260" s="65" t="str">
        <f t="shared" si="35"/>
        <v>1</v>
      </c>
      <c r="Q260" s="46">
        <f t="shared" ca="1" si="41"/>
        <v>5</v>
      </c>
      <c r="R260" s="83" t="str">
        <f t="shared" ca="1" si="42"/>
        <v>ผ่าน</v>
      </c>
      <c r="S260" s="3" t="s">
        <v>28</v>
      </c>
    </row>
    <row r="261" spans="1:19" ht="24">
      <c r="A261" s="3">
        <v>260</v>
      </c>
      <c r="B261" s="105">
        <v>6512247211</v>
      </c>
      <c r="C261" s="4" t="s">
        <v>29</v>
      </c>
      <c r="D261" s="4" t="s">
        <v>751</v>
      </c>
      <c r="E261" s="4" t="s">
        <v>654</v>
      </c>
      <c r="F261" s="4" t="s">
        <v>752</v>
      </c>
      <c r="G261" s="4" t="s">
        <v>287</v>
      </c>
      <c r="H261" s="4" t="s">
        <v>739</v>
      </c>
      <c r="I261" s="3">
        <v>2</v>
      </c>
      <c r="J261" s="29" t="str">
        <f t="shared" si="36"/>
        <v>1</v>
      </c>
      <c r="K261" s="54" t="str">
        <f t="shared" si="37"/>
        <v>1</v>
      </c>
      <c r="L261" s="69" t="str">
        <f t="shared" si="38"/>
        <v>0</v>
      </c>
      <c r="M261" s="74" t="str">
        <f t="shared" si="39"/>
        <v>0</v>
      </c>
      <c r="N261" s="29" t="str">
        <f t="shared" si="40"/>
        <v>1</v>
      </c>
      <c r="O261" s="61" t="str">
        <f t="shared" ca="1" si="34"/>
        <v>0</v>
      </c>
      <c r="P261" s="65" t="str">
        <f t="shared" si="35"/>
        <v>1</v>
      </c>
      <c r="Q261" s="46">
        <f t="shared" ca="1" si="41"/>
        <v>4</v>
      </c>
      <c r="R261" s="83" t="str">
        <f t="shared" ca="1" si="42"/>
        <v>ผ่าน</v>
      </c>
      <c r="S261" s="3" t="s">
        <v>28</v>
      </c>
    </row>
    <row r="262" spans="1:19" ht="24">
      <c r="A262" s="3">
        <v>261</v>
      </c>
      <c r="B262" s="105">
        <v>6512247224</v>
      </c>
      <c r="C262" s="4" t="s">
        <v>29</v>
      </c>
      <c r="D262" s="4" t="s">
        <v>753</v>
      </c>
      <c r="E262" s="4" t="s">
        <v>754</v>
      </c>
      <c r="F262" s="4" t="s">
        <v>755</v>
      </c>
      <c r="G262" s="4" t="s">
        <v>287</v>
      </c>
      <c r="H262" s="4" t="s">
        <v>739</v>
      </c>
      <c r="I262" s="3">
        <v>2</v>
      </c>
      <c r="J262" s="29" t="str">
        <f t="shared" si="36"/>
        <v>1</v>
      </c>
      <c r="K262" s="54">
        <v>1</v>
      </c>
      <c r="L262" s="69" t="str">
        <f t="shared" si="38"/>
        <v>0</v>
      </c>
      <c r="M262" s="74" t="str">
        <f t="shared" si="39"/>
        <v>0</v>
      </c>
      <c r="N262" s="29" t="str">
        <f t="shared" si="40"/>
        <v>1</v>
      </c>
      <c r="O262" s="61" t="str">
        <f t="shared" ca="1" si="34"/>
        <v>1</v>
      </c>
      <c r="P262" s="65" t="str">
        <f t="shared" si="35"/>
        <v>1</v>
      </c>
      <c r="Q262" s="46">
        <f t="shared" ca="1" si="41"/>
        <v>5</v>
      </c>
      <c r="R262" s="83" t="str">
        <f t="shared" ca="1" si="42"/>
        <v>ผ่าน</v>
      </c>
      <c r="S262" s="3" t="s">
        <v>28</v>
      </c>
    </row>
    <row r="263" spans="1:19" ht="24">
      <c r="A263" s="3">
        <v>262</v>
      </c>
      <c r="B263" s="105">
        <v>6312247109</v>
      </c>
      <c r="C263" s="4" t="s">
        <v>29</v>
      </c>
      <c r="D263" s="4" t="s">
        <v>469</v>
      </c>
      <c r="E263" s="4" t="s">
        <v>321</v>
      </c>
      <c r="F263" s="4" t="s">
        <v>756</v>
      </c>
      <c r="G263" s="4" t="s">
        <v>287</v>
      </c>
      <c r="H263" s="4" t="s">
        <v>739</v>
      </c>
      <c r="I263" s="3">
        <v>4</v>
      </c>
      <c r="J263" s="29" t="str">
        <f t="shared" si="36"/>
        <v>1</v>
      </c>
      <c r="K263" s="54">
        <v>1</v>
      </c>
      <c r="L263" s="69" t="str">
        <f t="shared" si="38"/>
        <v>0</v>
      </c>
      <c r="M263" s="74" t="str">
        <f t="shared" si="39"/>
        <v>0</v>
      </c>
      <c r="N263" s="29" t="str">
        <f t="shared" si="40"/>
        <v>1</v>
      </c>
      <c r="O263" s="61">
        <v>1</v>
      </c>
      <c r="P263" s="65">
        <v>1</v>
      </c>
      <c r="Q263" s="46">
        <f t="shared" si="41"/>
        <v>5</v>
      </c>
      <c r="R263" s="83" t="str">
        <f t="shared" si="42"/>
        <v>ผ่าน</v>
      </c>
      <c r="S263" s="3" t="s">
        <v>28</v>
      </c>
    </row>
    <row r="264" spans="1:19" ht="24">
      <c r="A264" s="3">
        <v>263</v>
      </c>
      <c r="B264" s="105">
        <v>6312247122</v>
      </c>
      <c r="C264" s="4" t="s">
        <v>29</v>
      </c>
      <c r="D264" s="4" t="s">
        <v>246</v>
      </c>
      <c r="E264" s="4" t="s">
        <v>757</v>
      </c>
      <c r="F264" s="4" t="s">
        <v>104</v>
      </c>
      <c r="G264" s="4" t="s">
        <v>287</v>
      </c>
      <c r="H264" s="4" t="s">
        <v>739</v>
      </c>
      <c r="I264" s="3">
        <v>4</v>
      </c>
      <c r="J264" s="29" t="str">
        <f t="shared" si="36"/>
        <v>1</v>
      </c>
      <c r="K264" s="54">
        <v>1</v>
      </c>
      <c r="L264" s="69" t="str">
        <f t="shared" si="38"/>
        <v>0</v>
      </c>
      <c r="M264" s="74" t="str">
        <f t="shared" si="39"/>
        <v>0</v>
      </c>
      <c r="N264" s="29" t="str">
        <f t="shared" si="40"/>
        <v>1</v>
      </c>
      <c r="O264" s="61">
        <v>1</v>
      </c>
      <c r="P264" s="65">
        <v>1</v>
      </c>
      <c r="Q264" s="46">
        <f t="shared" si="41"/>
        <v>5</v>
      </c>
      <c r="R264" s="83" t="str">
        <f t="shared" si="42"/>
        <v>ผ่าน</v>
      </c>
      <c r="S264" s="3" t="s">
        <v>28</v>
      </c>
    </row>
    <row r="265" spans="1:19" ht="24">
      <c r="A265" s="3">
        <v>264</v>
      </c>
      <c r="B265" s="105">
        <v>6610488101</v>
      </c>
      <c r="C265" s="4" t="s">
        <v>22</v>
      </c>
      <c r="D265" s="4" t="s">
        <v>758</v>
      </c>
      <c r="E265" s="4" t="s">
        <v>759</v>
      </c>
      <c r="F265" s="4" t="s">
        <v>760</v>
      </c>
      <c r="G265" s="4" t="s">
        <v>287</v>
      </c>
      <c r="H265" s="4" t="s">
        <v>761</v>
      </c>
      <c r="I265" s="3">
        <v>1</v>
      </c>
      <c r="J265" s="29" t="str">
        <f t="shared" si="36"/>
        <v>1</v>
      </c>
      <c r="K265" s="54" t="str">
        <f t="shared" si="37"/>
        <v>0</v>
      </c>
      <c r="L265" s="69" t="str">
        <f t="shared" si="38"/>
        <v>0</v>
      </c>
      <c r="M265" s="74" t="str">
        <f t="shared" si="39"/>
        <v>0</v>
      </c>
      <c r="N265" s="29" t="str">
        <f t="shared" si="40"/>
        <v>0</v>
      </c>
      <c r="O265" s="61" t="str">
        <f t="shared" ca="1" si="34"/>
        <v>0</v>
      </c>
      <c r="P265" s="65" t="str">
        <f t="shared" si="35"/>
        <v>0</v>
      </c>
      <c r="Q265" s="46">
        <f t="shared" ca="1" si="41"/>
        <v>1</v>
      </c>
      <c r="R265" s="3" t="str">
        <f t="shared" ca="1" si="42"/>
        <v>ไม่ผ่าน</v>
      </c>
      <c r="S265" s="3" t="s">
        <v>28</v>
      </c>
    </row>
    <row r="266" spans="1:19" ht="24">
      <c r="A266" s="3">
        <v>265</v>
      </c>
      <c r="B266" s="105">
        <v>6610488109</v>
      </c>
      <c r="C266" s="4" t="s">
        <v>22</v>
      </c>
      <c r="D266" s="4" t="s">
        <v>762</v>
      </c>
      <c r="E266" s="4" t="s">
        <v>763</v>
      </c>
      <c r="F266" s="4" t="s">
        <v>764</v>
      </c>
      <c r="G266" s="4" t="s">
        <v>287</v>
      </c>
      <c r="H266" s="4" t="s">
        <v>761</v>
      </c>
      <c r="I266" s="3">
        <v>1</v>
      </c>
      <c r="J266" s="29" t="str">
        <f t="shared" si="36"/>
        <v>1</v>
      </c>
      <c r="K266" s="54" t="str">
        <f t="shared" si="37"/>
        <v>1</v>
      </c>
      <c r="L266" s="69" t="str">
        <f t="shared" si="38"/>
        <v>0</v>
      </c>
      <c r="M266" s="74" t="str">
        <f t="shared" si="39"/>
        <v>1</v>
      </c>
      <c r="N266" s="29" t="str">
        <f t="shared" si="40"/>
        <v>0</v>
      </c>
      <c r="O266" s="61" t="str">
        <f t="shared" ca="1" si="34"/>
        <v>0</v>
      </c>
      <c r="P266" s="65" t="str">
        <f t="shared" si="35"/>
        <v>1</v>
      </c>
      <c r="Q266" s="46">
        <f t="shared" ca="1" si="41"/>
        <v>4</v>
      </c>
      <c r="R266" s="83" t="str">
        <f t="shared" ca="1" si="42"/>
        <v>ผ่าน</v>
      </c>
      <c r="S266" s="3" t="s">
        <v>28</v>
      </c>
    </row>
    <row r="267" spans="1:19" ht="24">
      <c r="A267" s="3">
        <v>266</v>
      </c>
      <c r="B267" s="105">
        <v>6610488111</v>
      </c>
      <c r="C267" s="4" t="s">
        <v>22</v>
      </c>
      <c r="D267" s="4" t="s">
        <v>765</v>
      </c>
      <c r="E267" s="4" t="s">
        <v>766</v>
      </c>
      <c r="F267" s="4" t="s">
        <v>767</v>
      </c>
      <c r="G267" s="4" t="s">
        <v>287</v>
      </c>
      <c r="H267" s="4" t="s">
        <v>761</v>
      </c>
      <c r="I267" s="3">
        <v>1</v>
      </c>
      <c r="J267" s="29" t="str">
        <f t="shared" si="36"/>
        <v>0</v>
      </c>
      <c r="K267" s="54" t="str">
        <f t="shared" si="37"/>
        <v>0</v>
      </c>
      <c r="L267" s="69" t="str">
        <f t="shared" si="38"/>
        <v>0</v>
      </c>
      <c r="M267" s="74" t="str">
        <f t="shared" si="39"/>
        <v>1</v>
      </c>
      <c r="N267" s="29" t="str">
        <f t="shared" si="40"/>
        <v>0</v>
      </c>
      <c r="O267" s="61" t="str">
        <f t="shared" ca="1" si="34"/>
        <v>1</v>
      </c>
      <c r="P267" s="65" t="str">
        <f t="shared" si="35"/>
        <v>1</v>
      </c>
      <c r="Q267" s="46">
        <f t="shared" ca="1" si="41"/>
        <v>3</v>
      </c>
      <c r="R267" s="83" t="str">
        <f t="shared" ca="1" si="42"/>
        <v>ผ่าน</v>
      </c>
      <c r="S267" s="3" t="s">
        <v>28</v>
      </c>
    </row>
    <row r="268" spans="1:19" ht="24">
      <c r="A268" s="3">
        <v>267</v>
      </c>
      <c r="B268" s="105">
        <v>6610488114</v>
      </c>
      <c r="C268" s="4" t="s">
        <v>29</v>
      </c>
      <c r="D268" s="4" t="s">
        <v>768</v>
      </c>
      <c r="E268" s="4" t="s">
        <v>769</v>
      </c>
      <c r="F268" s="4" t="s">
        <v>770</v>
      </c>
      <c r="G268" s="4" t="s">
        <v>287</v>
      </c>
      <c r="H268" s="4" t="s">
        <v>761</v>
      </c>
      <c r="I268" s="3">
        <v>1</v>
      </c>
      <c r="J268" s="29" t="str">
        <f t="shared" si="36"/>
        <v>1</v>
      </c>
      <c r="K268" s="54" t="str">
        <f t="shared" si="37"/>
        <v>0</v>
      </c>
      <c r="L268" s="69" t="str">
        <f t="shared" si="38"/>
        <v>1</v>
      </c>
      <c r="M268" s="74" t="str">
        <f t="shared" si="39"/>
        <v>0</v>
      </c>
      <c r="N268" s="29" t="str">
        <f t="shared" si="40"/>
        <v>0</v>
      </c>
      <c r="O268" s="61" t="str">
        <f t="shared" ca="1" si="34"/>
        <v>0</v>
      </c>
      <c r="P268" s="65" t="str">
        <f t="shared" si="35"/>
        <v>1</v>
      </c>
      <c r="Q268" s="46">
        <f t="shared" ca="1" si="41"/>
        <v>3</v>
      </c>
      <c r="R268" s="83" t="str">
        <f t="shared" ca="1" si="42"/>
        <v>ผ่าน</v>
      </c>
      <c r="S268" s="3" t="s">
        <v>28</v>
      </c>
    </row>
    <row r="269" spans="1:19" ht="24">
      <c r="A269" s="3">
        <v>268</v>
      </c>
      <c r="B269" s="105">
        <v>6610488116</v>
      </c>
      <c r="C269" s="4" t="s">
        <v>29</v>
      </c>
      <c r="D269" s="4" t="s">
        <v>771</v>
      </c>
      <c r="E269" s="4" t="s">
        <v>772</v>
      </c>
      <c r="F269" s="4" t="s">
        <v>773</v>
      </c>
      <c r="G269" s="4" t="s">
        <v>287</v>
      </c>
      <c r="H269" s="4" t="s">
        <v>761</v>
      </c>
      <c r="I269" s="3">
        <v>1</v>
      </c>
      <c r="J269" s="29" t="str">
        <f t="shared" si="36"/>
        <v>1</v>
      </c>
      <c r="K269" s="54" t="str">
        <f t="shared" si="37"/>
        <v>1</v>
      </c>
      <c r="L269" s="69" t="str">
        <f t="shared" si="38"/>
        <v>0</v>
      </c>
      <c r="M269" s="74" t="str">
        <f t="shared" si="39"/>
        <v>0</v>
      </c>
      <c r="N269" s="29" t="str">
        <f t="shared" si="40"/>
        <v>1</v>
      </c>
      <c r="O269" s="61" t="str">
        <f t="shared" ca="1" si="34"/>
        <v>1</v>
      </c>
      <c r="P269" s="65" t="str">
        <f t="shared" si="35"/>
        <v>1</v>
      </c>
      <c r="Q269" s="46">
        <f t="shared" ca="1" si="41"/>
        <v>5</v>
      </c>
      <c r="R269" s="83" t="str">
        <f t="shared" ca="1" si="42"/>
        <v>ผ่าน</v>
      </c>
      <c r="S269" s="3" t="s">
        <v>28</v>
      </c>
    </row>
    <row r="270" spans="1:19" ht="24">
      <c r="A270" s="3">
        <v>269</v>
      </c>
      <c r="B270" s="105">
        <v>6610488117</v>
      </c>
      <c r="C270" s="4" t="s">
        <v>29</v>
      </c>
      <c r="D270" s="4" t="s">
        <v>774</v>
      </c>
      <c r="E270" s="4" t="s">
        <v>775</v>
      </c>
      <c r="F270" s="4" t="s">
        <v>776</v>
      </c>
      <c r="G270" s="4" t="s">
        <v>287</v>
      </c>
      <c r="H270" s="4" t="s">
        <v>761</v>
      </c>
      <c r="I270" s="3">
        <v>1</v>
      </c>
      <c r="J270" s="29" t="str">
        <f t="shared" si="36"/>
        <v>0</v>
      </c>
      <c r="K270" s="54">
        <v>1</v>
      </c>
      <c r="L270" s="69" t="str">
        <f t="shared" si="38"/>
        <v>1</v>
      </c>
      <c r="M270" s="74" t="str">
        <f t="shared" si="39"/>
        <v>0</v>
      </c>
      <c r="N270" s="29" t="str">
        <f t="shared" si="40"/>
        <v>0</v>
      </c>
      <c r="O270" s="61" t="str">
        <f t="shared" ca="1" si="34"/>
        <v>0</v>
      </c>
      <c r="P270" s="65" t="str">
        <f t="shared" si="35"/>
        <v>0</v>
      </c>
      <c r="Q270" s="46">
        <f t="shared" ca="1" si="41"/>
        <v>2</v>
      </c>
      <c r="R270" s="84" t="s">
        <v>395</v>
      </c>
      <c r="S270" s="3" t="s">
        <v>28</v>
      </c>
    </row>
    <row r="271" spans="1:19" ht="24">
      <c r="A271" s="3">
        <v>270</v>
      </c>
      <c r="B271" s="105">
        <v>6610488118</v>
      </c>
      <c r="C271" s="4" t="s">
        <v>29</v>
      </c>
      <c r="D271" s="4" t="s">
        <v>777</v>
      </c>
      <c r="E271" s="4" t="s">
        <v>778</v>
      </c>
      <c r="F271" s="4" t="s">
        <v>779</v>
      </c>
      <c r="G271" s="4" t="s">
        <v>287</v>
      </c>
      <c r="H271" s="4" t="s">
        <v>761</v>
      </c>
      <c r="I271" s="3">
        <v>1</v>
      </c>
      <c r="J271" s="29" t="str">
        <f t="shared" si="36"/>
        <v>1</v>
      </c>
      <c r="K271" s="54" t="str">
        <f t="shared" si="37"/>
        <v>1</v>
      </c>
      <c r="L271" s="69" t="str">
        <f t="shared" si="38"/>
        <v>0</v>
      </c>
      <c r="M271" s="74" t="str">
        <f t="shared" si="39"/>
        <v>0</v>
      </c>
      <c r="N271" s="29" t="str">
        <f t="shared" si="40"/>
        <v>1</v>
      </c>
      <c r="O271" s="61" t="str">
        <f t="shared" ca="1" si="34"/>
        <v>1</v>
      </c>
      <c r="P271" s="65" t="str">
        <f t="shared" si="35"/>
        <v>1</v>
      </c>
      <c r="Q271" s="46">
        <f t="shared" ca="1" si="41"/>
        <v>5</v>
      </c>
      <c r="R271" s="83" t="str">
        <f t="shared" ca="1" si="42"/>
        <v>ผ่าน</v>
      </c>
      <c r="S271" s="3" t="s">
        <v>28</v>
      </c>
    </row>
    <row r="272" spans="1:19" ht="24">
      <c r="A272" s="3">
        <v>271</v>
      </c>
      <c r="B272" s="105">
        <v>6610488125</v>
      </c>
      <c r="C272" s="4" t="s">
        <v>29</v>
      </c>
      <c r="D272" s="4" t="s">
        <v>780</v>
      </c>
      <c r="E272" s="4" t="s">
        <v>593</v>
      </c>
      <c r="F272" s="4" t="s">
        <v>781</v>
      </c>
      <c r="G272" s="4" t="s">
        <v>287</v>
      </c>
      <c r="H272" s="4" t="s">
        <v>761</v>
      </c>
      <c r="I272" s="3">
        <v>1</v>
      </c>
      <c r="J272" s="29" t="str">
        <f t="shared" si="36"/>
        <v>1</v>
      </c>
      <c r="K272" s="54" t="str">
        <f t="shared" si="37"/>
        <v>0</v>
      </c>
      <c r="L272" s="69" t="str">
        <f t="shared" si="38"/>
        <v>1</v>
      </c>
      <c r="M272" s="74" t="str">
        <f t="shared" si="39"/>
        <v>0</v>
      </c>
      <c r="N272" s="29" t="str">
        <f t="shared" si="40"/>
        <v>0</v>
      </c>
      <c r="O272" s="61" t="str">
        <f t="shared" ca="1" si="34"/>
        <v>1</v>
      </c>
      <c r="P272" s="65" t="str">
        <f t="shared" si="35"/>
        <v>0</v>
      </c>
      <c r="Q272" s="46">
        <f t="shared" ca="1" si="41"/>
        <v>3</v>
      </c>
      <c r="R272" s="83" t="str">
        <f t="shared" ca="1" si="42"/>
        <v>ผ่าน</v>
      </c>
      <c r="S272" s="3" t="s">
        <v>28</v>
      </c>
    </row>
    <row r="273" spans="1:19" ht="24">
      <c r="A273" s="3">
        <v>272</v>
      </c>
      <c r="B273" s="105">
        <v>6610488126</v>
      </c>
      <c r="C273" s="4" t="s">
        <v>29</v>
      </c>
      <c r="D273" s="4" t="s">
        <v>782</v>
      </c>
      <c r="E273" s="4" t="s">
        <v>783</v>
      </c>
      <c r="F273" s="4" t="s">
        <v>784</v>
      </c>
      <c r="G273" s="4" t="s">
        <v>287</v>
      </c>
      <c r="H273" s="4" t="s">
        <v>761</v>
      </c>
      <c r="I273" s="3">
        <v>1</v>
      </c>
      <c r="J273" s="29" t="str">
        <f t="shared" si="36"/>
        <v>1</v>
      </c>
      <c r="K273" s="54">
        <v>1</v>
      </c>
      <c r="L273" s="69" t="str">
        <f t="shared" si="38"/>
        <v>0</v>
      </c>
      <c r="M273" s="74" t="str">
        <f t="shared" si="39"/>
        <v>1</v>
      </c>
      <c r="N273" s="29" t="str">
        <f t="shared" si="40"/>
        <v>0</v>
      </c>
      <c r="O273" s="61" t="str">
        <f t="shared" ca="1" si="34"/>
        <v>1</v>
      </c>
      <c r="P273" s="65" t="str">
        <f t="shared" si="35"/>
        <v>1</v>
      </c>
      <c r="Q273" s="46">
        <f t="shared" ca="1" si="41"/>
        <v>5</v>
      </c>
      <c r="R273" s="83" t="str">
        <f t="shared" ca="1" si="42"/>
        <v>ผ่าน</v>
      </c>
      <c r="S273" s="3" t="s">
        <v>28</v>
      </c>
    </row>
    <row r="274" spans="1:19" ht="24">
      <c r="A274" s="3">
        <v>273</v>
      </c>
      <c r="B274" s="105">
        <v>6610488127</v>
      </c>
      <c r="C274" s="4" t="s">
        <v>29</v>
      </c>
      <c r="D274" s="4" t="s">
        <v>785</v>
      </c>
      <c r="E274" s="4" t="s">
        <v>786</v>
      </c>
      <c r="F274" s="4" t="s">
        <v>787</v>
      </c>
      <c r="G274" s="4" t="s">
        <v>287</v>
      </c>
      <c r="H274" s="4" t="s">
        <v>761</v>
      </c>
      <c r="I274" s="3">
        <v>1</v>
      </c>
      <c r="J274" s="29" t="str">
        <f t="shared" si="36"/>
        <v>1</v>
      </c>
      <c r="K274" s="54">
        <v>1</v>
      </c>
      <c r="L274" s="69" t="str">
        <f t="shared" si="38"/>
        <v>0</v>
      </c>
      <c r="M274" s="74" t="str">
        <f t="shared" si="39"/>
        <v>1</v>
      </c>
      <c r="N274" s="29" t="str">
        <f t="shared" si="40"/>
        <v>0</v>
      </c>
      <c r="O274" s="61" t="str">
        <f t="shared" ref="O274:O335" ca="1" si="43">IF(IFERROR(VLOOKUP(B274,DATA11,1,FALSE),),"1","0")</f>
        <v>1</v>
      </c>
      <c r="P274" s="65" t="str">
        <f t="shared" ref="P274:P335" si="44">IF(IFERROR(VLOOKUP(B274,DATA12,1,FALSE),),"1","0")</f>
        <v>0</v>
      </c>
      <c r="Q274" s="46">
        <f t="shared" ca="1" si="41"/>
        <v>4</v>
      </c>
      <c r="R274" s="83" t="str">
        <f t="shared" ca="1" si="42"/>
        <v>ผ่าน</v>
      </c>
      <c r="S274" s="3" t="s">
        <v>28</v>
      </c>
    </row>
    <row r="275" spans="1:19" ht="24">
      <c r="A275" s="3">
        <v>274</v>
      </c>
      <c r="B275" s="105">
        <v>6610488129</v>
      </c>
      <c r="C275" s="4" t="s">
        <v>29</v>
      </c>
      <c r="D275" s="4" t="s">
        <v>788</v>
      </c>
      <c r="E275" s="4" t="s">
        <v>789</v>
      </c>
      <c r="F275" s="4" t="s">
        <v>216</v>
      </c>
      <c r="G275" s="4" t="s">
        <v>287</v>
      </c>
      <c r="H275" s="4" t="s">
        <v>761</v>
      </c>
      <c r="I275" s="3">
        <v>1</v>
      </c>
      <c r="J275" s="29" t="str">
        <f t="shared" si="36"/>
        <v>1</v>
      </c>
      <c r="K275" s="54" t="str">
        <f t="shared" si="37"/>
        <v>1</v>
      </c>
      <c r="L275" s="69" t="str">
        <f t="shared" si="38"/>
        <v>0</v>
      </c>
      <c r="M275" s="74" t="str">
        <f t="shared" si="39"/>
        <v>1</v>
      </c>
      <c r="N275" s="29" t="str">
        <f t="shared" si="40"/>
        <v>0</v>
      </c>
      <c r="O275" s="61" t="str">
        <f t="shared" ca="1" si="43"/>
        <v>1</v>
      </c>
      <c r="P275" s="65" t="str">
        <f t="shared" si="44"/>
        <v>0</v>
      </c>
      <c r="Q275" s="46">
        <f t="shared" ca="1" si="41"/>
        <v>4</v>
      </c>
      <c r="R275" s="83" t="str">
        <f t="shared" ca="1" si="42"/>
        <v>ผ่าน</v>
      </c>
      <c r="S275" s="3" t="s">
        <v>28</v>
      </c>
    </row>
    <row r="276" spans="1:19" ht="24">
      <c r="A276" s="3">
        <v>275</v>
      </c>
      <c r="B276" s="105">
        <v>6610488202</v>
      </c>
      <c r="C276" s="4" t="s">
        <v>22</v>
      </c>
      <c r="D276" s="4" t="s">
        <v>790</v>
      </c>
      <c r="E276" s="4" t="s">
        <v>791</v>
      </c>
      <c r="F276" s="4" t="s">
        <v>792</v>
      </c>
      <c r="G276" s="4" t="s">
        <v>287</v>
      </c>
      <c r="H276" s="4" t="s">
        <v>761</v>
      </c>
      <c r="I276" s="3">
        <v>1</v>
      </c>
      <c r="J276" s="29" t="str">
        <f t="shared" si="36"/>
        <v>1</v>
      </c>
      <c r="K276" s="54" t="str">
        <f t="shared" si="37"/>
        <v>1</v>
      </c>
      <c r="L276" s="69" t="str">
        <f t="shared" si="38"/>
        <v>0</v>
      </c>
      <c r="M276" s="74" t="str">
        <f t="shared" si="39"/>
        <v>0</v>
      </c>
      <c r="N276" s="29" t="str">
        <f t="shared" si="40"/>
        <v>0</v>
      </c>
      <c r="O276" s="61" t="str">
        <f t="shared" ca="1" si="43"/>
        <v>0</v>
      </c>
      <c r="P276" s="65" t="str">
        <f t="shared" si="44"/>
        <v>0</v>
      </c>
      <c r="Q276" s="46">
        <f t="shared" ca="1" si="41"/>
        <v>2</v>
      </c>
      <c r="R276" s="3" t="str">
        <f t="shared" ca="1" si="42"/>
        <v>ไม่ผ่าน</v>
      </c>
      <c r="S276" s="3" t="s">
        <v>28</v>
      </c>
    </row>
    <row r="277" spans="1:19" ht="24">
      <c r="A277" s="3">
        <v>276</v>
      </c>
      <c r="B277" s="105">
        <v>6610488210</v>
      </c>
      <c r="C277" s="4" t="s">
        <v>22</v>
      </c>
      <c r="D277" s="4" t="s">
        <v>793</v>
      </c>
      <c r="E277" s="4" t="s">
        <v>794</v>
      </c>
      <c r="F277" s="4" t="s">
        <v>795</v>
      </c>
      <c r="G277" s="4" t="s">
        <v>287</v>
      </c>
      <c r="H277" s="4" t="s">
        <v>761</v>
      </c>
      <c r="I277" s="3">
        <v>1</v>
      </c>
      <c r="J277" s="29" t="str">
        <f t="shared" si="36"/>
        <v>1</v>
      </c>
      <c r="K277" s="54" t="str">
        <f t="shared" si="37"/>
        <v>1</v>
      </c>
      <c r="L277" s="69" t="str">
        <f t="shared" si="38"/>
        <v>0</v>
      </c>
      <c r="M277" s="74" t="str">
        <f t="shared" si="39"/>
        <v>0</v>
      </c>
      <c r="N277" s="29" t="str">
        <f t="shared" si="40"/>
        <v>1</v>
      </c>
      <c r="O277" s="61" t="str">
        <f t="shared" ca="1" si="43"/>
        <v>1</v>
      </c>
      <c r="P277" s="65" t="str">
        <f t="shared" si="44"/>
        <v>1</v>
      </c>
      <c r="Q277" s="46">
        <f t="shared" ca="1" si="41"/>
        <v>5</v>
      </c>
      <c r="R277" s="83" t="str">
        <f t="shared" ca="1" si="42"/>
        <v>ผ่าน</v>
      </c>
      <c r="S277" s="3" t="s">
        <v>28</v>
      </c>
    </row>
    <row r="278" spans="1:19" ht="24">
      <c r="A278" s="3">
        <v>277</v>
      </c>
      <c r="B278" s="105">
        <v>6610488214</v>
      </c>
      <c r="C278" s="4" t="s">
        <v>29</v>
      </c>
      <c r="D278" s="4" t="s">
        <v>165</v>
      </c>
      <c r="E278" s="4" t="s">
        <v>796</v>
      </c>
      <c r="F278" s="4" t="s">
        <v>797</v>
      </c>
      <c r="G278" s="4" t="s">
        <v>287</v>
      </c>
      <c r="H278" s="4" t="s">
        <v>761</v>
      </c>
      <c r="I278" s="3">
        <v>1</v>
      </c>
      <c r="J278" s="29" t="str">
        <f t="shared" si="36"/>
        <v>1</v>
      </c>
      <c r="K278" s="54" t="str">
        <f t="shared" si="37"/>
        <v>0</v>
      </c>
      <c r="L278" s="69" t="str">
        <f t="shared" si="38"/>
        <v>1</v>
      </c>
      <c r="M278" s="74" t="str">
        <f t="shared" si="39"/>
        <v>0</v>
      </c>
      <c r="N278" s="29" t="str">
        <f t="shared" si="40"/>
        <v>0</v>
      </c>
      <c r="O278" s="61" t="str">
        <f t="shared" ca="1" si="43"/>
        <v>1</v>
      </c>
      <c r="P278" s="65" t="str">
        <f t="shared" si="44"/>
        <v>1</v>
      </c>
      <c r="Q278" s="46">
        <f t="shared" ca="1" si="41"/>
        <v>4</v>
      </c>
      <c r="R278" s="83" t="str">
        <f t="shared" ca="1" si="42"/>
        <v>ผ่าน</v>
      </c>
      <c r="S278" s="3" t="s">
        <v>28</v>
      </c>
    </row>
    <row r="279" spans="1:19" ht="24">
      <c r="A279" s="3">
        <v>278</v>
      </c>
      <c r="B279" s="105">
        <v>6610488216</v>
      </c>
      <c r="C279" s="4" t="s">
        <v>29</v>
      </c>
      <c r="D279" s="4" t="s">
        <v>798</v>
      </c>
      <c r="E279" s="4" t="s">
        <v>799</v>
      </c>
      <c r="F279" s="4" t="s">
        <v>124</v>
      </c>
      <c r="G279" s="4" t="s">
        <v>287</v>
      </c>
      <c r="H279" s="4" t="s">
        <v>761</v>
      </c>
      <c r="I279" s="3">
        <v>1</v>
      </c>
      <c r="J279" s="29" t="str">
        <f t="shared" si="36"/>
        <v>1</v>
      </c>
      <c r="K279" s="54" t="str">
        <f t="shared" si="37"/>
        <v>0</v>
      </c>
      <c r="L279" s="69" t="str">
        <f t="shared" si="38"/>
        <v>1</v>
      </c>
      <c r="M279" s="74" t="str">
        <f t="shared" si="39"/>
        <v>0</v>
      </c>
      <c r="N279" s="29" t="str">
        <f t="shared" si="40"/>
        <v>0</v>
      </c>
      <c r="O279" s="61" t="str">
        <f t="shared" ca="1" si="43"/>
        <v>0</v>
      </c>
      <c r="P279" s="65" t="str">
        <f t="shared" si="44"/>
        <v>1</v>
      </c>
      <c r="Q279" s="46">
        <f t="shared" ca="1" si="41"/>
        <v>3</v>
      </c>
      <c r="R279" s="83" t="str">
        <f t="shared" ca="1" si="42"/>
        <v>ผ่าน</v>
      </c>
      <c r="S279" s="3" t="s">
        <v>28</v>
      </c>
    </row>
    <row r="280" spans="1:19" ht="24">
      <c r="A280" s="3">
        <v>279</v>
      </c>
      <c r="B280" s="105">
        <v>6610488220</v>
      </c>
      <c r="C280" s="4" t="s">
        <v>29</v>
      </c>
      <c r="D280" s="4" t="s">
        <v>800</v>
      </c>
      <c r="E280" s="4" t="s">
        <v>801</v>
      </c>
      <c r="F280" s="4" t="s">
        <v>170</v>
      </c>
      <c r="G280" s="4" t="s">
        <v>287</v>
      </c>
      <c r="H280" s="4" t="s">
        <v>761</v>
      </c>
      <c r="I280" s="3">
        <v>1</v>
      </c>
      <c r="J280" s="29" t="str">
        <f t="shared" si="36"/>
        <v>1</v>
      </c>
      <c r="K280" s="54" t="str">
        <f t="shared" si="37"/>
        <v>0</v>
      </c>
      <c r="L280" s="69" t="str">
        <f t="shared" si="38"/>
        <v>0</v>
      </c>
      <c r="M280" s="74" t="str">
        <f t="shared" si="39"/>
        <v>0</v>
      </c>
      <c r="N280" s="29" t="str">
        <f t="shared" si="40"/>
        <v>1</v>
      </c>
      <c r="O280" s="61" t="str">
        <f t="shared" ca="1" si="43"/>
        <v>1</v>
      </c>
      <c r="P280" s="65" t="str">
        <f t="shared" si="44"/>
        <v>0</v>
      </c>
      <c r="Q280" s="46">
        <f t="shared" ca="1" si="41"/>
        <v>3</v>
      </c>
      <c r="R280" s="83" t="str">
        <f t="shared" ca="1" si="42"/>
        <v>ผ่าน</v>
      </c>
      <c r="S280" s="3" t="s">
        <v>28</v>
      </c>
    </row>
    <row r="281" spans="1:19" ht="24">
      <c r="A281" s="3">
        <v>280</v>
      </c>
      <c r="B281" s="105">
        <v>6610488221</v>
      </c>
      <c r="C281" s="4" t="s">
        <v>29</v>
      </c>
      <c r="D281" s="4" t="s">
        <v>802</v>
      </c>
      <c r="E281" s="4" t="s">
        <v>803</v>
      </c>
      <c r="F281" s="4" t="s">
        <v>804</v>
      </c>
      <c r="G281" s="4" t="s">
        <v>287</v>
      </c>
      <c r="H281" s="4" t="s">
        <v>761</v>
      </c>
      <c r="I281" s="3">
        <v>1</v>
      </c>
      <c r="J281" s="29" t="str">
        <f t="shared" si="36"/>
        <v>0</v>
      </c>
      <c r="K281" s="54" t="str">
        <f t="shared" si="37"/>
        <v>0</v>
      </c>
      <c r="L281" s="69" t="str">
        <f t="shared" si="38"/>
        <v>0</v>
      </c>
      <c r="M281" s="74" t="str">
        <f t="shared" si="39"/>
        <v>0</v>
      </c>
      <c r="N281" s="29" t="str">
        <f t="shared" si="40"/>
        <v>0</v>
      </c>
      <c r="O281" s="61" t="str">
        <f t="shared" ca="1" si="43"/>
        <v>0</v>
      </c>
      <c r="P281" s="65" t="str">
        <f t="shared" si="44"/>
        <v>0</v>
      </c>
      <c r="Q281" s="46">
        <f t="shared" ca="1" si="41"/>
        <v>0</v>
      </c>
      <c r="R281" s="3" t="str">
        <f t="shared" ca="1" si="42"/>
        <v>ไม่ผ่าน</v>
      </c>
      <c r="S281" s="3" t="s">
        <v>28</v>
      </c>
    </row>
    <row r="282" spans="1:19" ht="24">
      <c r="A282" s="3">
        <v>281</v>
      </c>
      <c r="B282" s="105">
        <v>6610488225</v>
      </c>
      <c r="C282" s="4" t="s">
        <v>29</v>
      </c>
      <c r="D282" s="4" t="s">
        <v>805</v>
      </c>
      <c r="E282" s="4" t="s">
        <v>806</v>
      </c>
      <c r="F282" s="4" t="s">
        <v>807</v>
      </c>
      <c r="G282" s="4" t="s">
        <v>287</v>
      </c>
      <c r="H282" s="4" t="s">
        <v>761</v>
      </c>
      <c r="I282" s="3">
        <v>1</v>
      </c>
      <c r="J282" s="29" t="str">
        <f t="shared" si="36"/>
        <v>1</v>
      </c>
      <c r="K282" s="54" t="str">
        <f t="shared" si="37"/>
        <v>1</v>
      </c>
      <c r="L282" s="69" t="str">
        <f t="shared" si="38"/>
        <v>0</v>
      </c>
      <c r="M282" s="74" t="str">
        <f t="shared" si="39"/>
        <v>0</v>
      </c>
      <c r="N282" s="29" t="str">
        <f t="shared" si="40"/>
        <v>1</v>
      </c>
      <c r="O282" s="61" t="str">
        <f t="shared" ca="1" si="43"/>
        <v>0</v>
      </c>
      <c r="P282" s="65" t="str">
        <f t="shared" si="44"/>
        <v>1</v>
      </c>
      <c r="Q282" s="46">
        <f t="shared" ca="1" si="41"/>
        <v>4</v>
      </c>
      <c r="R282" s="83" t="str">
        <f t="shared" ca="1" si="42"/>
        <v>ผ่าน</v>
      </c>
      <c r="S282" s="3" t="s">
        <v>28</v>
      </c>
    </row>
    <row r="283" spans="1:19" ht="24">
      <c r="A283" s="3">
        <v>282</v>
      </c>
      <c r="B283" s="105">
        <v>6510488103</v>
      </c>
      <c r="C283" s="4" t="s">
        <v>22</v>
      </c>
      <c r="D283" s="4" t="s">
        <v>808</v>
      </c>
      <c r="E283" s="4" t="s">
        <v>809</v>
      </c>
      <c r="F283" s="4" t="s">
        <v>810</v>
      </c>
      <c r="G283" s="4" t="s">
        <v>287</v>
      </c>
      <c r="H283" s="4" t="s">
        <v>761</v>
      </c>
      <c r="I283" s="3">
        <v>2</v>
      </c>
      <c r="J283" s="29" t="str">
        <f t="shared" si="36"/>
        <v>0</v>
      </c>
      <c r="K283" s="54" t="str">
        <f t="shared" si="37"/>
        <v>0</v>
      </c>
      <c r="L283" s="69" t="str">
        <f t="shared" si="38"/>
        <v>0</v>
      </c>
      <c r="M283" s="74" t="str">
        <f t="shared" si="39"/>
        <v>0</v>
      </c>
      <c r="N283" s="29" t="str">
        <f t="shared" si="40"/>
        <v>0</v>
      </c>
      <c r="O283" s="61" t="str">
        <f t="shared" ca="1" si="43"/>
        <v>0</v>
      </c>
      <c r="P283" s="65" t="str">
        <f t="shared" si="44"/>
        <v>1</v>
      </c>
      <c r="Q283" s="46">
        <f t="shared" ca="1" si="41"/>
        <v>1</v>
      </c>
      <c r="R283" s="3" t="str">
        <f t="shared" ca="1" si="42"/>
        <v>ไม่ผ่าน</v>
      </c>
      <c r="S283" s="3" t="s">
        <v>28</v>
      </c>
    </row>
    <row r="284" spans="1:19" ht="24">
      <c r="A284" s="3">
        <v>283</v>
      </c>
      <c r="B284" s="105">
        <v>6510488106</v>
      </c>
      <c r="C284" s="4" t="s">
        <v>22</v>
      </c>
      <c r="D284" s="4" t="s">
        <v>811</v>
      </c>
      <c r="E284" s="4" t="s">
        <v>209</v>
      </c>
      <c r="F284" s="4" t="s">
        <v>812</v>
      </c>
      <c r="G284" s="4" t="s">
        <v>287</v>
      </c>
      <c r="H284" s="4" t="s">
        <v>761</v>
      </c>
      <c r="I284" s="3">
        <v>2</v>
      </c>
      <c r="J284" s="29" t="str">
        <f t="shared" si="36"/>
        <v>1</v>
      </c>
      <c r="K284" s="54">
        <v>1</v>
      </c>
      <c r="L284" s="69" t="str">
        <f t="shared" si="38"/>
        <v>0</v>
      </c>
      <c r="M284" s="74" t="str">
        <f t="shared" si="39"/>
        <v>0</v>
      </c>
      <c r="N284" s="29" t="str">
        <f t="shared" si="40"/>
        <v>1</v>
      </c>
      <c r="O284" s="61" t="str">
        <f t="shared" ca="1" si="43"/>
        <v>0</v>
      </c>
      <c r="P284" s="65" t="str">
        <f t="shared" si="44"/>
        <v>1</v>
      </c>
      <c r="Q284" s="46">
        <f t="shared" ca="1" si="41"/>
        <v>4</v>
      </c>
      <c r="R284" s="83" t="str">
        <f t="shared" ca="1" si="42"/>
        <v>ผ่าน</v>
      </c>
      <c r="S284" s="3" t="s">
        <v>28</v>
      </c>
    </row>
    <row r="285" spans="1:19" ht="24">
      <c r="A285" s="3">
        <v>284</v>
      </c>
      <c r="B285" s="105">
        <v>6510488204</v>
      </c>
      <c r="C285" s="4" t="s">
        <v>22</v>
      </c>
      <c r="D285" s="4" t="s">
        <v>813</v>
      </c>
      <c r="E285" s="4" t="s">
        <v>814</v>
      </c>
      <c r="F285" s="4" t="s">
        <v>609</v>
      </c>
      <c r="G285" s="4" t="s">
        <v>287</v>
      </c>
      <c r="H285" s="4" t="s">
        <v>761</v>
      </c>
      <c r="I285" s="3">
        <v>2</v>
      </c>
      <c r="J285" s="29" t="str">
        <f t="shared" si="36"/>
        <v>1</v>
      </c>
      <c r="K285" s="54" t="str">
        <f t="shared" si="37"/>
        <v>0</v>
      </c>
      <c r="L285" s="69" t="str">
        <f t="shared" si="38"/>
        <v>0</v>
      </c>
      <c r="M285" s="74" t="str">
        <f t="shared" si="39"/>
        <v>1</v>
      </c>
      <c r="N285" s="29" t="str">
        <f t="shared" si="40"/>
        <v>0</v>
      </c>
      <c r="O285" s="61" t="str">
        <f t="shared" ca="1" si="43"/>
        <v>1</v>
      </c>
      <c r="P285" s="65" t="str">
        <f t="shared" si="44"/>
        <v>1</v>
      </c>
      <c r="Q285" s="46">
        <f t="shared" ca="1" si="41"/>
        <v>4</v>
      </c>
      <c r="R285" s="83" t="str">
        <f t="shared" ca="1" si="42"/>
        <v>ผ่าน</v>
      </c>
      <c r="S285" s="3" t="s">
        <v>28</v>
      </c>
    </row>
    <row r="286" spans="1:19" ht="24">
      <c r="A286" s="3">
        <v>285</v>
      </c>
      <c r="B286" s="105">
        <v>6510488225</v>
      </c>
      <c r="C286" s="4" t="s">
        <v>29</v>
      </c>
      <c r="D286" s="4" t="s">
        <v>815</v>
      </c>
      <c r="E286" s="4" t="s">
        <v>470</v>
      </c>
      <c r="F286" s="4" t="s">
        <v>816</v>
      </c>
      <c r="G286" s="4" t="s">
        <v>287</v>
      </c>
      <c r="H286" s="4" t="s">
        <v>761</v>
      </c>
      <c r="I286" s="3">
        <v>2</v>
      </c>
      <c r="J286" s="29" t="str">
        <f t="shared" si="36"/>
        <v>1</v>
      </c>
      <c r="K286" s="54">
        <v>1</v>
      </c>
      <c r="L286" s="69" t="str">
        <f t="shared" si="38"/>
        <v>0</v>
      </c>
      <c r="M286" s="74" t="str">
        <f t="shared" si="39"/>
        <v>1</v>
      </c>
      <c r="N286" s="29" t="str">
        <f t="shared" si="40"/>
        <v>0</v>
      </c>
      <c r="O286" s="61" t="str">
        <f t="shared" ca="1" si="43"/>
        <v>1</v>
      </c>
      <c r="P286" s="65" t="str">
        <f t="shared" si="44"/>
        <v>1</v>
      </c>
      <c r="Q286" s="46">
        <f t="shared" ca="1" si="41"/>
        <v>5</v>
      </c>
      <c r="R286" s="83" t="str">
        <f t="shared" ca="1" si="42"/>
        <v>ผ่าน</v>
      </c>
      <c r="S286" s="3" t="s">
        <v>28</v>
      </c>
    </row>
    <row r="287" spans="1:19" ht="24">
      <c r="A287" s="3">
        <v>286</v>
      </c>
      <c r="B287" s="105">
        <v>6410488102</v>
      </c>
      <c r="C287" s="4" t="s">
        <v>22</v>
      </c>
      <c r="D287" s="4" t="s">
        <v>817</v>
      </c>
      <c r="E287" s="4" t="s">
        <v>818</v>
      </c>
      <c r="F287" s="4" t="s">
        <v>65</v>
      </c>
      <c r="G287" s="4" t="s">
        <v>287</v>
      </c>
      <c r="H287" s="4" t="s">
        <v>761</v>
      </c>
      <c r="I287" s="3">
        <v>3</v>
      </c>
      <c r="J287" s="29" t="str">
        <f t="shared" si="36"/>
        <v>1</v>
      </c>
      <c r="K287" s="54">
        <v>1</v>
      </c>
      <c r="L287" s="69" t="str">
        <f t="shared" si="38"/>
        <v>0</v>
      </c>
      <c r="M287" s="74" t="str">
        <f t="shared" si="39"/>
        <v>1</v>
      </c>
      <c r="N287" s="29" t="str">
        <f t="shared" si="40"/>
        <v>0</v>
      </c>
      <c r="O287" s="61" t="str">
        <f t="shared" ca="1" si="43"/>
        <v>1</v>
      </c>
      <c r="P287" s="65" t="str">
        <f t="shared" si="44"/>
        <v>1</v>
      </c>
      <c r="Q287" s="46">
        <f t="shared" ca="1" si="41"/>
        <v>5</v>
      </c>
      <c r="R287" s="83" t="str">
        <f t="shared" ca="1" si="42"/>
        <v>ผ่าน</v>
      </c>
      <c r="S287" s="3" t="s">
        <v>28</v>
      </c>
    </row>
    <row r="288" spans="1:19" ht="24">
      <c r="A288" s="3">
        <v>287</v>
      </c>
      <c r="B288" s="105">
        <v>6410488103</v>
      </c>
      <c r="C288" s="4" t="s">
        <v>22</v>
      </c>
      <c r="D288" s="4" t="s">
        <v>819</v>
      </c>
      <c r="E288" s="4" t="s">
        <v>37</v>
      </c>
      <c r="F288" s="4" t="s">
        <v>820</v>
      </c>
      <c r="G288" s="4" t="s">
        <v>287</v>
      </c>
      <c r="H288" s="4" t="s">
        <v>761</v>
      </c>
      <c r="I288" s="3">
        <v>3</v>
      </c>
      <c r="J288" s="29" t="str">
        <f t="shared" si="36"/>
        <v>1</v>
      </c>
      <c r="K288" s="54">
        <v>1</v>
      </c>
      <c r="L288" s="69" t="str">
        <f t="shared" si="38"/>
        <v>0</v>
      </c>
      <c r="M288" s="74" t="str">
        <f t="shared" si="39"/>
        <v>0</v>
      </c>
      <c r="N288" s="29" t="str">
        <f t="shared" si="40"/>
        <v>1</v>
      </c>
      <c r="O288" s="61" t="str">
        <f t="shared" ca="1" si="43"/>
        <v>0</v>
      </c>
      <c r="P288" s="65" t="str">
        <f t="shared" si="44"/>
        <v>1</v>
      </c>
      <c r="Q288" s="46">
        <f t="shared" ca="1" si="41"/>
        <v>4</v>
      </c>
      <c r="R288" s="83" t="str">
        <f t="shared" ca="1" si="42"/>
        <v>ผ่าน</v>
      </c>
      <c r="S288" s="3" t="s">
        <v>28</v>
      </c>
    </row>
    <row r="289" spans="1:19" ht="24">
      <c r="A289" s="3">
        <v>288</v>
      </c>
      <c r="B289" s="105">
        <v>6410488104</v>
      </c>
      <c r="C289" s="4" t="s">
        <v>22</v>
      </c>
      <c r="D289" s="4" t="s">
        <v>821</v>
      </c>
      <c r="E289" s="4" t="s">
        <v>822</v>
      </c>
      <c r="F289" s="4" t="s">
        <v>823</v>
      </c>
      <c r="G289" s="4" t="s">
        <v>287</v>
      </c>
      <c r="H289" s="4" t="s">
        <v>761</v>
      </c>
      <c r="I289" s="3">
        <v>3</v>
      </c>
      <c r="J289" s="29" t="str">
        <f t="shared" si="36"/>
        <v>1</v>
      </c>
      <c r="K289" s="54" t="str">
        <f t="shared" si="37"/>
        <v>1</v>
      </c>
      <c r="L289" s="69" t="str">
        <f t="shared" si="38"/>
        <v>0</v>
      </c>
      <c r="M289" s="74" t="str">
        <f t="shared" si="39"/>
        <v>1</v>
      </c>
      <c r="N289" s="29" t="str">
        <f t="shared" si="40"/>
        <v>0</v>
      </c>
      <c r="O289" s="61" t="str">
        <f t="shared" ca="1" si="43"/>
        <v>1</v>
      </c>
      <c r="P289" s="65" t="str">
        <f t="shared" si="44"/>
        <v>1</v>
      </c>
      <c r="Q289" s="46">
        <f t="shared" ca="1" si="41"/>
        <v>5</v>
      </c>
      <c r="R289" s="83" t="str">
        <f t="shared" ca="1" si="42"/>
        <v>ผ่าน</v>
      </c>
      <c r="S289" s="3" t="s">
        <v>28</v>
      </c>
    </row>
    <row r="290" spans="1:19" ht="24">
      <c r="A290" s="3">
        <v>289</v>
      </c>
      <c r="B290" s="105">
        <v>6410488105</v>
      </c>
      <c r="C290" s="4" t="s">
        <v>22</v>
      </c>
      <c r="D290" s="4" t="s">
        <v>824</v>
      </c>
      <c r="E290" s="4" t="s">
        <v>825</v>
      </c>
      <c r="F290" s="4" t="s">
        <v>826</v>
      </c>
      <c r="G290" s="4" t="s">
        <v>287</v>
      </c>
      <c r="H290" s="4" t="s">
        <v>761</v>
      </c>
      <c r="I290" s="3">
        <v>3</v>
      </c>
      <c r="J290" s="29" t="str">
        <f t="shared" si="36"/>
        <v>1</v>
      </c>
      <c r="K290" s="54">
        <v>1</v>
      </c>
      <c r="L290" s="69" t="str">
        <f t="shared" si="38"/>
        <v>0</v>
      </c>
      <c r="M290" s="74" t="str">
        <f t="shared" si="39"/>
        <v>1</v>
      </c>
      <c r="N290" s="29" t="str">
        <f t="shared" si="40"/>
        <v>0</v>
      </c>
      <c r="O290" s="61" t="str">
        <f t="shared" ca="1" si="43"/>
        <v>1</v>
      </c>
      <c r="P290" s="65" t="str">
        <f t="shared" si="44"/>
        <v>1</v>
      </c>
      <c r="Q290" s="46">
        <f t="shared" ca="1" si="41"/>
        <v>5</v>
      </c>
      <c r="R290" s="83" t="str">
        <f t="shared" ca="1" si="42"/>
        <v>ผ่าน</v>
      </c>
      <c r="S290" s="3" t="s">
        <v>28</v>
      </c>
    </row>
    <row r="291" spans="1:19" ht="24">
      <c r="A291" s="3">
        <v>290</v>
      </c>
      <c r="B291" s="105">
        <v>6410488106</v>
      </c>
      <c r="C291" s="4" t="s">
        <v>22</v>
      </c>
      <c r="D291" s="4" t="s">
        <v>827</v>
      </c>
      <c r="E291" s="4" t="s">
        <v>828</v>
      </c>
      <c r="F291" s="4" t="s">
        <v>829</v>
      </c>
      <c r="G291" s="4" t="s">
        <v>287</v>
      </c>
      <c r="H291" s="4" t="s">
        <v>761</v>
      </c>
      <c r="I291" s="3">
        <v>3</v>
      </c>
      <c r="J291" s="29" t="str">
        <f t="shared" si="36"/>
        <v>1</v>
      </c>
      <c r="K291" s="54" t="str">
        <f t="shared" si="37"/>
        <v>1</v>
      </c>
      <c r="L291" s="69" t="str">
        <f t="shared" si="38"/>
        <v>0</v>
      </c>
      <c r="M291" s="74" t="str">
        <f t="shared" si="39"/>
        <v>0</v>
      </c>
      <c r="N291" s="29" t="str">
        <f t="shared" si="40"/>
        <v>1</v>
      </c>
      <c r="O291" s="61" t="str">
        <f t="shared" ca="1" si="43"/>
        <v>1</v>
      </c>
      <c r="P291" s="65" t="str">
        <f t="shared" si="44"/>
        <v>0</v>
      </c>
      <c r="Q291" s="46">
        <f t="shared" ca="1" si="41"/>
        <v>4</v>
      </c>
      <c r="R291" s="83" t="str">
        <f t="shared" ca="1" si="42"/>
        <v>ผ่าน</v>
      </c>
      <c r="S291" s="3" t="s">
        <v>28</v>
      </c>
    </row>
    <row r="292" spans="1:19" ht="24">
      <c r="A292" s="3">
        <v>291</v>
      </c>
      <c r="B292" s="105">
        <v>6410488107</v>
      </c>
      <c r="C292" s="4" t="s">
        <v>22</v>
      </c>
      <c r="D292" s="4" t="s">
        <v>762</v>
      </c>
      <c r="E292" s="4" t="s">
        <v>830</v>
      </c>
      <c r="F292" s="4" t="s">
        <v>831</v>
      </c>
      <c r="G292" s="4" t="s">
        <v>287</v>
      </c>
      <c r="H292" s="4" t="s">
        <v>761</v>
      </c>
      <c r="I292" s="3">
        <v>3</v>
      </c>
      <c r="J292" s="29" t="str">
        <f t="shared" si="36"/>
        <v>1</v>
      </c>
      <c r="K292" s="54" t="str">
        <f t="shared" si="37"/>
        <v>1</v>
      </c>
      <c r="L292" s="69" t="str">
        <f t="shared" si="38"/>
        <v>0</v>
      </c>
      <c r="M292" s="74" t="str">
        <f t="shared" si="39"/>
        <v>1</v>
      </c>
      <c r="N292" s="29" t="str">
        <f t="shared" si="40"/>
        <v>0</v>
      </c>
      <c r="O292" s="61" t="str">
        <f t="shared" ca="1" si="43"/>
        <v>1</v>
      </c>
      <c r="P292" s="65" t="str">
        <f t="shared" si="44"/>
        <v>1</v>
      </c>
      <c r="Q292" s="46">
        <f t="shared" ca="1" si="41"/>
        <v>5</v>
      </c>
      <c r="R292" s="83" t="str">
        <f t="shared" ca="1" si="42"/>
        <v>ผ่าน</v>
      </c>
      <c r="S292" s="3" t="s">
        <v>28</v>
      </c>
    </row>
    <row r="293" spans="1:19" ht="24">
      <c r="A293" s="3">
        <v>292</v>
      </c>
      <c r="B293" s="105">
        <v>6410488118</v>
      </c>
      <c r="C293" s="4" t="s">
        <v>29</v>
      </c>
      <c r="D293" s="4" t="s">
        <v>832</v>
      </c>
      <c r="E293" s="4" t="s">
        <v>833</v>
      </c>
      <c r="F293" s="4" t="s">
        <v>834</v>
      </c>
      <c r="G293" s="4" t="s">
        <v>287</v>
      </c>
      <c r="H293" s="4" t="s">
        <v>761</v>
      </c>
      <c r="I293" s="3">
        <v>3</v>
      </c>
      <c r="J293" s="29" t="str">
        <f t="shared" si="36"/>
        <v>1</v>
      </c>
      <c r="K293" s="54" t="str">
        <f t="shared" si="37"/>
        <v>0</v>
      </c>
      <c r="L293" s="69" t="str">
        <f t="shared" si="38"/>
        <v>0</v>
      </c>
      <c r="M293" s="74" t="str">
        <f t="shared" si="39"/>
        <v>1</v>
      </c>
      <c r="N293" s="29" t="str">
        <f t="shared" si="40"/>
        <v>0</v>
      </c>
      <c r="O293" s="61" t="str">
        <f t="shared" ca="1" si="43"/>
        <v>1</v>
      </c>
      <c r="P293" s="65" t="str">
        <f t="shared" si="44"/>
        <v>1</v>
      </c>
      <c r="Q293" s="46">
        <f t="shared" ca="1" si="41"/>
        <v>4</v>
      </c>
      <c r="R293" s="83" t="str">
        <f t="shared" ca="1" si="42"/>
        <v>ผ่าน</v>
      </c>
      <c r="S293" s="3" t="s">
        <v>28</v>
      </c>
    </row>
    <row r="294" spans="1:19" ht="24">
      <c r="A294" s="3">
        <v>293</v>
      </c>
      <c r="B294" s="105">
        <v>6410488123</v>
      </c>
      <c r="C294" s="4" t="s">
        <v>29</v>
      </c>
      <c r="D294" s="4" t="s">
        <v>835</v>
      </c>
      <c r="E294" s="4" t="s">
        <v>836</v>
      </c>
      <c r="F294" s="4" t="s">
        <v>143</v>
      </c>
      <c r="G294" s="4" t="s">
        <v>287</v>
      </c>
      <c r="H294" s="4" t="s">
        <v>761</v>
      </c>
      <c r="I294" s="3">
        <v>3</v>
      </c>
      <c r="J294" s="29" t="str">
        <f t="shared" si="36"/>
        <v>1</v>
      </c>
      <c r="K294" s="54">
        <v>1</v>
      </c>
      <c r="L294" s="69" t="str">
        <f t="shared" si="38"/>
        <v>0</v>
      </c>
      <c r="M294" s="74" t="str">
        <f t="shared" si="39"/>
        <v>0</v>
      </c>
      <c r="N294" s="29" t="str">
        <f t="shared" si="40"/>
        <v>1</v>
      </c>
      <c r="O294" s="61" t="str">
        <f t="shared" ca="1" si="43"/>
        <v>0</v>
      </c>
      <c r="P294" s="65" t="str">
        <f t="shared" si="44"/>
        <v>1</v>
      </c>
      <c r="Q294" s="46">
        <f t="shared" ca="1" si="41"/>
        <v>4</v>
      </c>
      <c r="R294" s="83" t="str">
        <f t="shared" ca="1" si="42"/>
        <v>ผ่าน</v>
      </c>
      <c r="S294" s="3" t="s">
        <v>28</v>
      </c>
    </row>
    <row r="295" spans="1:19" ht="24">
      <c r="A295" s="3">
        <v>294</v>
      </c>
      <c r="B295" s="105">
        <v>6410488124</v>
      </c>
      <c r="C295" s="4" t="s">
        <v>29</v>
      </c>
      <c r="D295" s="4" t="s">
        <v>837</v>
      </c>
      <c r="E295" s="4" t="s">
        <v>838</v>
      </c>
      <c r="F295" s="4" t="s">
        <v>839</v>
      </c>
      <c r="G295" s="4" t="s">
        <v>287</v>
      </c>
      <c r="H295" s="4" t="s">
        <v>761</v>
      </c>
      <c r="I295" s="3">
        <v>3</v>
      </c>
      <c r="J295" s="29" t="str">
        <f t="shared" si="36"/>
        <v>1</v>
      </c>
      <c r="K295" s="54" t="str">
        <f t="shared" si="37"/>
        <v>1</v>
      </c>
      <c r="L295" s="69" t="str">
        <f t="shared" si="38"/>
        <v>0</v>
      </c>
      <c r="M295" s="74" t="str">
        <f t="shared" si="39"/>
        <v>1</v>
      </c>
      <c r="N295" s="29" t="str">
        <f t="shared" si="40"/>
        <v>0</v>
      </c>
      <c r="O295" s="61" t="str">
        <f t="shared" ca="1" si="43"/>
        <v>1</v>
      </c>
      <c r="P295" s="65" t="str">
        <f t="shared" si="44"/>
        <v>1</v>
      </c>
      <c r="Q295" s="46">
        <f t="shared" ca="1" si="41"/>
        <v>5</v>
      </c>
      <c r="R295" s="83" t="str">
        <f t="shared" ca="1" si="42"/>
        <v>ผ่าน</v>
      </c>
      <c r="S295" s="3" t="s">
        <v>28</v>
      </c>
    </row>
    <row r="296" spans="1:19" ht="24">
      <c r="A296" s="3">
        <v>295</v>
      </c>
      <c r="B296" s="105">
        <v>6410488125</v>
      </c>
      <c r="C296" s="4" t="s">
        <v>29</v>
      </c>
      <c r="D296" s="4" t="s">
        <v>840</v>
      </c>
      <c r="E296" s="4" t="s">
        <v>841</v>
      </c>
      <c r="F296" s="4" t="s">
        <v>507</v>
      </c>
      <c r="G296" s="4" t="s">
        <v>287</v>
      </c>
      <c r="H296" s="4" t="s">
        <v>761</v>
      </c>
      <c r="I296" s="3">
        <v>3</v>
      </c>
      <c r="J296" s="29" t="str">
        <f t="shared" si="36"/>
        <v>1</v>
      </c>
      <c r="K296" s="54" t="str">
        <f t="shared" si="37"/>
        <v>1</v>
      </c>
      <c r="L296" s="69" t="str">
        <f t="shared" si="38"/>
        <v>0</v>
      </c>
      <c r="M296" s="74" t="str">
        <f t="shared" si="39"/>
        <v>0</v>
      </c>
      <c r="N296" s="29" t="str">
        <f t="shared" si="40"/>
        <v>1</v>
      </c>
      <c r="O296" s="61" t="str">
        <f t="shared" ca="1" si="43"/>
        <v>1</v>
      </c>
      <c r="P296" s="65" t="str">
        <f t="shared" si="44"/>
        <v>1</v>
      </c>
      <c r="Q296" s="46">
        <f t="shared" ca="1" si="41"/>
        <v>5</v>
      </c>
      <c r="R296" s="83" t="str">
        <f t="shared" ca="1" si="42"/>
        <v>ผ่าน</v>
      </c>
      <c r="S296" s="3" t="s">
        <v>28</v>
      </c>
    </row>
    <row r="297" spans="1:19" ht="24">
      <c r="A297" s="3">
        <v>296</v>
      </c>
      <c r="B297" s="105">
        <v>6410488201</v>
      </c>
      <c r="C297" s="4" t="s">
        <v>22</v>
      </c>
      <c r="D297" s="4" t="s">
        <v>842</v>
      </c>
      <c r="E297" s="4" t="s">
        <v>843</v>
      </c>
      <c r="F297" s="4" t="s">
        <v>844</v>
      </c>
      <c r="G297" s="4" t="s">
        <v>287</v>
      </c>
      <c r="H297" s="4" t="s">
        <v>761</v>
      </c>
      <c r="I297" s="3">
        <v>3</v>
      </c>
      <c r="J297" s="29" t="str">
        <f t="shared" si="36"/>
        <v>1</v>
      </c>
      <c r="K297" s="54" t="str">
        <f t="shared" si="37"/>
        <v>1</v>
      </c>
      <c r="L297" s="69" t="str">
        <f t="shared" si="38"/>
        <v>0</v>
      </c>
      <c r="M297" s="74" t="str">
        <f t="shared" si="39"/>
        <v>1</v>
      </c>
      <c r="N297" s="29" t="str">
        <f t="shared" si="40"/>
        <v>0</v>
      </c>
      <c r="O297" s="61" t="str">
        <f t="shared" ca="1" si="43"/>
        <v>1</v>
      </c>
      <c r="P297" s="65" t="str">
        <f t="shared" si="44"/>
        <v>1</v>
      </c>
      <c r="Q297" s="46">
        <f t="shared" ca="1" si="41"/>
        <v>5</v>
      </c>
      <c r="R297" s="83" t="str">
        <f t="shared" ca="1" si="42"/>
        <v>ผ่าน</v>
      </c>
      <c r="S297" s="3" t="s">
        <v>28</v>
      </c>
    </row>
    <row r="298" spans="1:19" ht="24">
      <c r="A298" s="3">
        <v>297</v>
      </c>
      <c r="B298" s="105">
        <v>6410488203</v>
      </c>
      <c r="C298" s="4" t="s">
        <v>22</v>
      </c>
      <c r="D298" s="4" t="s">
        <v>845</v>
      </c>
      <c r="E298" s="4" t="s">
        <v>846</v>
      </c>
      <c r="F298" s="4" t="s">
        <v>847</v>
      </c>
      <c r="G298" s="4" t="s">
        <v>287</v>
      </c>
      <c r="H298" s="4" t="s">
        <v>761</v>
      </c>
      <c r="I298" s="3">
        <v>3</v>
      </c>
      <c r="J298" s="29" t="str">
        <f t="shared" si="36"/>
        <v>1</v>
      </c>
      <c r="K298" s="54" t="str">
        <f t="shared" si="37"/>
        <v>1</v>
      </c>
      <c r="L298" s="69" t="str">
        <f t="shared" si="38"/>
        <v>0</v>
      </c>
      <c r="M298" s="74" t="str">
        <f t="shared" si="39"/>
        <v>1</v>
      </c>
      <c r="N298" s="29" t="str">
        <f t="shared" si="40"/>
        <v>0</v>
      </c>
      <c r="O298" s="61" t="str">
        <f t="shared" ca="1" si="43"/>
        <v>1</v>
      </c>
      <c r="P298" s="65" t="str">
        <f t="shared" si="44"/>
        <v>0</v>
      </c>
      <c r="Q298" s="46">
        <f t="shared" ca="1" si="41"/>
        <v>4</v>
      </c>
      <c r="R298" s="83" t="str">
        <f t="shared" ca="1" si="42"/>
        <v>ผ่าน</v>
      </c>
      <c r="S298" s="3" t="s">
        <v>28</v>
      </c>
    </row>
    <row r="299" spans="1:19" ht="24">
      <c r="A299" s="3">
        <v>298</v>
      </c>
      <c r="B299" s="105">
        <v>6410488204</v>
      </c>
      <c r="C299" s="4" t="s">
        <v>22</v>
      </c>
      <c r="D299" s="4" t="s">
        <v>848</v>
      </c>
      <c r="E299" s="4" t="s">
        <v>849</v>
      </c>
      <c r="F299" s="4" t="s">
        <v>850</v>
      </c>
      <c r="G299" s="4" t="s">
        <v>287</v>
      </c>
      <c r="H299" s="4" t="s">
        <v>761</v>
      </c>
      <c r="I299" s="3">
        <v>3</v>
      </c>
      <c r="J299" s="29" t="str">
        <f t="shared" si="36"/>
        <v>1</v>
      </c>
      <c r="K299" s="54" t="str">
        <f t="shared" si="37"/>
        <v>0</v>
      </c>
      <c r="L299" s="69" t="str">
        <f t="shared" si="38"/>
        <v>0</v>
      </c>
      <c r="M299" s="74" t="str">
        <f t="shared" si="39"/>
        <v>0</v>
      </c>
      <c r="N299" s="29" t="str">
        <f t="shared" si="40"/>
        <v>1</v>
      </c>
      <c r="O299" s="61" t="str">
        <f t="shared" ca="1" si="43"/>
        <v>1</v>
      </c>
      <c r="P299" s="65" t="str">
        <f t="shared" si="44"/>
        <v>1</v>
      </c>
      <c r="Q299" s="46">
        <f t="shared" ca="1" si="41"/>
        <v>4</v>
      </c>
      <c r="R299" s="83" t="str">
        <f t="shared" ca="1" si="42"/>
        <v>ผ่าน</v>
      </c>
      <c r="S299" s="3" t="s">
        <v>28</v>
      </c>
    </row>
    <row r="300" spans="1:19" ht="24">
      <c r="A300" s="3">
        <v>299</v>
      </c>
      <c r="B300" s="105">
        <v>6410488205</v>
      </c>
      <c r="C300" s="4" t="s">
        <v>22</v>
      </c>
      <c r="D300" s="4" t="s">
        <v>851</v>
      </c>
      <c r="E300" s="4" t="s">
        <v>852</v>
      </c>
      <c r="F300" s="4" t="s">
        <v>568</v>
      </c>
      <c r="G300" s="4" t="s">
        <v>287</v>
      </c>
      <c r="H300" s="4" t="s">
        <v>761</v>
      </c>
      <c r="I300" s="3">
        <v>3</v>
      </c>
      <c r="J300" s="29" t="str">
        <f t="shared" si="36"/>
        <v>1</v>
      </c>
      <c r="K300" s="54" t="str">
        <f t="shared" si="37"/>
        <v>1</v>
      </c>
      <c r="L300" s="69" t="str">
        <f t="shared" si="38"/>
        <v>0</v>
      </c>
      <c r="M300" s="74" t="str">
        <f t="shared" si="39"/>
        <v>1</v>
      </c>
      <c r="N300" s="29" t="str">
        <f t="shared" si="40"/>
        <v>0</v>
      </c>
      <c r="O300" s="61" t="str">
        <f t="shared" ca="1" si="43"/>
        <v>1</v>
      </c>
      <c r="P300" s="65" t="str">
        <f t="shared" si="44"/>
        <v>1</v>
      </c>
      <c r="Q300" s="46">
        <f t="shared" ca="1" si="41"/>
        <v>5</v>
      </c>
      <c r="R300" s="83" t="str">
        <f t="shared" ca="1" si="42"/>
        <v>ผ่าน</v>
      </c>
      <c r="S300" s="3" t="s">
        <v>28</v>
      </c>
    </row>
    <row r="301" spans="1:19" ht="24">
      <c r="A301" s="3">
        <v>300</v>
      </c>
      <c r="B301" s="105">
        <v>6410488206</v>
      </c>
      <c r="C301" s="4" t="s">
        <v>22</v>
      </c>
      <c r="D301" s="4" t="s">
        <v>853</v>
      </c>
      <c r="E301" s="4" t="s">
        <v>854</v>
      </c>
      <c r="F301" s="4" t="s">
        <v>855</v>
      </c>
      <c r="G301" s="4" t="s">
        <v>287</v>
      </c>
      <c r="H301" s="4" t="s">
        <v>761</v>
      </c>
      <c r="I301" s="3">
        <v>3</v>
      </c>
      <c r="J301" s="29" t="str">
        <f t="shared" si="36"/>
        <v>1</v>
      </c>
      <c r="K301" s="54">
        <v>1</v>
      </c>
      <c r="L301" s="69" t="str">
        <f t="shared" si="38"/>
        <v>0</v>
      </c>
      <c r="M301" s="74" t="str">
        <f t="shared" si="39"/>
        <v>1</v>
      </c>
      <c r="N301" s="29" t="str">
        <f t="shared" si="40"/>
        <v>0</v>
      </c>
      <c r="O301" s="61" t="str">
        <f t="shared" ca="1" si="43"/>
        <v>1</v>
      </c>
      <c r="P301" s="65" t="str">
        <f t="shared" si="44"/>
        <v>1</v>
      </c>
      <c r="Q301" s="46">
        <f t="shared" ca="1" si="41"/>
        <v>5</v>
      </c>
      <c r="R301" s="83" t="str">
        <f t="shared" ca="1" si="42"/>
        <v>ผ่าน</v>
      </c>
      <c r="S301" s="3" t="s">
        <v>28</v>
      </c>
    </row>
    <row r="302" spans="1:19" ht="24">
      <c r="A302" s="3">
        <v>301</v>
      </c>
      <c r="B302" s="105">
        <v>6410488208</v>
      </c>
      <c r="C302" s="4" t="s">
        <v>22</v>
      </c>
      <c r="D302" s="4" t="s">
        <v>856</v>
      </c>
      <c r="E302" s="4" t="s">
        <v>857</v>
      </c>
      <c r="F302" s="4" t="s">
        <v>858</v>
      </c>
      <c r="G302" s="4" t="s">
        <v>287</v>
      </c>
      <c r="H302" s="4" t="s">
        <v>761</v>
      </c>
      <c r="I302" s="3">
        <v>3</v>
      </c>
      <c r="J302" s="29" t="str">
        <f t="shared" si="36"/>
        <v>1</v>
      </c>
      <c r="K302" s="54">
        <v>1</v>
      </c>
      <c r="L302" s="69" t="str">
        <f t="shared" si="38"/>
        <v>0</v>
      </c>
      <c r="M302" s="74" t="str">
        <f t="shared" si="39"/>
        <v>1</v>
      </c>
      <c r="N302" s="29" t="str">
        <f t="shared" si="40"/>
        <v>0</v>
      </c>
      <c r="O302" s="61" t="str">
        <f t="shared" ca="1" si="43"/>
        <v>1</v>
      </c>
      <c r="P302" s="65" t="str">
        <f t="shared" si="44"/>
        <v>1</v>
      </c>
      <c r="Q302" s="46">
        <f t="shared" ca="1" si="41"/>
        <v>5</v>
      </c>
      <c r="R302" s="83" t="str">
        <f t="shared" ca="1" si="42"/>
        <v>ผ่าน</v>
      </c>
      <c r="S302" s="3" t="s">
        <v>28</v>
      </c>
    </row>
    <row r="303" spans="1:19" ht="24">
      <c r="A303" s="3">
        <v>302</v>
      </c>
      <c r="B303" s="105">
        <v>6410488212</v>
      </c>
      <c r="C303" s="4" t="s">
        <v>29</v>
      </c>
      <c r="D303" s="4" t="s">
        <v>859</v>
      </c>
      <c r="E303" s="4" t="s">
        <v>860</v>
      </c>
      <c r="F303" s="4" t="s">
        <v>861</v>
      </c>
      <c r="G303" s="4" t="s">
        <v>287</v>
      </c>
      <c r="H303" s="4" t="s">
        <v>761</v>
      </c>
      <c r="I303" s="3">
        <v>3</v>
      </c>
      <c r="J303" s="29" t="str">
        <f t="shared" si="36"/>
        <v>1</v>
      </c>
      <c r="K303" s="54">
        <v>1</v>
      </c>
      <c r="L303" s="69" t="str">
        <f t="shared" si="38"/>
        <v>0</v>
      </c>
      <c r="M303" s="74" t="str">
        <f t="shared" si="39"/>
        <v>1</v>
      </c>
      <c r="N303" s="29" t="str">
        <f t="shared" si="40"/>
        <v>0</v>
      </c>
      <c r="O303" s="61" t="str">
        <f t="shared" ca="1" si="43"/>
        <v>1</v>
      </c>
      <c r="P303" s="65" t="str">
        <f t="shared" si="44"/>
        <v>1</v>
      </c>
      <c r="Q303" s="46">
        <f t="shared" ca="1" si="41"/>
        <v>5</v>
      </c>
      <c r="R303" s="83" t="str">
        <f t="shared" ca="1" si="42"/>
        <v>ผ่าน</v>
      </c>
      <c r="S303" s="3" t="s">
        <v>28</v>
      </c>
    </row>
    <row r="304" spans="1:19" ht="24">
      <c r="A304" s="3">
        <v>303</v>
      </c>
      <c r="B304" s="105">
        <v>6410488216</v>
      </c>
      <c r="C304" s="4" t="s">
        <v>29</v>
      </c>
      <c r="D304" s="4" t="s">
        <v>862</v>
      </c>
      <c r="E304" s="4" t="s">
        <v>863</v>
      </c>
      <c r="F304" s="4" t="s">
        <v>864</v>
      </c>
      <c r="G304" s="4" t="s">
        <v>287</v>
      </c>
      <c r="H304" s="4" t="s">
        <v>761</v>
      </c>
      <c r="I304" s="3">
        <v>3</v>
      </c>
      <c r="J304" s="29" t="str">
        <f t="shared" si="36"/>
        <v>0</v>
      </c>
      <c r="K304" s="54">
        <v>1</v>
      </c>
      <c r="L304" s="69" t="str">
        <f t="shared" si="38"/>
        <v>0</v>
      </c>
      <c r="M304" s="74" t="str">
        <f t="shared" si="39"/>
        <v>0</v>
      </c>
      <c r="N304" s="29" t="str">
        <f t="shared" si="40"/>
        <v>0</v>
      </c>
      <c r="O304" s="61" t="str">
        <f t="shared" ca="1" si="43"/>
        <v>1</v>
      </c>
      <c r="P304" s="65" t="str">
        <f t="shared" si="44"/>
        <v>1</v>
      </c>
      <c r="Q304" s="46">
        <f t="shared" ca="1" si="41"/>
        <v>3</v>
      </c>
      <c r="R304" s="83" t="str">
        <f t="shared" ca="1" si="42"/>
        <v>ผ่าน</v>
      </c>
      <c r="S304" s="3" t="s">
        <v>28</v>
      </c>
    </row>
    <row r="305" spans="1:19" ht="24">
      <c r="A305" s="3">
        <v>304</v>
      </c>
      <c r="B305" s="105">
        <v>6410488219</v>
      </c>
      <c r="C305" s="4" t="s">
        <v>29</v>
      </c>
      <c r="D305" s="4" t="s">
        <v>234</v>
      </c>
      <c r="E305" s="4" t="s">
        <v>865</v>
      </c>
      <c r="F305" s="4" t="s">
        <v>866</v>
      </c>
      <c r="G305" s="4" t="s">
        <v>287</v>
      </c>
      <c r="H305" s="4" t="s">
        <v>761</v>
      </c>
      <c r="I305" s="3">
        <v>3</v>
      </c>
      <c r="J305" s="29" t="str">
        <f t="shared" si="36"/>
        <v>1</v>
      </c>
      <c r="K305" s="54">
        <v>1</v>
      </c>
      <c r="L305" s="69" t="str">
        <f t="shared" si="38"/>
        <v>0</v>
      </c>
      <c r="M305" s="74" t="str">
        <f t="shared" si="39"/>
        <v>1</v>
      </c>
      <c r="N305" s="29" t="str">
        <f t="shared" si="40"/>
        <v>0</v>
      </c>
      <c r="O305" s="61" t="str">
        <f t="shared" ca="1" si="43"/>
        <v>1</v>
      </c>
      <c r="P305" s="65" t="str">
        <f t="shared" si="44"/>
        <v>1</v>
      </c>
      <c r="Q305" s="46">
        <f t="shared" ca="1" si="41"/>
        <v>5</v>
      </c>
      <c r="R305" s="83" t="str">
        <f t="shared" ca="1" si="42"/>
        <v>ผ่าน</v>
      </c>
      <c r="S305" s="3" t="s">
        <v>28</v>
      </c>
    </row>
    <row r="306" spans="1:19" ht="24">
      <c r="A306" s="3">
        <v>305</v>
      </c>
      <c r="B306" s="105">
        <v>6410488221</v>
      </c>
      <c r="C306" s="4" t="s">
        <v>29</v>
      </c>
      <c r="D306" s="4" t="s">
        <v>867</v>
      </c>
      <c r="E306" s="4" t="s">
        <v>868</v>
      </c>
      <c r="F306" s="4" t="s">
        <v>869</v>
      </c>
      <c r="G306" s="4" t="s">
        <v>287</v>
      </c>
      <c r="H306" s="4" t="s">
        <v>761</v>
      </c>
      <c r="I306" s="3">
        <v>3</v>
      </c>
      <c r="J306" s="29" t="str">
        <f t="shared" si="36"/>
        <v>1</v>
      </c>
      <c r="K306" s="54">
        <v>1</v>
      </c>
      <c r="L306" s="69" t="str">
        <f t="shared" si="38"/>
        <v>0</v>
      </c>
      <c r="M306" s="74" t="str">
        <f t="shared" si="39"/>
        <v>1</v>
      </c>
      <c r="N306" s="29" t="str">
        <f t="shared" si="40"/>
        <v>0</v>
      </c>
      <c r="O306" s="61" t="str">
        <f t="shared" ca="1" si="43"/>
        <v>1</v>
      </c>
      <c r="P306" s="65" t="str">
        <f t="shared" si="44"/>
        <v>1</v>
      </c>
      <c r="Q306" s="46">
        <f t="shared" ca="1" si="41"/>
        <v>5</v>
      </c>
      <c r="R306" s="83" t="str">
        <f t="shared" ca="1" si="42"/>
        <v>ผ่าน</v>
      </c>
      <c r="S306" s="3" t="s">
        <v>28</v>
      </c>
    </row>
    <row r="307" spans="1:19" ht="24">
      <c r="A307" s="3">
        <v>306</v>
      </c>
      <c r="B307" s="105">
        <v>6410488224</v>
      </c>
      <c r="C307" s="4" t="s">
        <v>29</v>
      </c>
      <c r="D307" s="4" t="s">
        <v>870</v>
      </c>
      <c r="E307" s="4" t="s">
        <v>871</v>
      </c>
      <c r="F307" s="4" t="s">
        <v>872</v>
      </c>
      <c r="G307" s="4" t="s">
        <v>287</v>
      </c>
      <c r="H307" s="4" t="s">
        <v>761</v>
      </c>
      <c r="I307" s="3">
        <v>3</v>
      </c>
      <c r="J307" s="29" t="str">
        <f t="shared" si="36"/>
        <v>1</v>
      </c>
      <c r="K307" s="54" t="str">
        <f t="shared" si="37"/>
        <v>1</v>
      </c>
      <c r="L307" s="69" t="str">
        <f t="shared" si="38"/>
        <v>0</v>
      </c>
      <c r="M307" s="74" t="str">
        <f t="shared" si="39"/>
        <v>1</v>
      </c>
      <c r="N307" s="29" t="str">
        <f t="shared" si="40"/>
        <v>0</v>
      </c>
      <c r="O307" s="61" t="str">
        <f t="shared" ca="1" si="43"/>
        <v>1</v>
      </c>
      <c r="P307" s="65" t="str">
        <f t="shared" si="44"/>
        <v>1</v>
      </c>
      <c r="Q307" s="46">
        <f t="shared" ca="1" si="41"/>
        <v>5</v>
      </c>
      <c r="R307" s="83" t="str">
        <f t="shared" ca="1" si="42"/>
        <v>ผ่าน</v>
      </c>
      <c r="S307" s="3" t="s">
        <v>28</v>
      </c>
    </row>
    <row r="308" spans="1:19" ht="24">
      <c r="A308" s="3">
        <v>307</v>
      </c>
      <c r="B308" s="105">
        <v>6310488101</v>
      </c>
      <c r="C308" s="4" t="s">
        <v>22</v>
      </c>
      <c r="D308" s="4" t="s">
        <v>873</v>
      </c>
      <c r="E308" s="4" t="s">
        <v>874</v>
      </c>
      <c r="F308" s="4" t="s">
        <v>875</v>
      </c>
      <c r="G308" s="4" t="s">
        <v>287</v>
      </c>
      <c r="H308" s="4" t="s">
        <v>761</v>
      </c>
      <c r="I308" s="3">
        <v>4</v>
      </c>
      <c r="J308" s="29" t="str">
        <f t="shared" si="36"/>
        <v>0</v>
      </c>
      <c r="K308" s="54" t="str">
        <f t="shared" si="37"/>
        <v>0</v>
      </c>
      <c r="L308" s="69" t="str">
        <f t="shared" si="38"/>
        <v>0</v>
      </c>
      <c r="M308" s="74" t="str">
        <f t="shared" si="39"/>
        <v>0</v>
      </c>
      <c r="N308" s="29" t="str">
        <f t="shared" si="40"/>
        <v>0</v>
      </c>
      <c r="O308" s="61">
        <v>1</v>
      </c>
      <c r="P308" s="65">
        <v>1</v>
      </c>
      <c r="Q308" s="46">
        <f t="shared" si="41"/>
        <v>2</v>
      </c>
      <c r="R308" s="3" t="str">
        <f t="shared" si="42"/>
        <v>ไม่ผ่าน</v>
      </c>
      <c r="S308" s="3" t="s">
        <v>28</v>
      </c>
    </row>
    <row r="309" spans="1:19" ht="24">
      <c r="A309" s="3">
        <v>308</v>
      </c>
      <c r="B309" s="105">
        <v>6310488102</v>
      </c>
      <c r="C309" s="4" t="s">
        <v>22</v>
      </c>
      <c r="D309" s="4" t="s">
        <v>876</v>
      </c>
      <c r="E309" s="4" t="s">
        <v>877</v>
      </c>
      <c r="F309" s="4" t="s">
        <v>878</v>
      </c>
      <c r="G309" s="4" t="s">
        <v>287</v>
      </c>
      <c r="H309" s="4" t="s">
        <v>761</v>
      </c>
      <c r="I309" s="3">
        <v>4</v>
      </c>
      <c r="J309" s="29" t="str">
        <f t="shared" si="36"/>
        <v>0</v>
      </c>
      <c r="K309" s="54" t="str">
        <f t="shared" si="37"/>
        <v>0</v>
      </c>
      <c r="L309" s="69" t="str">
        <f t="shared" si="38"/>
        <v>0</v>
      </c>
      <c r="M309" s="74" t="str">
        <f t="shared" si="39"/>
        <v>0</v>
      </c>
      <c r="N309" s="29" t="str">
        <f t="shared" si="40"/>
        <v>0</v>
      </c>
      <c r="O309" s="61">
        <v>1</v>
      </c>
      <c r="P309" s="65">
        <v>1</v>
      </c>
      <c r="Q309" s="46">
        <f t="shared" si="41"/>
        <v>2</v>
      </c>
      <c r="R309" s="3" t="str">
        <f t="shared" si="42"/>
        <v>ไม่ผ่าน</v>
      </c>
      <c r="S309" s="3" t="s">
        <v>28</v>
      </c>
    </row>
    <row r="310" spans="1:19" ht="24">
      <c r="A310" s="3">
        <v>309</v>
      </c>
      <c r="B310" s="105">
        <v>6310488106</v>
      </c>
      <c r="C310" s="4" t="s">
        <v>22</v>
      </c>
      <c r="D310" s="4" t="s">
        <v>879</v>
      </c>
      <c r="E310" s="4" t="s">
        <v>880</v>
      </c>
      <c r="F310" s="4" t="s">
        <v>881</v>
      </c>
      <c r="G310" s="4" t="s">
        <v>287</v>
      </c>
      <c r="H310" s="4" t="s">
        <v>761</v>
      </c>
      <c r="I310" s="3">
        <v>4</v>
      </c>
      <c r="J310" s="29" t="str">
        <f t="shared" si="36"/>
        <v>0</v>
      </c>
      <c r="K310" s="54" t="str">
        <f t="shared" si="37"/>
        <v>0</v>
      </c>
      <c r="L310" s="69" t="str">
        <f t="shared" si="38"/>
        <v>0</v>
      </c>
      <c r="M310" s="74" t="str">
        <f t="shared" si="39"/>
        <v>0</v>
      </c>
      <c r="N310" s="29" t="str">
        <f t="shared" si="40"/>
        <v>0</v>
      </c>
      <c r="O310" s="61">
        <v>1</v>
      </c>
      <c r="P310" s="65">
        <v>1</v>
      </c>
      <c r="Q310" s="46">
        <f t="shared" si="41"/>
        <v>2</v>
      </c>
      <c r="R310" s="3" t="str">
        <f t="shared" si="42"/>
        <v>ไม่ผ่าน</v>
      </c>
      <c r="S310" s="3" t="s">
        <v>28</v>
      </c>
    </row>
    <row r="311" spans="1:19" ht="24">
      <c r="A311" s="3">
        <v>310</v>
      </c>
      <c r="B311" s="105">
        <v>6310488113</v>
      </c>
      <c r="C311" s="4" t="s">
        <v>29</v>
      </c>
      <c r="D311" s="4" t="s">
        <v>642</v>
      </c>
      <c r="E311" s="4" t="s">
        <v>882</v>
      </c>
      <c r="F311" s="4" t="s">
        <v>883</v>
      </c>
      <c r="G311" s="4" t="s">
        <v>287</v>
      </c>
      <c r="H311" s="4" t="s">
        <v>761</v>
      </c>
      <c r="I311" s="3">
        <v>4</v>
      </c>
      <c r="J311" s="29" t="str">
        <f t="shared" si="36"/>
        <v>0</v>
      </c>
      <c r="K311" s="54" t="str">
        <f t="shared" si="37"/>
        <v>0</v>
      </c>
      <c r="L311" s="69" t="str">
        <f t="shared" si="38"/>
        <v>0</v>
      </c>
      <c r="M311" s="74" t="str">
        <f t="shared" si="39"/>
        <v>0</v>
      </c>
      <c r="N311" s="29" t="str">
        <f t="shared" si="40"/>
        <v>0</v>
      </c>
      <c r="O311" s="61">
        <v>1</v>
      </c>
      <c r="P311" s="65">
        <v>1</v>
      </c>
      <c r="Q311" s="46">
        <f t="shared" si="41"/>
        <v>2</v>
      </c>
      <c r="R311" s="3" t="str">
        <f t="shared" si="42"/>
        <v>ไม่ผ่าน</v>
      </c>
      <c r="S311" s="3" t="s">
        <v>28</v>
      </c>
    </row>
    <row r="312" spans="1:19" ht="24">
      <c r="A312" s="3">
        <v>311</v>
      </c>
      <c r="B312" s="105">
        <v>6310488117</v>
      </c>
      <c r="C312" s="4" t="s">
        <v>599</v>
      </c>
      <c r="D312" s="4" t="s">
        <v>884</v>
      </c>
      <c r="E312" s="4" t="s">
        <v>885</v>
      </c>
      <c r="F312" s="4" t="s">
        <v>784</v>
      </c>
      <c r="G312" s="4" t="s">
        <v>287</v>
      </c>
      <c r="H312" s="4" t="s">
        <v>761</v>
      </c>
      <c r="I312" s="3">
        <v>4</v>
      </c>
      <c r="J312" s="29" t="str">
        <f t="shared" si="36"/>
        <v>0</v>
      </c>
      <c r="K312" s="54" t="str">
        <f t="shared" si="37"/>
        <v>0</v>
      </c>
      <c r="L312" s="69" t="str">
        <f t="shared" si="38"/>
        <v>0</v>
      </c>
      <c r="M312" s="74" t="str">
        <f t="shared" si="39"/>
        <v>0</v>
      </c>
      <c r="N312" s="29" t="str">
        <f t="shared" si="40"/>
        <v>0</v>
      </c>
      <c r="O312" s="61">
        <v>1</v>
      </c>
      <c r="P312" s="65">
        <v>1</v>
      </c>
      <c r="Q312" s="46">
        <f t="shared" si="41"/>
        <v>2</v>
      </c>
      <c r="R312" s="3" t="str">
        <f t="shared" si="42"/>
        <v>ไม่ผ่าน</v>
      </c>
      <c r="S312" s="3" t="s">
        <v>28</v>
      </c>
    </row>
    <row r="313" spans="1:19" ht="24">
      <c r="A313" s="3">
        <v>312</v>
      </c>
      <c r="B313" s="105">
        <v>6310488118</v>
      </c>
      <c r="C313" s="4" t="s">
        <v>29</v>
      </c>
      <c r="D313" s="4" t="s">
        <v>886</v>
      </c>
      <c r="E313" s="4" t="s">
        <v>887</v>
      </c>
      <c r="F313" s="4" t="s">
        <v>888</v>
      </c>
      <c r="G313" s="4" t="s">
        <v>287</v>
      </c>
      <c r="H313" s="4" t="s">
        <v>761</v>
      </c>
      <c r="I313" s="3">
        <v>4</v>
      </c>
      <c r="J313" s="29" t="str">
        <f t="shared" si="36"/>
        <v>0</v>
      </c>
      <c r="K313" s="54" t="str">
        <f t="shared" si="37"/>
        <v>1</v>
      </c>
      <c r="L313" s="69" t="str">
        <f t="shared" si="38"/>
        <v>0</v>
      </c>
      <c r="M313" s="74" t="str">
        <f t="shared" si="39"/>
        <v>1</v>
      </c>
      <c r="N313" s="29" t="str">
        <f t="shared" si="40"/>
        <v>0</v>
      </c>
      <c r="O313" s="61">
        <v>1</v>
      </c>
      <c r="P313" s="65">
        <v>1</v>
      </c>
      <c r="Q313" s="46">
        <f t="shared" si="41"/>
        <v>4</v>
      </c>
      <c r="R313" s="83" t="str">
        <f t="shared" si="42"/>
        <v>ผ่าน</v>
      </c>
      <c r="S313" s="3" t="s">
        <v>28</v>
      </c>
    </row>
    <row r="314" spans="1:19" ht="24">
      <c r="A314" s="3">
        <v>313</v>
      </c>
      <c r="B314" s="106">
        <v>6310488118</v>
      </c>
      <c r="C314" s="6" t="s">
        <v>29</v>
      </c>
      <c r="D314" s="6" t="s">
        <v>886</v>
      </c>
      <c r="E314" s="4" t="s">
        <v>887</v>
      </c>
      <c r="F314" s="6" t="s">
        <v>888</v>
      </c>
      <c r="G314" s="6" t="s">
        <v>287</v>
      </c>
      <c r="H314" s="6" t="s">
        <v>761</v>
      </c>
      <c r="I314" s="5">
        <v>4</v>
      </c>
      <c r="J314" s="29" t="str">
        <f t="shared" si="36"/>
        <v>0</v>
      </c>
      <c r="K314" s="54" t="str">
        <f t="shared" si="37"/>
        <v>1</v>
      </c>
      <c r="L314" s="69" t="str">
        <f t="shared" si="38"/>
        <v>0</v>
      </c>
      <c r="M314" s="74" t="str">
        <f t="shared" si="39"/>
        <v>1</v>
      </c>
      <c r="N314" s="29" t="str">
        <f t="shared" si="40"/>
        <v>0</v>
      </c>
      <c r="O314" s="61">
        <v>1</v>
      </c>
      <c r="P314" s="65">
        <v>1</v>
      </c>
      <c r="Q314" s="46">
        <f t="shared" si="41"/>
        <v>4</v>
      </c>
      <c r="R314" s="83" t="str">
        <f t="shared" si="42"/>
        <v>ผ่าน</v>
      </c>
      <c r="S314" s="3" t="s">
        <v>28</v>
      </c>
    </row>
    <row r="315" spans="1:19" ht="24">
      <c r="A315" s="3">
        <v>314</v>
      </c>
      <c r="B315" s="105">
        <v>6310488120</v>
      </c>
      <c r="C315" s="4" t="s">
        <v>29</v>
      </c>
      <c r="D315" s="4" t="s">
        <v>889</v>
      </c>
      <c r="E315" s="4" t="s">
        <v>890</v>
      </c>
      <c r="F315" s="4" t="s">
        <v>891</v>
      </c>
      <c r="G315" s="4" t="s">
        <v>287</v>
      </c>
      <c r="H315" s="4" t="s">
        <v>761</v>
      </c>
      <c r="I315" s="3">
        <v>4</v>
      </c>
      <c r="J315" s="29" t="str">
        <f t="shared" si="36"/>
        <v>1</v>
      </c>
      <c r="K315" s="54" t="str">
        <f t="shared" si="37"/>
        <v>1</v>
      </c>
      <c r="L315" s="69" t="str">
        <f t="shared" si="38"/>
        <v>0</v>
      </c>
      <c r="M315" s="74" t="str">
        <f t="shared" si="39"/>
        <v>0</v>
      </c>
      <c r="N315" s="29" t="str">
        <f t="shared" si="40"/>
        <v>1</v>
      </c>
      <c r="O315" s="61">
        <v>1</v>
      </c>
      <c r="P315" s="65">
        <v>1</v>
      </c>
      <c r="Q315" s="46">
        <f t="shared" si="41"/>
        <v>5</v>
      </c>
      <c r="R315" s="83" t="str">
        <f t="shared" si="42"/>
        <v>ผ่าน</v>
      </c>
      <c r="S315" s="3" t="s">
        <v>28</v>
      </c>
    </row>
    <row r="316" spans="1:19" ht="24">
      <c r="A316" s="3">
        <v>315</v>
      </c>
      <c r="B316" s="105">
        <v>6310488122</v>
      </c>
      <c r="C316" s="4" t="s">
        <v>29</v>
      </c>
      <c r="D316" s="4" t="s">
        <v>892</v>
      </c>
      <c r="E316" s="4" t="s">
        <v>893</v>
      </c>
      <c r="F316" s="4" t="s">
        <v>894</v>
      </c>
      <c r="G316" s="4" t="s">
        <v>287</v>
      </c>
      <c r="H316" s="4" t="s">
        <v>761</v>
      </c>
      <c r="I316" s="3">
        <v>4</v>
      </c>
      <c r="J316" s="29" t="str">
        <f t="shared" si="36"/>
        <v>1</v>
      </c>
      <c r="K316" s="54" t="str">
        <f t="shared" si="37"/>
        <v>1</v>
      </c>
      <c r="L316" s="69" t="str">
        <f t="shared" si="38"/>
        <v>0</v>
      </c>
      <c r="M316" s="74" t="str">
        <f t="shared" si="39"/>
        <v>1</v>
      </c>
      <c r="N316" s="29" t="str">
        <f t="shared" si="40"/>
        <v>0</v>
      </c>
      <c r="O316" s="61">
        <v>1</v>
      </c>
      <c r="P316" s="65">
        <v>1</v>
      </c>
      <c r="Q316" s="46">
        <f t="shared" si="41"/>
        <v>5</v>
      </c>
      <c r="R316" s="83" t="str">
        <f t="shared" si="42"/>
        <v>ผ่าน</v>
      </c>
      <c r="S316" s="3" t="s">
        <v>28</v>
      </c>
    </row>
    <row r="317" spans="1:19" ht="24">
      <c r="A317" s="3">
        <v>316</v>
      </c>
      <c r="B317" s="105">
        <v>6310488128</v>
      </c>
      <c r="C317" s="4" t="s">
        <v>29</v>
      </c>
      <c r="D317" s="4" t="s">
        <v>149</v>
      </c>
      <c r="E317" s="4" t="s">
        <v>895</v>
      </c>
      <c r="F317" s="4" t="s">
        <v>300</v>
      </c>
      <c r="G317" s="4" t="s">
        <v>287</v>
      </c>
      <c r="H317" s="4" t="s">
        <v>761</v>
      </c>
      <c r="I317" s="3">
        <v>4</v>
      </c>
      <c r="J317" s="29" t="str">
        <f t="shared" si="36"/>
        <v>0</v>
      </c>
      <c r="K317" s="54" t="str">
        <f t="shared" si="37"/>
        <v>0</v>
      </c>
      <c r="L317" s="69" t="str">
        <f t="shared" si="38"/>
        <v>0</v>
      </c>
      <c r="M317" s="74" t="str">
        <f t="shared" si="39"/>
        <v>0</v>
      </c>
      <c r="N317" s="29" t="str">
        <f t="shared" si="40"/>
        <v>0</v>
      </c>
      <c r="O317" s="61">
        <v>1</v>
      </c>
      <c r="P317" s="65">
        <v>1</v>
      </c>
      <c r="Q317" s="46">
        <f t="shared" si="41"/>
        <v>2</v>
      </c>
      <c r="R317" s="3" t="str">
        <f t="shared" si="42"/>
        <v>ไม่ผ่าน</v>
      </c>
      <c r="S317" s="3" t="s">
        <v>28</v>
      </c>
    </row>
    <row r="318" spans="1:19" ht="24">
      <c r="A318" s="3">
        <v>317</v>
      </c>
      <c r="B318" s="105">
        <v>6310488133</v>
      </c>
      <c r="C318" s="4" t="s">
        <v>29</v>
      </c>
      <c r="D318" s="4" t="s">
        <v>896</v>
      </c>
      <c r="E318" s="4" t="s">
        <v>897</v>
      </c>
      <c r="F318" s="4" t="s">
        <v>898</v>
      </c>
      <c r="G318" s="4" t="s">
        <v>287</v>
      </c>
      <c r="H318" s="4" t="s">
        <v>761</v>
      </c>
      <c r="I318" s="3">
        <v>4</v>
      </c>
      <c r="J318" s="29" t="str">
        <f t="shared" si="36"/>
        <v>0</v>
      </c>
      <c r="K318" s="54" t="str">
        <f t="shared" si="37"/>
        <v>0</v>
      </c>
      <c r="L318" s="69" t="str">
        <f t="shared" si="38"/>
        <v>0</v>
      </c>
      <c r="M318" s="74" t="str">
        <f t="shared" si="39"/>
        <v>0</v>
      </c>
      <c r="N318" s="29" t="str">
        <f t="shared" si="40"/>
        <v>0</v>
      </c>
      <c r="O318" s="61">
        <v>1</v>
      </c>
      <c r="P318" s="65">
        <v>1</v>
      </c>
      <c r="Q318" s="46">
        <f t="shared" si="41"/>
        <v>2</v>
      </c>
      <c r="R318" s="3" t="str">
        <f t="shared" si="42"/>
        <v>ไม่ผ่าน</v>
      </c>
      <c r="S318" s="3" t="s">
        <v>28</v>
      </c>
    </row>
    <row r="319" spans="1:19" ht="24">
      <c r="A319" s="3">
        <v>318</v>
      </c>
      <c r="B319" s="105">
        <v>6310488136</v>
      </c>
      <c r="C319" s="4" t="s">
        <v>29</v>
      </c>
      <c r="D319" s="4" t="s">
        <v>899</v>
      </c>
      <c r="E319" s="4" t="s">
        <v>900</v>
      </c>
      <c r="F319" s="4" t="s">
        <v>59</v>
      </c>
      <c r="G319" s="4" t="s">
        <v>287</v>
      </c>
      <c r="H319" s="4" t="s">
        <v>761</v>
      </c>
      <c r="I319" s="3">
        <v>4</v>
      </c>
      <c r="J319" s="29" t="str">
        <f t="shared" si="36"/>
        <v>0</v>
      </c>
      <c r="K319" s="54" t="str">
        <f t="shared" si="37"/>
        <v>0</v>
      </c>
      <c r="L319" s="69" t="str">
        <f t="shared" si="38"/>
        <v>0</v>
      </c>
      <c r="M319" s="74" t="str">
        <f t="shared" si="39"/>
        <v>0</v>
      </c>
      <c r="N319" s="29" t="str">
        <f t="shared" si="40"/>
        <v>0</v>
      </c>
      <c r="O319" s="61">
        <v>1</v>
      </c>
      <c r="P319" s="65">
        <v>1</v>
      </c>
      <c r="Q319" s="46">
        <f t="shared" si="41"/>
        <v>2</v>
      </c>
      <c r="R319" s="3" t="str">
        <f t="shared" si="42"/>
        <v>ไม่ผ่าน</v>
      </c>
      <c r="S319" s="3" t="s">
        <v>28</v>
      </c>
    </row>
    <row r="320" spans="1:19" ht="24">
      <c r="A320" s="3">
        <v>319</v>
      </c>
      <c r="B320" s="105">
        <v>6310488204</v>
      </c>
      <c r="C320" s="4" t="s">
        <v>22</v>
      </c>
      <c r="D320" s="4" t="s">
        <v>901</v>
      </c>
      <c r="E320" s="4" t="s">
        <v>902</v>
      </c>
      <c r="F320" s="4" t="s">
        <v>903</v>
      </c>
      <c r="G320" s="4" t="s">
        <v>287</v>
      </c>
      <c r="H320" s="4" t="s">
        <v>761</v>
      </c>
      <c r="I320" s="3">
        <v>4</v>
      </c>
      <c r="J320" s="29" t="str">
        <f t="shared" si="36"/>
        <v>0</v>
      </c>
      <c r="K320" s="54" t="str">
        <f t="shared" si="37"/>
        <v>0</v>
      </c>
      <c r="L320" s="69" t="str">
        <f t="shared" si="38"/>
        <v>0</v>
      </c>
      <c r="M320" s="74" t="str">
        <f t="shared" si="39"/>
        <v>0</v>
      </c>
      <c r="N320" s="29" t="str">
        <f t="shared" si="40"/>
        <v>0</v>
      </c>
      <c r="O320" s="61">
        <v>1</v>
      </c>
      <c r="P320" s="65">
        <v>1</v>
      </c>
      <c r="Q320" s="46">
        <f t="shared" si="41"/>
        <v>2</v>
      </c>
      <c r="R320" s="3" t="str">
        <f t="shared" si="42"/>
        <v>ไม่ผ่าน</v>
      </c>
      <c r="S320" s="3" t="s">
        <v>28</v>
      </c>
    </row>
    <row r="321" spans="1:19" ht="24">
      <c r="A321" s="3">
        <v>320</v>
      </c>
      <c r="B321" s="105">
        <v>6310488205</v>
      </c>
      <c r="C321" s="4" t="s">
        <v>22</v>
      </c>
      <c r="D321" s="4" t="s">
        <v>904</v>
      </c>
      <c r="E321" s="4" t="s">
        <v>905</v>
      </c>
      <c r="F321" s="4" t="s">
        <v>906</v>
      </c>
      <c r="G321" s="4" t="s">
        <v>287</v>
      </c>
      <c r="H321" s="4" t="s">
        <v>761</v>
      </c>
      <c r="I321" s="3">
        <v>4</v>
      </c>
      <c r="J321" s="29" t="str">
        <f t="shared" si="36"/>
        <v>1</v>
      </c>
      <c r="K321" s="54" t="str">
        <f t="shared" si="37"/>
        <v>1</v>
      </c>
      <c r="L321" s="69" t="str">
        <f t="shared" si="38"/>
        <v>0</v>
      </c>
      <c r="M321" s="74" t="str">
        <f t="shared" si="39"/>
        <v>1</v>
      </c>
      <c r="N321" s="29" t="str">
        <f t="shared" si="40"/>
        <v>0</v>
      </c>
      <c r="O321" s="61">
        <v>1</v>
      </c>
      <c r="P321" s="65">
        <v>1</v>
      </c>
      <c r="Q321" s="46">
        <f t="shared" si="41"/>
        <v>5</v>
      </c>
      <c r="R321" s="83" t="str">
        <f t="shared" si="42"/>
        <v>ผ่าน</v>
      </c>
      <c r="S321" s="3" t="s">
        <v>28</v>
      </c>
    </row>
    <row r="322" spans="1:19" ht="24">
      <c r="A322" s="3">
        <v>321</v>
      </c>
      <c r="B322" s="105">
        <v>6310488214</v>
      </c>
      <c r="C322" s="4" t="s">
        <v>29</v>
      </c>
      <c r="D322" s="4" t="s">
        <v>907</v>
      </c>
      <c r="E322" s="4" t="s">
        <v>908</v>
      </c>
      <c r="F322" s="4" t="s">
        <v>909</v>
      </c>
      <c r="G322" s="4" t="s">
        <v>287</v>
      </c>
      <c r="H322" s="4" t="s">
        <v>761</v>
      </c>
      <c r="I322" s="3">
        <v>4</v>
      </c>
      <c r="J322" s="29" t="str">
        <f t="shared" ref="J322:J385" si="45">IF(IFERROR(VLOOKUP(B322,DATA,1,FALSE),),"1","0")</f>
        <v>0</v>
      </c>
      <c r="K322" s="54" t="str">
        <f t="shared" ref="K322:K335" si="46">IF(IFERROR(VLOOKUP(B322,DATA8,1,FALSE),),"1","0")</f>
        <v>1</v>
      </c>
      <c r="L322" s="69" t="str">
        <f t="shared" ref="L322:L385" si="47">IF(IFERROR(VLOOKUP(B322,DATA7,1,FALSE),),"1","0")</f>
        <v>0</v>
      </c>
      <c r="M322" s="74" t="str">
        <f t="shared" ref="M322:M385" si="48">IF(IFERROR(VLOOKUP(B322,DATA9,1,FALSE),),"1","0")</f>
        <v>1</v>
      </c>
      <c r="N322" s="29" t="str">
        <f t="shared" ref="N322:N385" si="49">IF(IFERROR(VLOOKUP(B322,DATA10,1,FALSE),),"1","0")</f>
        <v>0</v>
      </c>
      <c r="O322" s="61">
        <v>1</v>
      </c>
      <c r="P322" s="65">
        <v>1</v>
      </c>
      <c r="Q322" s="46">
        <f t="shared" si="41"/>
        <v>4</v>
      </c>
      <c r="R322" s="83" t="str">
        <f t="shared" si="42"/>
        <v>ผ่าน</v>
      </c>
      <c r="S322" s="3" t="s">
        <v>28</v>
      </c>
    </row>
    <row r="323" spans="1:19" ht="24">
      <c r="A323" s="3">
        <v>322</v>
      </c>
      <c r="B323" s="105">
        <v>6310488215</v>
      </c>
      <c r="C323" s="4" t="s">
        <v>29</v>
      </c>
      <c r="D323" s="4" t="s">
        <v>910</v>
      </c>
      <c r="E323" s="4" t="s">
        <v>911</v>
      </c>
      <c r="F323" s="4" t="s">
        <v>912</v>
      </c>
      <c r="G323" s="4" t="s">
        <v>287</v>
      </c>
      <c r="H323" s="4" t="s">
        <v>761</v>
      </c>
      <c r="I323" s="3">
        <v>4</v>
      </c>
      <c r="J323" s="29" t="str">
        <f t="shared" si="45"/>
        <v>0</v>
      </c>
      <c r="K323" s="54">
        <v>1</v>
      </c>
      <c r="L323" s="69" t="str">
        <f t="shared" si="47"/>
        <v>0</v>
      </c>
      <c r="M323" s="74" t="str">
        <f t="shared" si="48"/>
        <v>0</v>
      </c>
      <c r="N323" s="29" t="str">
        <f t="shared" si="49"/>
        <v>0</v>
      </c>
      <c r="O323" s="61">
        <v>1</v>
      </c>
      <c r="P323" s="65">
        <v>1</v>
      </c>
      <c r="Q323" s="46">
        <f t="shared" ref="Q323:Q386" si="50">J323+K323+L323+M323+N323+O323+P323</f>
        <v>3</v>
      </c>
      <c r="R323" s="83" t="str">
        <f t="shared" ref="R323:R386" si="51">IF(Q323&gt;=3,"ผ่าน",IF(Q323&lt;3,"ไม่ผ่าน"))</f>
        <v>ผ่าน</v>
      </c>
      <c r="S323" s="3" t="s">
        <v>28</v>
      </c>
    </row>
    <row r="324" spans="1:19" ht="24">
      <c r="A324" s="3">
        <v>323</v>
      </c>
      <c r="B324" s="105">
        <v>6310488219</v>
      </c>
      <c r="C324" s="4" t="s">
        <v>29</v>
      </c>
      <c r="D324" s="4" t="s">
        <v>913</v>
      </c>
      <c r="E324" s="4" t="s">
        <v>914</v>
      </c>
      <c r="F324" s="4" t="s">
        <v>915</v>
      </c>
      <c r="G324" s="4" t="s">
        <v>287</v>
      </c>
      <c r="H324" s="4" t="s">
        <v>761</v>
      </c>
      <c r="I324" s="3">
        <v>4</v>
      </c>
      <c r="J324" s="29" t="str">
        <f t="shared" si="45"/>
        <v>1</v>
      </c>
      <c r="K324" s="54" t="str">
        <f t="shared" si="46"/>
        <v>1</v>
      </c>
      <c r="L324" s="69" t="str">
        <f t="shared" si="47"/>
        <v>0</v>
      </c>
      <c r="M324" s="74" t="str">
        <f t="shared" si="48"/>
        <v>0</v>
      </c>
      <c r="N324" s="29" t="str">
        <f t="shared" si="49"/>
        <v>1</v>
      </c>
      <c r="O324" s="61">
        <v>1</v>
      </c>
      <c r="P324" s="65">
        <v>1</v>
      </c>
      <c r="Q324" s="46">
        <f t="shared" si="50"/>
        <v>5</v>
      </c>
      <c r="R324" s="83" t="str">
        <f t="shared" si="51"/>
        <v>ผ่าน</v>
      </c>
      <c r="S324" s="3" t="s">
        <v>28</v>
      </c>
    </row>
    <row r="325" spans="1:19" ht="24">
      <c r="A325" s="3">
        <v>324</v>
      </c>
      <c r="B325" s="105">
        <v>6310488220</v>
      </c>
      <c r="C325" s="4" t="s">
        <v>29</v>
      </c>
      <c r="D325" s="4" t="s">
        <v>916</v>
      </c>
      <c r="E325" s="4" t="s">
        <v>917</v>
      </c>
      <c r="F325" s="4" t="s">
        <v>918</v>
      </c>
      <c r="G325" s="4" t="s">
        <v>287</v>
      </c>
      <c r="H325" s="4" t="s">
        <v>761</v>
      </c>
      <c r="I325" s="3">
        <v>4</v>
      </c>
      <c r="J325" s="29" t="str">
        <f t="shared" si="45"/>
        <v>0</v>
      </c>
      <c r="K325" s="54" t="str">
        <f t="shared" si="46"/>
        <v>1</v>
      </c>
      <c r="L325" s="69" t="str">
        <f t="shared" si="47"/>
        <v>0</v>
      </c>
      <c r="M325" s="74" t="str">
        <f t="shared" si="48"/>
        <v>1</v>
      </c>
      <c r="N325" s="29" t="str">
        <f t="shared" si="49"/>
        <v>0</v>
      </c>
      <c r="O325" s="61">
        <v>1</v>
      </c>
      <c r="P325" s="65">
        <v>1</v>
      </c>
      <c r="Q325" s="46">
        <f t="shared" si="50"/>
        <v>4</v>
      </c>
      <c r="R325" s="83" t="str">
        <f t="shared" si="51"/>
        <v>ผ่าน</v>
      </c>
      <c r="S325" s="3" t="s">
        <v>28</v>
      </c>
    </row>
    <row r="326" spans="1:19" ht="24">
      <c r="A326" s="3">
        <v>325</v>
      </c>
      <c r="B326" s="105">
        <v>6310488222</v>
      </c>
      <c r="C326" s="4" t="s">
        <v>29</v>
      </c>
      <c r="D326" s="4" t="s">
        <v>919</v>
      </c>
      <c r="E326" s="4" t="s">
        <v>920</v>
      </c>
      <c r="F326" s="4" t="s">
        <v>921</v>
      </c>
      <c r="G326" s="4" t="s">
        <v>287</v>
      </c>
      <c r="H326" s="4" t="s">
        <v>761</v>
      </c>
      <c r="I326" s="3">
        <v>4</v>
      </c>
      <c r="J326" s="29" t="str">
        <f t="shared" si="45"/>
        <v>0</v>
      </c>
      <c r="K326" s="54">
        <v>1</v>
      </c>
      <c r="L326" s="69" t="str">
        <f t="shared" si="47"/>
        <v>0</v>
      </c>
      <c r="M326" s="74" t="str">
        <f t="shared" si="48"/>
        <v>1</v>
      </c>
      <c r="N326" s="29" t="str">
        <f t="shared" si="49"/>
        <v>0</v>
      </c>
      <c r="O326" s="61">
        <v>1</v>
      </c>
      <c r="P326" s="65">
        <v>1</v>
      </c>
      <c r="Q326" s="46">
        <f t="shared" si="50"/>
        <v>4</v>
      </c>
      <c r="R326" s="83" t="str">
        <f t="shared" si="51"/>
        <v>ผ่าน</v>
      </c>
      <c r="S326" s="3" t="s">
        <v>28</v>
      </c>
    </row>
    <row r="327" spans="1:19" ht="24">
      <c r="A327" s="3">
        <v>326</v>
      </c>
      <c r="B327" s="105">
        <v>6310488227</v>
      </c>
      <c r="C327" s="4" t="s">
        <v>29</v>
      </c>
      <c r="D327" s="4" t="s">
        <v>922</v>
      </c>
      <c r="E327" s="4" t="s">
        <v>923</v>
      </c>
      <c r="F327" s="4" t="s">
        <v>924</v>
      </c>
      <c r="G327" s="4" t="s">
        <v>287</v>
      </c>
      <c r="H327" s="4" t="s">
        <v>761</v>
      </c>
      <c r="I327" s="3">
        <v>4</v>
      </c>
      <c r="J327" s="29" t="str">
        <f t="shared" si="45"/>
        <v>1</v>
      </c>
      <c r="K327" s="54">
        <v>1</v>
      </c>
      <c r="L327" s="69" t="str">
        <f t="shared" si="47"/>
        <v>0</v>
      </c>
      <c r="M327" s="74" t="str">
        <f t="shared" si="48"/>
        <v>1</v>
      </c>
      <c r="N327" s="29" t="str">
        <f t="shared" si="49"/>
        <v>0</v>
      </c>
      <c r="O327" s="61">
        <v>1</v>
      </c>
      <c r="P327" s="65">
        <v>1</v>
      </c>
      <c r="Q327" s="46">
        <f t="shared" si="50"/>
        <v>5</v>
      </c>
      <c r="R327" s="83" t="str">
        <f t="shared" si="51"/>
        <v>ผ่าน</v>
      </c>
      <c r="S327" s="3" t="s">
        <v>28</v>
      </c>
    </row>
    <row r="328" spans="1:19" ht="24">
      <c r="A328" s="3">
        <v>327</v>
      </c>
      <c r="B328" s="105">
        <v>6310488231</v>
      </c>
      <c r="C328" s="4" t="s">
        <v>29</v>
      </c>
      <c r="D328" s="4" t="s">
        <v>925</v>
      </c>
      <c r="E328" s="4" t="s">
        <v>926</v>
      </c>
      <c r="F328" s="4" t="s">
        <v>927</v>
      </c>
      <c r="G328" s="4" t="s">
        <v>287</v>
      </c>
      <c r="H328" s="4" t="s">
        <v>761</v>
      </c>
      <c r="I328" s="3">
        <v>4</v>
      </c>
      <c r="J328" s="29" t="str">
        <f t="shared" si="45"/>
        <v>0</v>
      </c>
      <c r="K328" s="54" t="str">
        <f t="shared" si="46"/>
        <v>1</v>
      </c>
      <c r="L328" s="69" t="str">
        <f t="shared" si="47"/>
        <v>0</v>
      </c>
      <c r="M328" s="74" t="str">
        <f t="shared" si="48"/>
        <v>1</v>
      </c>
      <c r="N328" s="29" t="str">
        <f t="shared" si="49"/>
        <v>0</v>
      </c>
      <c r="O328" s="61">
        <v>1</v>
      </c>
      <c r="P328" s="65">
        <v>1</v>
      </c>
      <c r="Q328" s="46">
        <f t="shared" si="50"/>
        <v>4</v>
      </c>
      <c r="R328" s="83" t="str">
        <f t="shared" si="51"/>
        <v>ผ่าน</v>
      </c>
      <c r="S328" s="3" t="s">
        <v>28</v>
      </c>
    </row>
    <row r="329" spans="1:19" ht="24">
      <c r="A329" s="3">
        <v>328</v>
      </c>
      <c r="B329" s="105">
        <v>6610414115</v>
      </c>
      <c r="C329" s="4" t="s">
        <v>29</v>
      </c>
      <c r="D329" s="4" t="s">
        <v>928</v>
      </c>
      <c r="E329" s="4" t="s">
        <v>929</v>
      </c>
      <c r="F329" s="4" t="s">
        <v>154</v>
      </c>
      <c r="G329" s="4" t="s">
        <v>287</v>
      </c>
      <c r="H329" s="4" t="s">
        <v>930</v>
      </c>
      <c r="I329" s="3">
        <v>1</v>
      </c>
      <c r="J329" s="29" t="str">
        <f t="shared" si="45"/>
        <v>1</v>
      </c>
      <c r="K329" s="54">
        <v>1</v>
      </c>
      <c r="L329" s="69" t="str">
        <f t="shared" si="47"/>
        <v>0</v>
      </c>
      <c r="M329" s="74" t="str">
        <f t="shared" si="48"/>
        <v>0</v>
      </c>
      <c r="N329" s="29" t="str">
        <f t="shared" si="49"/>
        <v>1</v>
      </c>
      <c r="O329" s="61" t="str">
        <f t="shared" ref="O329:O392" ca="1" si="52">IF(IFERROR(VLOOKUP(B329,DATA11,1,FALSE),),"1","0")</f>
        <v>1</v>
      </c>
      <c r="P329" s="65" t="str">
        <f t="shared" ref="P329:P392" si="53">IF(IFERROR(VLOOKUP(B329,DATA12,1,FALSE),),"1","0")</f>
        <v>1</v>
      </c>
      <c r="Q329" s="46">
        <f t="shared" ca="1" si="50"/>
        <v>5</v>
      </c>
      <c r="R329" s="83" t="str">
        <f t="shared" ca="1" si="51"/>
        <v>ผ่าน</v>
      </c>
      <c r="S329" s="3" t="s">
        <v>28</v>
      </c>
    </row>
    <row r="330" spans="1:19" ht="24">
      <c r="A330" s="3">
        <v>329</v>
      </c>
      <c r="B330" s="105">
        <v>6610414128</v>
      </c>
      <c r="C330" s="4" t="s">
        <v>29</v>
      </c>
      <c r="D330" s="4" t="s">
        <v>378</v>
      </c>
      <c r="E330" s="4" t="s">
        <v>931</v>
      </c>
      <c r="F330" s="4" t="s">
        <v>672</v>
      </c>
      <c r="G330" s="4" t="s">
        <v>287</v>
      </c>
      <c r="H330" s="4" t="s">
        <v>930</v>
      </c>
      <c r="I330" s="3">
        <v>1</v>
      </c>
      <c r="J330" s="29" t="str">
        <f t="shared" si="45"/>
        <v>1</v>
      </c>
      <c r="K330" s="54">
        <v>1</v>
      </c>
      <c r="L330" s="69" t="str">
        <f t="shared" si="47"/>
        <v>0</v>
      </c>
      <c r="M330" s="74" t="str">
        <f t="shared" si="48"/>
        <v>0</v>
      </c>
      <c r="N330" s="29" t="str">
        <f t="shared" si="49"/>
        <v>1</v>
      </c>
      <c r="O330" s="61" t="str">
        <f t="shared" ca="1" si="52"/>
        <v>1</v>
      </c>
      <c r="P330" s="65" t="str">
        <f t="shared" si="53"/>
        <v>1</v>
      </c>
      <c r="Q330" s="46">
        <f t="shared" ca="1" si="50"/>
        <v>5</v>
      </c>
      <c r="R330" s="83" t="str">
        <f t="shared" ca="1" si="51"/>
        <v>ผ่าน</v>
      </c>
      <c r="S330" s="3" t="s">
        <v>28</v>
      </c>
    </row>
    <row r="331" spans="1:19" ht="24">
      <c r="A331" s="3">
        <v>330</v>
      </c>
      <c r="B331" s="105">
        <v>6610414201</v>
      </c>
      <c r="C331" s="4" t="s">
        <v>22</v>
      </c>
      <c r="D331" s="4" t="s">
        <v>932</v>
      </c>
      <c r="E331" s="4" t="s">
        <v>933</v>
      </c>
      <c r="F331" s="4" t="s">
        <v>934</v>
      </c>
      <c r="G331" s="4" t="s">
        <v>287</v>
      </c>
      <c r="H331" s="4" t="s">
        <v>930</v>
      </c>
      <c r="I331" s="3">
        <v>1</v>
      </c>
      <c r="J331" s="29" t="str">
        <f t="shared" si="45"/>
        <v>1</v>
      </c>
      <c r="K331" s="54" t="str">
        <f t="shared" si="46"/>
        <v>1</v>
      </c>
      <c r="L331" s="69" t="str">
        <f t="shared" si="47"/>
        <v>0</v>
      </c>
      <c r="M331" s="74" t="str">
        <f t="shared" si="48"/>
        <v>1</v>
      </c>
      <c r="N331" s="29" t="str">
        <f t="shared" si="49"/>
        <v>0</v>
      </c>
      <c r="O331" s="61" t="str">
        <f t="shared" ca="1" si="52"/>
        <v>1</v>
      </c>
      <c r="P331" s="65" t="str">
        <f t="shared" si="53"/>
        <v>1</v>
      </c>
      <c r="Q331" s="46">
        <f t="shared" ca="1" si="50"/>
        <v>5</v>
      </c>
      <c r="R331" s="83" t="str">
        <f t="shared" ca="1" si="51"/>
        <v>ผ่าน</v>
      </c>
      <c r="S331" s="3" t="s">
        <v>28</v>
      </c>
    </row>
    <row r="332" spans="1:19" ht="24">
      <c r="A332" s="3">
        <v>331</v>
      </c>
      <c r="B332" s="105">
        <v>6610414208</v>
      </c>
      <c r="C332" s="4" t="s">
        <v>29</v>
      </c>
      <c r="D332" s="4" t="s">
        <v>48</v>
      </c>
      <c r="E332" s="4" t="s">
        <v>935</v>
      </c>
      <c r="F332" s="4" t="s">
        <v>936</v>
      </c>
      <c r="G332" s="4" t="s">
        <v>287</v>
      </c>
      <c r="H332" s="4" t="s">
        <v>930</v>
      </c>
      <c r="I332" s="3">
        <v>1</v>
      </c>
      <c r="J332" s="29" t="str">
        <f t="shared" si="45"/>
        <v>1</v>
      </c>
      <c r="K332" s="54" t="str">
        <f t="shared" si="46"/>
        <v>0</v>
      </c>
      <c r="L332" s="69" t="str">
        <f t="shared" si="47"/>
        <v>1</v>
      </c>
      <c r="M332" s="74" t="str">
        <f t="shared" si="48"/>
        <v>0</v>
      </c>
      <c r="N332" s="29" t="str">
        <f t="shared" si="49"/>
        <v>1</v>
      </c>
      <c r="O332" s="61" t="str">
        <f t="shared" ca="1" si="52"/>
        <v>1</v>
      </c>
      <c r="P332" s="65" t="str">
        <f t="shared" si="53"/>
        <v>1</v>
      </c>
      <c r="Q332" s="46">
        <f t="shared" ca="1" si="50"/>
        <v>5</v>
      </c>
      <c r="R332" s="83" t="str">
        <f t="shared" ca="1" si="51"/>
        <v>ผ่าน</v>
      </c>
      <c r="S332" s="3" t="s">
        <v>28</v>
      </c>
    </row>
    <row r="333" spans="1:19" ht="24">
      <c r="A333" s="3">
        <v>332</v>
      </c>
      <c r="B333" s="105">
        <v>6610414217</v>
      </c>
      <c r="C333" s="4" t="s">
        <v>29</v>
      </c>
      <c r="D333" s="4" t="s">
        <v>234</v>
      </c>
      <c r="E333" s="4" t="s">
        <v>937</v>
      </c>
      <c r="F333" s="4" t="s">
        <v>938</v>
      </c>
      <c r="G333" s="4" t="s">
        <v>287</v>
      </c>
      <c r="H333" s="4" t="s">
        <v>930</v>
      </c>
      <c r="I333" s="3">
        <v>1</v>
      </c>
      <c r="J333" s="29" t="str">
        <f t="shared" si="45"/>
        <v>0</v>
      </c>
      <c r="K333" s="54" t="str">
        <f t="shared" si="46"/>
        <v>0</v>
      </c>
      <c r="L333" s="69" t="str">
        <f t="shared" si="47"/>
        <v>0</v>
      </c>
      <c r="M333" s="74" t="str">
        <f t="shared" si="48"/>
        <v>1</v>
      </c>
      <c r="N333" s="29" t="str">
        <f t="shared" si="49"/>
        <v>0</v>
      </c>
      <c r="O333" s="61" t="str">
        <f t="shared" ca="1" si="52"/>
        <v>1</v>
      </c>
      <c r="P333" s="65" t="str">
        <f t="shared" si="53"/>
        <v>1</v>
      </c>
      <c r="Q333" s="46">
        <f t="shared" ca="1" si="50"/>
        <v>3</v>
      </c>
      <c r="R333" s="83" t="str">
        <f t="shared" ca="1" si="51"/>
        <v>ผ่าน</v>
      </c>
      <c r="S333" s="3" t="s">
        <v>28</v>
      </c>
    </row>
    <row r="334" spans="1:19" ht="24">
      <c r="A334" s="3">
        <v>333</v>
      </c>
      <c r="B334" s="105">
        <v>6610414221</v>
      </c>
      <c r="C334" s="4" t="s">
        <v>29</v>
      </c>
      <c r="D334" s="4" t="s">
        <v>939</v>
      </c>
      <c r="E334" s="4" t="s">
        <v>940</v>
      </c>
      <c r="F334" s="4" t="s">
        <v>941</v>
      </c>
      <c r="G334" s="4" t="s">
        <v>287</v>
      </c>
      <c r="H334" s="4" t="s">
        <v>930</v>
      </c>
      <c r="I334" s="3">
        <v>1</v>
      </c>
      <c r="J334" s="29" t="str">
        <f t="shared" si="45"/>
        <v>1</v>
      </c>
      <c r="K334" s="54">
        <v>1</v>
      </c>
      <c r="L334" s="69" t="str">
        <f t="shared" si="47"/>
        <v>0</v>
      </c>
      <c r="M334" s="74" t="str">
        <f t="shared" si="48"/>
        <v>0</v>
      </c>
      <c r="N334" s="29" t="str">
        <f t="shared" si="49"/>
        <v>1</v>
      </c>
      <c r="O334" s="61" t="str">
        <f t="shared" ca="1" si="52"/>
        <v>0</v>
      </c>
      <c r="P334" s="65" t="str">
        <f t="shared" si="53"/>
        <v>0</v>
      </c>
      <c r="Q334" s="46">
        <f t="shared" ca="1" si="50"/>
        <v>3</v>
      </c>
      <c r="R334" s="83" t="str">
        <f t="shared" ca="1" si="51"/>
        <v>ผ่าน</v>
      </c>
      <c r="S334" s="3" t="s">
        <v>28</v>
      </c>
    </row>
    <row r="335" spans="1:19" ht="24">
      <c r="A335" s="3">
        <v>334</v>
      </c>
      <c r="B335" s="105">
        <v>6610414229</v>
      </c>
      <c r="C335" s="4" t="s">
        <v>29</v>
      </c>
      <c r="D335" s="4" t="s">
        <v>363</v>
      </c>
      <c r="E335" s="4" t="s">
        <v>942</v>
      </c>
      <c r="F335" s="4" t="s">
        <v>943</v>
      </c>
      <c r="G335" s="4" t="s">
        <v>287</v>
      </c>
      <c r="H335" s="4" t="s">
        <v>930</v>
      </c>
      <c r="I335" s="3">
        <v>1</v>
      </c>
      <c r="J335" s="29" t="str">
        <f t="shared" si="45"/>
        <v>0</v>
      </c>
      <c r="K335" s="54" t="str">
        <f t="shared" si="46"/>
        <v>1</v>
      </c>
      <c r="L335" s="69" t="str">
        <f t="shared" si="47"/>
        <v>0</v>
      </c>
      <c r="M335" s="74" t="str">
        <f t="shared" si="48"/>
        <v>1</v>
      </c>
      <c r="N335" s="29" t="str">
        <f t="shared" si="49"/>
        <v>0</v>
      </c>
      <c r="O335" s="61" t="str">
        <f t="shared" ca="1" si="52"/>
        <v>1</v>
      </c>
      <c r="P335" s="65" t="str">
        <f t="shared" si="53"/>
        <v>0</v>
      </c>
      <c r="Q335" s="46">
        <f t="shared" ca="1" si="50"/>
        <v>3</v>
      </c>
      <c r="R335" s="83" t="str">
        <f t="shared" ca="1" si="51"/>
        <v>ผ่าน</v>
      </c>
      <c r="S335" s="3" t="s">
        <v>28</v>
      </c>
    </row>
    <row r="336" spans="1:19" ht="24">
      <c r="A336" s="3">
        <v>335</v>
      </c>
      <c r="B336" s="105">
        <v>6410414107</v>
      </c>
      <c r="C336" s="4" t="s">
        <v>29</v>
      </c>
      <c r="D336" s="4" t="s">
        <v>944</v>
      </c>
      <c r="E336" s="4" t="s">
        <v>945</v>
      </c>
      <c r="F336" s="4" t="s">
        <v>946</v>
      </c>
      <c r="G336" s="4" t="s">
        <v>287</v>
      </c>
      <c r="H336" s="4" t="s">
        <v>930</v>
      </c>
      <c r="I336" s="3">
        <v>3</v>
      </c>
      <c r="J336" s="29" t="str">
        <f t="shared" si="45"/>
        <v>0</v>
      </c>
      <c r="K336" s="54">
        <v>1</v>
      </c>
      <c r="L336" s="69" t="str">
        <f t="shared" si="47"/>
        <v>0</v>
      </c>
      <c r="M336" s="74" t="str">
        <f t="shared" si="48"/>
        <v>1</v>
      </c>
      <c r="N336" s="29" t="str">
        <f t="shared" si="49"/>
        <v>0</v>
      </c>
      <c r="O336" s="61" t="str">
        <f t="shared" ca="1" si="52"/>
        <v>0</v>
      </c>
      <c r="P336" s="65" t="str">
        <f t="shared" si="53"/>
        <v>0</v>
      </c>
      <c r="Q336" s="46">
        <f t="shared" ca="1" si="50"/>
        <v>2</v>
      </c>
      <c r="R336" s="3" t="str">
        <f t="shared" ca="1" si="51"/>
        <v>ไม่ผ่าน</v>
      </c>
      <c r="S336" s="3" t="s">
        <v>28</v>
      </c>
    </row>
    <row r="337" spans="1:19" ht="24">
      <c r="A337" s="3">
        <v>336</v>
      </c>
      <c r="B337" s="105">
        <v>6410414122</v>
      </c>
      <c r="C337" s="4" t="s">
        <v>29</v>
      </c>
      <c r="D337" s="4" t="s">
        <v>947</v>
      </c>
      <c r="E337" s="4" t="s">
        <v>948</v>
      </c>
      <c r="F337" s="4" t="s">
        <v>949</v>
      </c>
      <c r="G337" s="4" t="s">
        <v>287</v>
      </c>
      <c r="H337" s="4" t="s">
        <v>930</v>
      </c>
      <c r="I337" s="3">
        <v>3</v>
      </c>
      <c r="J337" s="29" t="str">
        <f t="shared" si="45"/>
        <v>0</v>
      </c>
      <c r="K337" s="54" t="str">
        <f t="shared" ref="K337:K400" si="54">IF(IFERROR(VLOOKUP(B337,DATA8,1,FALSE),),"1","0")</f>
        <v>0</v>
      </c>
      <c r="L337" s="69" t="str">
        <f t="shared" si="47"/>
        <v>1</v>
      </c>
      <c r="M337" s="74" t="str">
        <f t="shared" si="48"/>
        <v>1</v>
      </c>
      <c r="N337" s="29" t="str">
        <f t="shared" si="49"/>
        <v>0</v>
      </c>
      <c r="O337" s="61" t="str">
        <f t="shared" ca="1" si="52"/>
        <v>1</v>
      </c>
      <c r="P337" s="65" t="str">
        <f t="shared" si="53"/>
        <v>0</v>
      </c>
      <c r="Q337" s="46">
        <f t="shared" ca="1" si="50"/>
        <v>3</v>
      </c>
      <c r="R337" s="83" t="str">
        <f t="shared" ca="1" si="51"/>
        <v>ผ่าน</v>
      </c>
      <c r="S337" s="3" t="s">
        <v>28</v>
      </c>
    </row>
    <row r="338" spans="1:19" ht="24">
      <c r="A338" s="3">
        <v>337</v>
      </c>
      <c r="B338" s="105">
        <v>6410414203</v>
      </c>
      <c r="C338" s="4" t="s">
        <v>22</v>
      </c>
      <c r="D338" s="4" t="s">
        <v>950</v>
      </c>
      <c r="E338" s="4" t="s">
        <v>951</v>
      </c>
      <c r="F338" s="4" t="s">
        <v>952</v>
      </c>
      <c r="G338" s="4" t="s">
        <v>287</v>
      </c>
      <c r="H338" s="4" t="s">
        <v>930</v>
      </c>
      <c r="I338" s="3">
        <v>3</v>
      </c>
      <c r="J338" s="29" t="str">
        <f t="shared" si="45"/>
        <v>1</v>
      </c>
      <c r="K338" s="54" t="str">
        <f t="shared" si="54"/>
        <v>0</v>
      </c>
      <c r="L338" s="69" t="str">
        <f t="shared" si="47"/>
        <v>1</v>
      </c>
      <c r="M338" s="74" t="str">
        <f t="shared" si="48"/>
        <v>1</v>
      </c>
      <c r="N338" s="29" t="str">
        <f t="shared" si="49"/>
        <v>0</v>
      </c>
      <c r="O338" s="61" t="str">
        <f t="shared" ca="1" si="52"/>
        <v>1</v>
      </c>
      <c r="P338" s="65" t="str">
        <f t="shared" si="53"/>
        <v>1</v>
      </c>
      <c r="Q338" s="46">
        <f t="shared" ca="1" si="50"/>
        <v>5</v>
      </c>
      <c r="R338" s="83" t="str">
        <f t="shared" ca="1" si="51"/>
        <v>ผ่าน</v>
      </c>
      <c r="S338" s="3" t="s">
        <v>28</v>
      </c>
    </row>
    <row r="339" spans="1:19" ht="24">
      <c r="A339" s="3">
        <v>338</v>
      </c>
      <c r="B339" s="105">
        <v>6410414204</v>
      </c>
      <c r="C339" s="4" t="s">
        <v>29</v>
      </c>
      <c r="D339" s="4" t="s">
        <v>953</v>
      </c>
      <c r="E339" s="4" t="s">
        <v>954</v>
      </c>
      <c r="F339" s="4" t="s">
        <v>955</v>
      </c>
      <c r="G339" s="4" t="s">
        <v>287</v>
      </c>
      <c r="H339" s="4" t="s">
        <v>930</v>
      </c>
      <c r="I339" s="3">
        <v>3</v>
      </c>
      <c r="J339" s="29" t="str">
        <f t="shared" si="45"/>
        <v>0</v>
      </c>
      <c r="K339" s="54">
        <v>1</v>
      </c>
      <c r="L339" s="69" t="str">
        <f t="shared" si="47"/>
        <v>0</v>
      </c>
      <c r="M339" s="74" t="str">
        <f t="shared" si="48"/>
        <v>0</v>
      </c>
      <c r="N339" s="29" t="str">
        <f t="shared" si="49"/>
        <v>0</v>
      </c>
      <c r="O339" s="61" t="str">
        <f t="shared" ca="1" si="52"/>
        <v>0</v>
      </c>
      <c r="P339" s="65" t="str">
        <f t="shared" si="53"/>
        <v>0</v>
      </c>
      <c r="Q339" s="46">
        <f t="shared" ca="1" si="50"/>
        <v>1</v>
      </c>
      <c r="R339" s="3" t="str">
        <f t="shared" ca="1" si="51"/>
        <v>ไม่ผ่าน</v>
      </c>
      <c r="S339" s="3" t="s">
        <v>28</v>
      </c>
    </row>
    <row r="340" spans="1:19" ht="24">
      <c r="A340" s="3">
        <v>339</v>
      </c>
      <c r="B340" s="105">
        <v>6410414211</v>
      </c>
      <c r="C340" s="4" t="s">
        <v>29</v>
      </c>
      <c r="D340" s="4" t="s">
        <v>956</v>
      </c>
      <c r="E340" s="4" t="s">
        <v>494</v>
      </c>
      <c r="F340" s="4" t="s">
        <v>898</v>
      </c>
      <c r="G340" s="4" t="s">
        <v>287</v>
      </c>
      <c r="H340" s="4" t="s">
        <v>930</v>
      </c>
      <c r="I340" s="3">
        <v>3</v>
      </c>
      <c r="J340" s="29" t="str">
        <f t="shared" si="45"/>
        <v>1</v>
      </c>
      <c r="K340" s="54" t="str">
        <f t="shared" si="54"/>
        <v>0</v>
      </c>
      <c r="L340" s="69" t="str">
        <f t="shared" si="47"/>
        <v>1</v>
      </c>
      <c r="M340" s="74" t="str">
        <f t="shared" si="48"/>
        <v>1</v>
      </c>
      <c r="N340" s="29" t="str">
        <f t="shared" si="49"/>
        <v>0</v>
      </c>
      <c r="O340" s="61" t="str">
        <f t="shared" ca="1" si="52"/>
        <v>1</v>
      </c>
      <c r="P340" s="65" t="str">
        <f t="shared" si="53"/>
        <v>1</v>
      </c>
      <c r="Q340" s="46">
        <f t="shared" ca="1" si="50"/>
        <v>5</v>
      </c>
      <c r="R340" s="83" t="str">
        <f t="shared" ca="1" si="51"/>
        <v>ผ่าน</v>
      </c>
      <c r="S340" s="3" t="s">
        <v>28</v>
      </c>
    </row>
    <row r="341" spans="1:19" ht="24">
      <c r="A341" s="3">
        <v>340</v>
      </c>
      <c r="B341" s="105">
        <v>6410414213</v>
      </c>
      <c r="C341" s="4" t="s">
        <v>29</v>
      </c>
      <c r="D341" s="4" t="s">
        <v>957</v>
      </c>
      <c r="E341" s="4" t="s">
        <v>958</v>
      </c>
      <c r="F341" s="4" t="s">
        <v>959</v>
      </c>
      <c r="G341" s="4" t="s">
        <v>287</v>
      </c>
      <c r="H341" s="4" t="s">
        <v>930</v>
      </c>
      <c r="I341" s="3">
        <v>3</v>
      </c>
      <c r="J341" s="29" t="str">
        <f t="shared" si="45"/>
        <v>1</v>
      </c>
      <c r="K341" s="54" t="str">
        <f t="shared" si="54"/>
        <v>0</v>
      </c>
      <c r="L341" s="69" t="str">
        <f t="shared" si="47"/>
        <v>1</v>
      </c>
      <c r="M341" s="74" t="str">
        <f t="shared" si="48"/>
        <v>0</v>
      </c>
      <c r="N341" s="29" t="str">
        <f t="shared" si="49"/>
        <v>0</v>
      </c>
      <c r="O341" s="61" t="str">
        <f t="shared" ca="1" si="52"/>
        <v>0</v>
      </c>
      <c r="P341" s="65" t="str">
        <f t="shared" si="53"/>
        <v>0</v>
      </c>
      <c r="Q341" s="46">
        <f t="shared" ca="1" si="50"/>
        <v>2</v>
      </c>
      <c r="R341" s="84" t="s">
        <v>395</v>
      </c>
      <c r="S341" s="3" t="s">
        <v>28</v>
      </c>
    </row>
    <row r="342" spans="1:19" ht="24">
      <c r="A342" s="3">
        <v>341</v>
      </c>
      <c r="B342" s="105">
        <v>6410414224</v>
      </c>
      <c r="C342" s="4" t="s">
        <v>29</v>
      </c>
      <c r="D342" s="4" t="s">
        <v>960</v>
      </c>
      <c r="E342" s="4" t="s">
        <v>212</v>
      </c>
      <c r="F342" s="4" t="s">
        <v>210</v>
      </c>
      <c r="G342" s="4" t="s">
        <v>287</v>
      </c>
      <c r="H342" s="4" t="s">
        <v>930</v>
      </c>
      <c r="I342" s="3">
        <v>3</v>
      </c>
      <c r="J342" s="29" t="str">
        <f t="shared" si="45"/>
        <v>1</v>
      </c>
      <c r="K342" s="54" t="str">
        <f t="shared" si="54"/>
        <v>0</v>
      </c>
      <c r="L342" s="69" t="str">
        <f t="shared" si="47"/>
        <v>1</v>
      </c>
      <c r="M342" s="74" t="str">
        <f t="shared" si="48"/>
        <v>1</v>
      </c>
      <c r="N342" s="29" t="str">
        <f t="shared" si="49"/>
        <v>0</v>
      </c>
      <c r="O342" s="61" t="str">
        <f t="shared" ca="1" si="52"/>
        <v>1</v>
      </c>
      <c r="P342" s="65" t="str">
        <f t="shared" si="53"/>
        <v>1</v>
      </c>
      <c r="Q342" s="46">
        <f t="shared" ca="1" si="50"/>
        <v>5</v>
      </c>
      <c r="R342" s="83" t="str">
        <f t="shared" ca="1" si="51"/>
        <v>ผ่าน</v>
      </c>
      <c r="S342" s="3" t="s">
        <v>28</v>
      </c>
    </row>
    <row r="343" spans="1:19" ht="24">
      <c r="A343" s="3">
        <v>342</v>
      </c>
      <c r="B343" s="105">
        <v>6410414227</v>
      </c>
      <c r="C343" s="4" t="s">
        <v>29</v>
      </c>
      <c r="D343" s="4" t="s">
        <v>306</v>
      </c>
      <c r="E343" s="4" t="s">
        <v>961</v>
      </c>
      <c r="F343" s="4" t="s">
        <v>962</v>
      </c>
      <c r="G343" s="4" t="s">
        <v>287</v>
      </c>
      <c r="H343" s="4" t="s">
        <v>930</v>
      </c>
      <c r="I343" s="3">
        <v>3</v>
      </c>
      <c r="J343" s="29" t="str">
        <f t="shared" si="45"/>
        <v>1</v>
      </c>
      <c r="K343" s="54" t="str">
        <f t="shared" si="54"/>
        <v>1</v>
      </c>
      <c r="L343" s="69" t="str">
        <f t="shared" si="47"/>
        <v>0</v>
      </c>
      <c r="M343" s="74" t="str">
        <f t="shared" si="48"/>
        <v>1</v>
      </c>
      <c r="N343" s="29" t="str">
        <f t="shared" si="49"/>
        <v>0</v>
      </c>
      <c r="O343" s="61" t="str">
        <f t="shared" ca="1" si="52"/>
        <v>1</v>
      </c>
      <c r="P343" s="65" t="str">
        <f t="shared" si="53"/>
        <v>1</v>
      </c>
      <c r="Q343" s="46">
        <f t="shared" ca="1" si="50"/>
        <v>5</v>
      </c>
      <c r="R343" s="83" t="str">
        <f t="shared" ca="1" si="51"/>
        <v>ผ่าน</v>
      </c>
      <c r="S343" s="3" t="s">
        <v>28</v>
      </c>
    </row>
    <row r="344" spans="1:19" ht="24">
      <c r="A344" s="3">
        <v>343</v>
      </c>
      <c r="B344" s="105">
        <v>6310414113</v>
      </c>
      <c r="C344" s="4" t="s">
        <v>29</v>
      </c>
      <c r="D344" s="4" t="s">
        <v>963</v>
      </c>
      <c r="E344" s="4" t="s">
        <v>964</v>
      </c>
      <c r="F344" s="4" t="s">
        <v>322</v>
      </c>
      <c r="G344" s="4" t="s">
        <v>287</v>
      </c>
      <c r="H344" s="4" t="s">
        <v>930</v>
      </c>
      <c r="I344" s="3">
        <v>4</v>
      </c>
      <c r="J344" s="29" t="str">
        <f t="shared" si="45"/>
        <v>1</v>
      </c>
      <c r="K344" s="54" t="str">
        <f t="shared" si="54"/>
        <v>1</v>
      </c>
      <c r="L344" s="69" t="str">
        <f t="shared" si="47"/>
        <v>0</v>
      </c>
      <c r="M344" s="74" t="str">
        <f t="shared" si="48"/>
        <v>1</v>
      </c>
      <c r="N344" s="29" t="str">
        <f t="shared" si="49"/>
        <v>0</v>
      </c>
      <c r="O344" s="61">
        <v>1</v>
      </c>
      <c r="P344" s="65">
        <v>1</v>
      </c>
      <c r="Q344" s="46">
        <f t="shared" si="50"/>
        <v>5</v>
      </c>
      <c r="R344" s="83" t="str">
        <f t="shared" si="51"/>
        <v>ผ่าน</v>
      </c>
      <c r="S344" s="3" t="s">
        <v>28</v>
      </c>
    </row>
    <row r="345" spans="1:19" ht="24">
      <c r="A345" s="3">
        <v>344</v>
      </c>
      <c r="B345" s="105">
        <v>6310414116</v>
      </c>
      <c r="C345" s="4" t="s">
        <v>29</v>
      </c>
      <c r="D345" s="4" t="s">
        <v>965</v>
      </c>
      <c r="E345" s="4" t="s">
        <v>966</v>
      </c>
      <c r="F345" s="4" t="s">
        <v>967</v>
      </c>
      <c r="G345" s="4" t="s">
        <v>287</v>
      </c>
      <c r="H345" s="4" t="s">
        <v>930</v>
      </c>
      <c r="I345" s="3">
        <v>4</v>
      </c>
      <c r="J345" s="29" t="str">
        <f t="shared" si="45"/>
        <v>1</v>
      </c>
      <c r="K345" s="54" t="str">
        <f t="shared" si="54"/>
        <v>1</v>
      </c>
      <c r="L345" s="69" t="str">
        <f t="shared" si="47"/>
        <v>0</v>
      </c>
      <c r="M345" s="74" t="str">
        <f t="shared" si="48"/>
        <v>1</v>
      </c>
      <c r="N345" s="29" t="str">
        <f t="shared" si="49"/>
        <v>0</v>
      </c>
      <c r="O345" s="61">
        <v>1</v>
      </c>
      <c r="P345" s="65">
        <v>1</v>
      </c>
      <c r="Q345" s="46">
        <f t="shared" si="50"/>
        <v>5</v>
      </c>
      <c r="R345" s="83" t="str">
        <f t="shared" si="51"/>
        <v>ผ่าน</v>
      </c>
      <c r="S345" s="3" t="s">
        <v>28</v>
      </c>
    </row>
    <row r="346" spans="1:19" ht="24">
      <c r="A346" s="3">
        <v>345</v>
      </c>
      <c r="B346" s="105">
        <v>6310414119</v>
      </c>
      <c r="C346" s="4" t="s">
        <v>29</v>
      </c>
      <c r="D346" s="4" t="s">
        <v>968</v>
      </c>
      <c r="E346" s="4" t="s">
        <v>969</v>
      </c>
      <c r="F346" s="4" t="s">
        <v>970</v>
      </c>
      <c r="G346" s="4" t="s">
        <v>287</v>
      </c>
      <c r="H346" s="4" t="s">
        <v>930</v>
      </c>
      <c r="I346" s="3">
        <v>4</v>
      </c>
      <c r="J346" s="29" t="str">
        <f t="shared" si="45"/>
        <v>1</v>
      </c>
      <c r="K346" s="54" t="str">
        <f t="shared" si="54"/>
        <v>1</v>
      </c>
      <c r="L346" s="69" t="str">
        <f t="shared" si="47"/>
        <v>0</v>
      </c>
      <c r="M346" s="74" t="str">
        <f t="shared" si="48"/>
        <v>1</v>
      </c>
      <c r="N346" s="29" t="str">
        <f t="shared" si="49"/>
        <v>0</v>
      </c>
      <c r="O346" s="61">
        <v>1</v>
      </c>
      <c r="P346" s="65">
        <v>1</v>
      </c>
      <c r="Q346" s="46">
        <f t="shared" si="50"/>
        <v>5</v>
      </c>
      <c r="R346" s="83" t="str">
        <f t="shared" si="51"/>
        <v>ผ่าน</v>
      </c>
      <c r="S346" s="3" t="s">
        <v>28</v>
      </c>
    </row>
    <row r="347" spans="1:19" ht="24">
      <c r="A347" s="3">
        <v>346</v>
      </c>
      <c r="B347" s="105">
        <v>6310414120</v>
      </c>
      <c r="C347" s="4" t="s">
        <v>29</v>
      </c>
      <c r="D347" s="4" t="s">
        <v>971</v>
      </c>
      <c r="E347" s="4" t="s">
        <v>972</v>
      </c>
      <c r="F347" s="4" t="s">
        <v>62</v>
      </c>
      <c r="G347" s="4" t="s">
        <v>287</v>
      </c>
      <c r="H347" s="4" t="s">
        <v>930</v>
      </c>
      <c r="I347" s="3">
        <v>4</v>
      </c>
      <c r="J347" s="29" t="str">
        <f t="shared" si="45"/>
        <v>1</v>
      </c>
      <c r="K347" s="54" t="str">
        <f t="shared" si="54"/>
        <v>1</v>
      </c>
      <c r="L347" s="69" t="str">
        <f t="shared" si="47"/>
        <v>0</v>
      </c>
      <c r="M347" s="74" t="str">
        <f t="shared" si="48"/>
        <v>0</v>
      </c>
      <c r="N347" s="29" t="str">
        <f t="shared" si="49"/>
        <v>1</v>
      </c>
      <c r="O347" s="61">
        <v>1</v>
      </c>
      <c r="P347" s="65">
        <v>1</v>
      </c>
      <c r="Q347" s="46">
        <f t="shared" si="50"/>
        <v>5</v>
      </c>
      <c r="R347" s="83" t="str">
        <f t="shared" si="51"/>
        <v>ผ่าน</v>
      </c>
      <c r="S347" s="3" t="s">
        <v>28</v>
      </c>
    </row>
    <row r="348" spans="1:19" ht="24">
      <c r="A348" s="3">
        <v>347</v>
      </c>
      <c r="B348" s="105">
        <v>6310414122</v>
      </c>
      <c r="C348" s="4" t="s">
        <v>29</v>
      </c>
      <c r="D348" s="4" t="s">
        <v>79</v>
      </c>
      <c r="E348" s="4" t="s">
        <v>973</v>
      </c>
      <c r="F348" s="4" t="s">
        <v>974</v>
      </c>
      <c r="G348" s="4" t="s">
        <v>287</v>
      </c>
      <c r="H348" s="4" t="s">
        <v>930</v>
      </c>
      <c r="I348" s="3">
        <v>4</v>
      </c>
      <c r="J348" s="29" t="str">
        <f t="shared" si="45"/>
        <v>0</v>
      </c>
      <c r="K348" s="54">
        <v>1</v>
      </c>
      <c r="L348" s="69" t="str">
        <f t="shared" si="47"/>
        <v>0</v>
      </c>
      <c r="M348" s="74" t="str">
        <f t="shared" si="48"/>
        <v>1</v>
      </c>
      <c r="N348" s="29" t="str">
        <f t="shared" si="49"/>
        <v>0</v>
      </c>
      <c r="O348" s="61">
        <v>1</v>
      </c>
      <c r="P348" s="65">
        <v>1</v>
      </c>
      <c r="Q348" s="46">
        <f t="shared" si="50"/>
        <v>4</v>
      </c>
      <c r="R348" s="83" t="str">
        <f t="shared" si="51"/>
        <v>ผ่าน</v>
      </c>
      <c r="S348" s="3" t="s">
        <v>28</v>
      </c>
    </row>
    <row r="349" spans="1:19" ht="24">
      <c r="A349" s="3">
        <v>348</v>
      </c>
      <c r="B349" s="105">
        <v>6310414212</v>
      </c>
      <c r="C349" s="4" t="s">
        <v>29</v>
      </c>
      <c r="D349" s="4" t="s">
        <v>975</v>
      </c>
      <c r="E349" s="4" t="s">
        <v>976</v>
      </c>
      <c r="F349" s="4" t="s">
        <v>977</v>
      </c>
      <c r="G349" s="4" t="s">
        <v>287</v>
      </c>
      <c r="H349" s="4" t="s">
        <v>930</v>
      </c>
      <c r="I349" s="3">
        <v>4</v>
      </c>
      <c r="J349" s="29" t="str">
        <f t="shared" si="45"/>
        <v>1</v>
      </c>
      <c r="K349" s="54" t="str">
        <f t="shared" si="54"/>
        <v>1</v>
      </c>
      <c r="L349" s="69" t="str">
        <f t="shared" si="47"/>
        <v>0</v>
      </c>
      <c r="M349" s="74" t="str">
        <f t="shared" si="48"/>
        <v>1</v>
      </c>
      <c r="N349" s="29" t="str">
        <f t="shared" si="49"/>
        <v>0</v>
      </c>
      <c r="O349" s="61">
        <v>1</v>
      </c>
      <c r="P349" s="65">
        <v>1</v>
      </c>
      <c r="Q349" s="46">
        <f t="shared" si="50"/>
        <v>5</v>
      </c>
      <c r="R349" s="83" t="str">
        <f t="shared" si="51"/>
        <v>ผ่าน</v>
      </c>
      <c r="S349" s="3" t="s">
        <v>28</v>
      </c>
    </row>
    <row r="350" spans="1:19" ht="24">
      <c r="A350" s="3">
        <v>349</v>
      </c>
      <c r="B350" s="105">
        <v>6310414217</v>
      </c>
      <c r="C350" s="4" t="s">
        <v>29</v>
      </c>
      <c r="D350" s="4" t="s">
        <v>978</v>
      </c>
      <c r="E350" s="4" t="s">
        <v>607</v>
      </c>
      <c r="F350" s="4" t="s">
        <v>979</v>
      </c>
      <c r="G350" s="4" t="s">
        <v>287</v>
      </c>
      <c r="H350" s="4" t="s">
        <v>930</v>
      </c>
      <c r="I350" s="3">
        <v>4</v>
      </c>
      <c r="J350" s="29" t="str">
        <f t="shared" si="45"/>
        <v>1</v>
      </c>
      <c r="K350" s="54" t="str">
        <f t="shared" si="54"/>
        <v>1</v>
      </c>
      <c r="L350" s="69" t="str">
        <f t="shared" si="47"/>
        <v>0</v>
      </c>
      <c r="M350" s="74" t="str">
        <f t="shared" si="48"/>
        <v>1</v>
      </c>
      <c r="N350" s="29" t="str">
        <f t="shared" si="49"/>
        <v>0</v>
      </c>
      <c r="O350" s="61">
        <v>1</v>
      </c>
      <c r="P350" s="65">
        <v>1</v>
      </c>
      <c r="Q350" s="46">
        <f t="shared" si="50"/>
        <v>5</v>
      </c>
      <c r="R350" s="83" t="str">
        <f t="shared" si="51"/>
        <v>ผ่าน</v>
      </c>
      <c r="S350" s="3" t="s">
        <v>28</v>
      </c>
    </row>
    <row r="351" spans="1:19" ht="24">
      <c r="A351" s="3">
        <v>350</v>
      </c>
      <c r="B351" s="105">
        <v>6612258203</v>
      </c>
      <c r="C351" s="4" t="s">
        <v>22</v>
      </c>
      <c r="D351" s="4" t="s">
        <v>980</v>
      </c>
      <c r="E351" s="4" t="s">
        <v>981</v>
      </c>
      <c r="F351" s="4" t="s">
        <v>982</v>
      </c>
      <c r="G351" s="4" t="s">
        <v>287</v>
      </c>
      <c r="H351" s="4" t="s">
        <v>983</v>
      </c>
      <c r="I351" s="3">
        <v>1</v>
      </c>
      <c r="J351" s="29" t="str">
        <f t="shared" si="45"/>
        <v>1</v>
      </c>
      <c r="K351" s="54" t="str">
        <f t="shared" si="54"/>
        <v>1</v>
      </c>
      <c r="L351" s="69" t="str">
        <f t="shared" si="47"/>
        <v>0</v>
      </c>
      <c r="M351" s="74" t="str">
        <f t="shared" si="48"/>
        <v>1</v>
      </c>
      <c r="N351" s="29" t="str">
        <f t="shared" si="49"/>
        <v>0</v>
      </c>
      <c r="O351" s="61" t="str">
        <f t="shared" ca="1" si="52"/>
        <v>1</v>
      </c>
      <c r="P351" s="65" t="str">
        <f t="shared" si="53"/>
        <v>0</v>
      </c>
      <c r="Q351" s="46">
        <f t="shared" ca="1" si="50"/>
        <v>4</v>
      </c>
      <c r="R351" s="83" t="str">
        <f t="shared" ca="1" si="51"/>
        <v>ผ่าน</v>
      </c>
      <c r="S351" s="3" t="s">
        <v>28</v>
      </c>
    </row>
    <row r="352" spans="1:19" ht="24">
      <c r="A352" s="3">
        <v>351</v>
      </c>
      <c r="B352" s="105">
        <v>6612258212</v>
      </c>
      <c r="C352" s="4" t="s">
        <v>22</v>
      </c>
      <c r="D352" s="4" t="s">
        <v>280</v>
      </c>
      <c r="E352" s="4" t="s">
        <v>984</v>
      </c>
      <c r="F352" s="4" t="s">
        <v>22</v>
      </c>
      <c r="G352" s="4" t="s">
        <v>287</v>
      </c>
      <c r="H352" s="4" t="s">
        <v>983</v>
      </c>
      <c r="I352" s="3">
        <v>1</v>
      </c>
      <c r="J352" s="29" t="str">
        <f t="shared" si="45"/>
        <v>1</v>
      </c>
      <c r="K352" s="54" t="str">
        <f t="shared" si="54"/>
        <v>1</v>
      </c>
      <c r="L352" s="69" t="str">
        <f t="shared" si="47"/>
        <v>0</v>
      </c>
      <c r="M352" s="74" t="str">
        <f t="shared" si="48"/>
        <v>1</v>
      </c>
      <c r="N352" s="29" t="str">
        <f t="shared" si="49"/>
        <v>0</v>
      </c>
      <c r="O352" s="61" t="str">
        <f t="shared" ca="1" si="52"/>
        <v>1</v>
      </c>
      <c r="P352" s="65" t="str">
        <f t="shared" si="53"/>
        <v>1</v>
      </c>
      <c r="Q352" s="46">
        <f t="shared" ca="1" si="50"/>
        <v>5</v>
      </c>
      <c r="R352" s="83" t="str">
        <f t="shared" ca="1" si="51"/>
        <v>ผ่าน</v>
      </c>
      <c r="S352" s="3" t="s">
        <v>28</v>
      </c>
    </row>
    <row r="353" spans="1:19" ht="24">
      <c r="A353" s="3">
        <v>352</v>
      </c>
      <c r="B353" s="105">
        <v>6612258213</v>
      </c>
      <c r="C353" s="4" t="s">
        <v>22</v>
      </c>
      <c r="D353" s="4" t="s">
        <v>985</v>
      </c>
      <c r="E353" s="4" t="s">
        <v>986</v>
      </c>
      <c r="F353" s="4" t="s">
        <v>987</v>
      </c>
      <c r="G353" s="4" t="s">
        <v>287</v>
      </c>
      <c r="H353" s="4" t="s">
        <v>983</v>
      </c>
      <c r="I353" s="3">
        <v>1</v>
      </c>
      <c r="J353" s="29" t="str">
        <f t="shared" si="45"/>
        <v>0</v>
      </c>
      <c r="K353" s="54" t="str">
        <f t="shared" si="54"/>
        <v>1</v>
      </c>
      <c r="L353" s="69" t="str">
        <f t="shared" si="47"/>
        <v>0</v>
      </c>
      <c r="M353" s="74" t="str">
        <f t="shared" si="48"/>
        <v>0</v>
      </c>
      <c r="N353" s="29" t="str">
        <f t="shared" si="49"/>
        <v>0</v>
      </c>
      <c r="O353" s="61" t="str">
        <f t="shared" ca="1" si="52"/>
        <v>1</v>
      </c>
      <c r="P353" s="65" t="str">
        <f t="shared" si="53"/>
        <v>1</v>
      </c>
      <c r="Q353" s="46">
        <f t="shared" ca="1" si="50"/>
        <v>3</v>
      </c>
      <c r="R353" s="83" t="str">
        <f t="shared" ca="1" si="51"/>
        <v>ผ่าน</v>
      </c>
      <c r="S353" s="3" t="s">
        <v>28</v>
      </c>
    </row>
    <row r="354" spans="1:19" ht="24">
      <c r="A354" s="3">
        <v>353</v>
      </c>
      <c r="B354" s="105">
        <v>6512258120</v>
      </c>
      <c r="C354" s="4" t="s">
        <v>29</v>
      </c>
      <c r="D354" s="4" t="s">
        <v>988</v>
      </c>
      <c r="E354" s="4" t="s">
        <v>989</v>
      </c>
      <c r="F354" s="4" t="s">
        <v>990</v>
      </c>
      <c r="G354" s="4" t="s">
        <v>287</v>
      </c>
      <c r="H354" s="4" t="s">
        <v>983</v>
      </c>
      <c r="I354" s="3">
        <v>2</v>
      </c>
      <c r="J354" s="29" t="str">
        <f t="shared" si="45"/>
        <v>1</v>
      </c>
      <c r="K354" s="54">
        <v>1</v>
      </c>
      <c r="L354" s="69" t="str">
        <f t="shared" si="47"/>
        <v>0</v>
      </c>
      <c r="M354" s="74" t="str">
        <f t="shared" si="48"/>
        <v>1</v>
      </c>
      <c r="N354" s="29" t="str">
        <f t="shared" si="49"/>
        <v>0</v>
      </c>
      <c r="O354" s="61" t="str">
        <f t="shared" ca="1" si="52"/>
        <v>1</v>
      </c>
      <c r="P354" s="65" t="str">
        <f t="shared" si="53"/>
        <v>1</v>
      </c>
      <c r="Q354" s="46">
        <f t="shared" ca="1" si="50"/>
        <v>5</v>
      </c>
      <c r="R354" s="83" t="str">
        <f t="shared" ca="1" si="51"/>
        <v>ผ่าน</v>
      </c>
      <c r="S354" s="3" t="s">
        <v>28</v>
      </c>
    </row>
    <row r="355" spans="1:19" ht="24">
      <c r="A355" s="3">
        <v>354</v>
      </c>
      <c r="B355" s="105">
        <v>6412258116</v>
      </c>
      <c r="C355" s="4" t="s">
        <v>29</v>
      </c>
      <c r="D355" s="4" t="s">
        <v>991</v>
      </c>
      <c r="E355" s="4" t="s">
        <v>992</v>
      </c>
      <c r="F355" s="4" t="s">
        <v>993</v>
      </c>
      <c r="G355" s="4" t="s">
        <v>287</v>
      </c>
      <c r="H355" s="4" t="s">
        <v>983</v>
      </c>
      <c r="I355" s="3">
        <v>3</v>
      </c>
      <c r="J355" s="29" t="str">
        <f t="shared" si="45"/>
        <v>0</v>
      </c>
      <c r="K355" s="54">
        <v>1</v>
      </c>
      <c r="L355" s="69" t="str">
        <f t="shared" si="47"/>
        <v>0</v>
      </c>
      <c r="M355" s="74" t="str">
        <f t="shared" si="48"/>
        <v>0</v>
      </c>
      <c r="N355" s="29" t="str">
        <f t="shared" si="49"/>
        <v>0</v>
      </c>
      <c r="O355" s="61" t="str">
        <f t="shared" ca="1" si="52"/>
        <v>1</v>
      </c>
      <c r="P355" s="65" t="str">
        <f t="shared" si="53"/>
        <v>1</v>
      </c>
      <c r="Q355" s="46">
        <f t="shared" ca="1" si="50"/>
        <v>3</v>
      </c>
      <c r="R355" s="83" t="str">
        <f t="shared" ca="1" si="51"/>
        <v>ผ่าน</v>
      </c>
      <c r="S355" s="3" t="s">
        <v>28</v>
      </c>
    </row>
    <row r="356" spans="1:19" ht="24">
      <c r="A356" s="3">
        <v>355</v>
      </c>
      <c r="B356" s="105">
        <v>6412258129</v>
      </c>
      <c r="C356" s="4" t="s">
        <v>29</v>
      </c>
      <c r="D356" s="4" t="s">
        <v>994</v>
      </c>
      <c r="E356" s="4" t="s">
        <v>995</v>
      </c>
      <c r="F356" s="4" t="s">
        <v>996</v>
      </c>
      <c r="G356" s="4" t="s">
        <v>287</v>
      </c>
      <c r="H356" s="4" t="s">
        <v>983</v>
      </c>
      <c r="I356" s="3">
        <v>3</v>
      </c>
      <c r="J356" s="29" t="str">
        <f t="shared" si="45"/>
        <v>0</v>
      </c>
      <c r="K356" s="54">
        <v>1</v>
      </c>
      <c r="L356" s="69" t="str">
        <f t="shared" si="47"/>
        <v>0</v>
      </c>
      <c r="M356" s="74" t="str">
        <f t="shared" si="48"/>
        <v>0</v>
      </c>
      <c r="N356" s="29" t="str">
        <f t="shared" si="49"/>
        <v>0</v>
      </c>
      <c r="O356" s="61" t="str">
        <f t="shared" ca="1" si="52"/>
        <v>1</v>
      </c>
      <c r="P356" s="65" t="str">
        <f t="shared" si="53"/>
        <v>1</v>
      </c>
      <c r="Q356" s="46">
        <f t="shared" ca="1" si="50"/>
        <v>3</v>
      </c>
      <c r="R356" s="83" t="str">
        <f t="shared" ca="1" si="51"/>
        <v>ผ่าน</v>
      </c>
      <c r="S356" s="3" t="s">
        <v>28</v>
      </c>
    </row>
    <row r="357" spans="1:19" ht="24">
      <c r="A357" s="3">
        <v>356</v>
      </c>
      <c r="B357" s="105">
        <v>6510106114</v>
      </c>
      <c r="C357" s="4" t="s">
        <v>29</v>
      </c>
      <c r="D357" s="4" t="s">
        <v>997</v>
      </c>
      <c r="E357" s="4" t="s">
        <v>998</v>
      </c>
      <c r="F357" s="4" t="s">
        <v>453</v>
      </c>
      <c r="G357" s="4" t="s">
        <v>999</v>
      </c>
      <c r="H357" s="4" t="s">
        <v>1000</v>
      </c>
      <c r="I357" s="3">
        <v>2</v>
      </c>
      <c r="J357" s="29" t="str">
        <f t="shared" si="45"/>
        <v>1</v>
      </c>
      <c r="K357" s="54" t="str">
        <f t="shared" si="54"/>
        <v>1</v>
      </c>
      <c r="L357" s="69" t="str">
        <f t="shared" si="47"/>
        <v>0</v>
      </c>
      <c r="M357" s="74" t="str">
        <f t="shared" si="48"/>
        <v>0</v>
      </c>
      <c r="N357" s="29" t="str">
        <f t="shared" si="49"/>
        <v>1</v>
      </c>
      <c r="O357" s="61" t="str">
        <f t="shared" ca="1" si="52"/>
        <v>1</v>
      </c>
      <c r="P357" s="65" t="str">
        <f t="shared" si="53"/>
        <v>1</v>
      </c>
      <c r="Q357" s="46">
        <f t="shared" ca="1" si="50"/>
        <v>5</v>
      </c>
      <c r="R357" s="83" t="str">
        <f t="shared" ca="1" si="51"/>
        <v>ผ่าน</v>
      </c>
      <c r="S357" s="3" t="s">
        <v>28</v>
      </c>
    </row>
    <row r="358" spans="1:19" ht="24">
      <c r="A358" s="3">
        <v>357</v>
      </c>
      <c r="B358" s="105">
        <v>6410106112</v>
      </c>
      <c r="C358" s="4" t="s">
        <v>29</v>
      </c>
      <c r="D358" s="4" t="s">
        <v>1001</v>
      </c>
      <c r="E358" s="4" t="s">
        <v>1002</v>
      </c>
      <c r="F358" s="4" t="s">
        <v>1003</v>
      </c>
      <c r="G358" s="4" t="s">
        <v>999</v>
      </c>
      <c r="H358" s="4" t="s">
        <v>1000</v>
      </c>
      <c r="I358" s="3">
        <v>3</v>
      </c>
      <c r="J358" s="29" t="str">
        <f t="shared" si="45"/>
        <v>0</v>
      </c>
      <c r="K358" s="54">
        <v>1</v>
      </c>
      <c r="L358" s="69" t="str">
        <f t="shared" si="47"/>
        <v>0</v>
      </c>
      <c r="M358" s="74" t="str">
        <f t="shared" si="48"/>
        <v>1</v>
      </c>
      <c r="N358" s="29" t="str">
        <f t="shared" si="49"/>
        <v>0</v>
      </c>
      <c r="O358" s="61" t="str">
        <f t="shared" ca="1" si="52"/>
        <v>1</v>
      </c>
      <c r="P358" s="65" t="str">
        <f t="shared" si="53"/>
        <v>1</v>
      </c>
      <c r="Q358" s="46">
        <f t="shared" ca="1" si="50"/>
        <v>4</v>
      </c>
      <c r="R358" s="83" t="str">
        <f t="shared" ca="1" si="51"/>
        <v>ผ่าน</v>
      </c>
      <c r="S358" s="3" t="s">
        <v>28</v>
      </c>
    </row>
    <row r="359" spans="1:19" ht="24">
      <c r="A359" s="3">
        <v>358</v>
      </c>
      <c r="B359" s="105">
        <v>6410106122</v>
      </c>
      <c r="C359" s="4" t="s">
        <v>29</v>
      </c>
      <c r="D359" s="4" t="s">
        <v>1004</v>
      </c>
      <c r="E359" s="4" t="s">
        <v>1005</v>
      </c>
      <c r="F359" s="4" t="s">
        <v>489</v>
      </c>
      <c r="G359" s="4" t="s">
        <v>999</v>
      </c>
      <c r="H359" s="4" t="s">
        <v>1000</v>
      </c>
      <c r="I359" s="3">
        <v>3</v>
      </c>
      <c r="J359" s="29" t="str">
        <f t="shared" si="45"/>
        <v>1</v>
      </c>
      <c r="K359" s="54" t="str">
        <f t="shared" si="54"/>
        <v>1</v>
      </c>
      <c r="L359" s="69" t="str">
        <f t="shared" si="47"/>
        <v>0</v>
      </c>
      <c r="M359" s="74" t="str">
        <f t="shared" si="48"/>
        <v>1</v>
      </c>
      <c r="N359" s="29" t="str">
        <f t="shared" si="49"/>
        <v>0</v>
      </c>
      <c r="O359" s="61" t="str">
        <f t="shared" ca="1" si="52"/>
        <v>1</v>
      </c>
      <c r="P359" s="65" t="str">
        <f t="shared" si="53"/>
        <v>1</v>
      </c>
      <c r="Q359" s="46">
        <f t="shared" ca="1" si="50"/>
        <v>5</v>
      </c>
      <c r="R359" s="83" t="str">
        <f t="shared" ca="1" si="51"/>
        <v>ผ่าน</v>
      </c>
      <c r="S359" s="3" t="s">
        <v>28</v>
      </c>
    </row>
    <row r="360" spans="1:19" ht="24">
      <c r="A360" s="3">
        <v>359</v>
      </c>
      <c r="B360" s="105">
        <v>6410106125</v>
      </c>
      <c r="C360" s="4" t="s">
        <v>29</v>
      </c>
      <c r="D360" s="4" t="s">
        <v>1006</v>
      </c>
      <c r="E360" s="4" t="s">
        <v>1007</v>
      </c>
      <c r="F360" s="4" t="s">
        <v>242</v>
      </c>
      <c r="G360" s="4" t="s">
        <v>999</v>
      </c>
      <c r="H360" s="4" t="s">
        <v>1000</v>
      </c>
      <c r="I360" s="3">
        <v>3</v>
      </c>
      <c r="J360" s="29" t="str">
        <f t="shared" si="45"/>
        <v>0</v>
      </c>
      <c r="K360" s="54">
        <v>1</v>
      </c>
      <c r="L360" s="69" t="str">
        <f t="shared" si="47"/>
        <v>0</v>
      </c>
      <c r="M360" s="74" t="str">
        <f t="shared" si="48"/>
        <v>0</v>
      </c>
      <c r="N360" s="29" t="str">
        <f t="shared" si="49"/>
        <v>1</v>
      </c>
      <c r="O360" s="61" t="str">
        <f t="shared" ca="1" si="52"/>
        <v>1</v>
      </c>
      <c r="P360" s="65" t="str">
        <f t="shared" si="53"/>
        <v>1</v>
      </c>
      <c r="Q360" s="46">
        <f t="shared" ca="1" si="50"/>
        <v>4</v>
      </c>
      <c r="R360" s="83" t="str">
        <f t="shared" ca="1" si="51"/>
        <v>ผ่าน</v>
      </c>
      <c r="S360" s="3" t="s">
        <v>28</v>
      </c>
    </row>
    <row r="361" spans="1:19" ht="24">
      <c r="A361" s="3">
        <v>360</v>
      </c>
      <c r="B361" s="105">
        <v>6410106207</v>
      </c>
      <c r="C361" s="4" t="s">
        <v>29</v>
      </c>
      <c r="D361" s="4" t="s">
        <v>732</v>
      </c>
      <c r="E361" s="4" t="s">
        <v>1008</v>
      </c>
      <c r="F361" s="4" t="s">
        <v>391</v>
      </c>
      <c r="G361" s="4" t="s">
        <v>999</v>
      </c>
      <c r="H361" s="4" t="s">
        <v>1000</v>
      </c>
      <c r="I361" s="3">
        <v>3</v>
      </c>
      <c r="J361" s="29" t="str">
        <f t="shared" si="45"/>
        <v>0</v>
      </c>
      <c r="K361" s="54">
        <v>1</v>
      </c>
      <c r="L361" s="69" t="str">
        <f t="shared" si="47"/>
        <v>0</v>
      </c>
      <c r="M361" s="74" t="str">
        <f t="shared" si="48"/>
        <v>1</v>
      </c>
      <c r="N361" s="29" t="str">
        <f t="shared" si="49"/>
        <v>0</v>
      </c>
      <c r="O361" s="61" t="str">
        <f t="shared" ca="1" si="52"/>
        <v>1</v>
      </c>
      <c r="P361" s="65" t="str">
        <f t="shared" si="53"/>
        <v>0</v>
      </c>
      <c r="Q361" s="46">
        <f t="shared" ca="1" si="50"/>
        <v>3</v>
      </c>
      <c r="R361" s="83" t="str">
        <f t="shared" ca="1" si="51"/>
        <v>ผ่าน</v>
      </c>
      <c r="S361" s="3" t="s">
        <v>28</v>
      </c>
    </row>
    <row r="362" spans="1:19" ht="24">
      <c r="A362" s="3">
        <v>361</v>
      </c>
      <c r="B362" s="105">
        <v>6410106209</v>
      </c>
      <c r="C362" s="4" t="s">
        <v>29</v>
      </c>
      <c r="D362" s="4" t="s">
        <v>223</v>
      </c>
      <c r="E362" s="4" t="s">
        <v>803</v>
      </c>
      <c r="F362" s="4" t="s">
        <v>161</v>
      </c>
      <c r="G362" s="4" t="s">
        <v>999</v>
      </c>
      <c r="H362" s="4" t="s">
        <v>1000</v>
      </c>
      <c r="I362" s="3">
        <v>3</v>
      </c>
      <c r="J362" s="29" t="str">
        <f t="shared" si="45"/>
        <v>0</v>
      </c>
      <c r="K362" s="54">
        <v>1</v>
      </c>
      <c r="L362" s="69" t="str">
        <f t="shared" si="47"/>
        <v>0</v>
      </c>
      <c r="M362" s="74" t="str">
        <f t="shared" si="48"/>
        <v>0</v>
      </c>
      <c r="N362" s="29" t="str">
        <f t="shared" si="49"/>
        <v>1</v>
      </c>
      <c r="O362" s="61" t="str">
        <f t="shared" ca="1" si="52"/>
        <v>1</v>
      </c>
      <c r="P362" s="65" t="str">
        <f t="shared" si="53"/>
        <v>1</v>
      </c>
      <c r="Q362" s="46">
        <f t="shared" ca="1" si="50"/>
        <v>4</v>
      </c>
      <c r="R362" s="83" t="str">
        <f t="shared" ca="1" si="51"/>
        <v>ผ่าน</v>
      </c>
      <c r="S362" s="3" t="s">
        <v>28</v>
      </c>
    </row>
    <row r="363" spans="1:19" ht="24">
      <c r="A363" s="3">
        <v>362</v>
      </c>
      <c r="B363" s="105">
        <v>6410106215</v>
      </c>
      <c r="C363" s="4" t="s">
        <v>29</v>
      </c>
      <c r="D363" s="4" t="s">
        <v>1009</v>
      </c>
      <c r="E363" s="4" t="s">
        <v>1010</v>
      </c>
      <c r="F363" s="4" t="s">
        <v>300</v>
      </c>
      <c r="G363" s="4" t="s">
        <v>999</v>
      </c>
      <c r="H363" s="4" t="s">
        <v>1000</v>
      </c>
      <c r="I363" s="3">
        <v>3</v>
      </c>
      <c r="J363" s="29" t="str">
        <f t="shared" si="45"/>
        <v>0</v>
      </c>
      <c r="K363" s="54">
        <v>1</v>
      </c>
      <c r="L363" s="69" t="str">
        <f t="shared" si="47"/>
        <v>1</v>
      </c>
      <c r="M363" s="74" t="str">
        <f t="shared" si="48"/>
        <v>0</v>
      </c>
      <c r="N363" s="29" t="str">
        <f t="shared" si="49"/>
        <v>1</v>
      </c>
      <c r="O363" s="61" t="str">
        <f t="shared" ca="1" si="52"/>
        <v>1</v>
      </c>
      <c r="P363" s="65" t="str">
        <f t="shared" si="53"/>
        <v>1</v>
      </c>
      <c r="Q363" s="46">
        <f t="shared" ca="1" si="50"/>
        <v>5</v>
      </c>
      <c r="R363" s="83" t="str">
        <f t="shared" ca="1" si="51"/>
        <v>ผ่าน</v>
      </c>
      <c r="S363" s="3" t="s">
        <v>28</v>
      </c>
    </row>
    <row r="364" spans="1:19" ht="24">
      <c r="A364" s="3">
        <v>363</v>
      </c>
      <c r="B364" s="105">
        <v>6410106216</v>
      </c>
      <c r="C364" s="4" t="s">
        <v>29</v>
      </c>
      <c r="D364" s="4" t="s">
        <v>1011</v>
      </c>
      <c r="E364" s="4" t="s">
        <v>1012</v>
      </c>
      <c r="F364" s="4" t="s">
        <v>219</v>
      </c>
      <c r="G364" s="4" t="s">
        <v>999</v>
      </c>
      <c r="H364" s="4" t="s">
        <v>1000</v>
      </c>
      <c r="I364" s="3">
        <v>3</v>
      </c>
      <c r="J364" s="29" t="str">
        <f t="shared" si="45"/>
        <v>0</v>
      </c>
      <c r="K364" s="54">
        <v>1</v>
      </c>
      <c r="L364" s="69" t="str">
        <f t="shared" si="47"/>
        <v>0</v>
      </c>
      <c r="M364" s="74" t="str">
        <f t="shared" si="48"/>
        <v>1</v>
      </c>
      <c r="N364" s="29" t="str">
        <f t="shared" si="49"/>
        <v>0</v>
      </c>
      <c r="O364" s="61" t="str">
        <f t="shared" ca="1" si="52"/>
        <v>1</v>
      </c>
      <c r="P364" s="65" t="str">
        <f t="shared" si="53"/>
        <v>1</v>
      </c>
      <c r="Q364" s="46">
        <f t="shared" ca="1" si="50"/>
        <v>4</v>
      </c>
      <c r="R364" s="83" t="str">
        <f t="shared" ca="1" si="51"/>
        <v>ผ่าน</v>
      </c>
      <c r="S364" s="3" t="s">
        <v>28</v>
      </c>
    </row>
    <row r="365" spans="1:19" ht="24">
      <c r="A365" s="3">
        <v>364</v>
      </c>
      <c r="B365" s="105">
        <v>6310106109</v>
      </c>
      <c r="C365" s="4" t="s">
        <v>29</v>
      </c>
      <c r="D365" s="4" t="s">
        <v>1013</v>
      </c>
      <c r="E365" s="4" t="s">
        <v>1014</v>
      </c>
      <c r="F365" s="4" t="s">
        <v>1015</v>
      </c>
      <c r="G365" s="4" t="s">
        <v>999</v>
      </c>
      <c r="H365" s="4" t="s">
        <v>1000</v>
      </c>
      <c r="I365" s="3">
        <v>4</v>
      </c>
      <c r="J365" s="29" t="str">
        <f t="shared" si="45"/>
        <v>1</v>
      </c>
      <c r="K365" s="54" t="str">
        <f t="shared" si="54"/>
        <v>1</v>
      </c>
      <c r="L365" s="69" t="str">
        <f t="shared" si="47"/>
        <v>0</v>
      </c>
      <c r="M365" s="74" t="str">
        <f t="shared" si="48"/>
        <v>1</v>
      </c>
      <c r="N365" s="29" t="str">
        <f t="shared" si="49"/>
        <v>0</v>
      </c>
      <c r="O365" s="61">
        <v>1</v>
      </c>
      <c r="P365" s="65">
        <v>1</v>
      </c>
      <c r="Q365" s="46">
        <f t="shared" si="50"/>
        <v>5</v>
      </c>
      <c r="R365" s="83" t="str">
        <f t="shared" si="51"/>
        <v>ผ่าน</v>
      </c>
      <c r="S365" s="3" t="s">
        <v>28</v>
      </c>
    </row>
    <row r="366" spans="1:19" ht="24">
      <c r="A366" s="3">
        <v>365</v>
      </c>
      <c r="B366" s="105">
        <v>6310106204</v>
      </c>
      <c r="C366" s="4" t="s">
        <v>29</v>
      </c>
      <c r="D366" s="4" t="s">
        <v>1016</v>
      </c>
      <c r="E366" s="4" t="s">
        <v>1017</v>
      </c>
      <c r="F366" s="4" t="s">
        <v>193</v>
      </c>
      <c r="G366" s="4" t="s">
        <v>999</v>
      </c>
      <c r="H366" s="4" t="s">
        <v>1000</v>
      </c>
      <c r="I366" s="3">
        <v>4</v>
      </c>
      <c r="J366" s="29" t="str">
        <f t="shared" si="45"/>
        <v>1</v>
      </c>
      <c r="K366" s="54" t="str">
        <f t="shared" si="54"/>
        <v>1</v>
      </c>
      <c r="L366" s="69" t="str">
        <f t="shared" si="47"/>
        <v>0</v>
      </c>
      <c r="M366" s="74" t="str">
        <f t="shared" si="48"/>
        <v>1</v>
      </c>
      <c r="N366" s="29" t="str">
        <f t="shared" si="49"/>
        <v>0</v>
      </c>
      <c r="O366" s="61">
        <v>1</v>
      </c>
      <c r="P366" s="65">
        <v>1</v>
      </c>
      <c r="Q366" s="46">
        <f t="shared" si="50"/>
        <v>5</v>
      </c>
      <c r="R366" s="83" t="str">
        <f t="shared" si="51"/>
        <v>ผ่าน</v>
      </c>
      <c r="S366" s="3" t="s">
        <v>28</v>
      </c>
    </row>
    <row r="367" spans="1:19" ht="24">
      <c r="A367" s="3">
        <v>366</v>
      </c>
      <c r="B367" s="105">
        <v>6310106216</v>
      </c>
      <c r="C367" s="4" t="s">
        <v>29</v>
      </c>
      <c r="D367" s="4" t="s">
        <v>1018</v>
      </c>
      <c r="E367" s="4" t="s">
        <v>1019</v>
      </c>
      <c r="F367" s="4" t="s">
        <v>1020</v>
      </c>
      <c r="G367" s="4" t="s">
        <v>999</v>
      </c>
      <c r="H367" s="4" t="s">
        <v>1000</v>
      </c>
      <c r="I367" s="3">
        <v>4</v>
      </c>
      <c r="J367" s="29" t="str">
        <f t="shared" si="45"/>
        <v>0</v>
      </c>
      <c r="K367" s="54">
        <v>1</v>
      </c>
      <c r="L367" s="69" t="str">
        <f t="shared" si="47"/>
        <v>0</v>
      </c>
      <c r="M367" s="74" t="str">
        <f t="shared" si="48"/>
        <v>1</v>
      </c>
      <c r="N367" s="29" t="str">
        <f t="shared" si="49"/>
        <v>0</v>
      </c>
      <c r="O367" s="61">
        <v>1</v>
      </c>
      <c r="P367" s="65">
        <v>1</v>
      </c>
      <c r="Q367" s="46">
        <f t="shared" si="50"/>
        <v>4</v>
      </c>
      <c r="R367" s="83" t="str">
        <f t="shared" si="51"/>
        <v>ผ่าน</v>
      </c>
      <c r="S367" s="3" t="s">
        <v>28</v>
      </c>
    </row>
    <row r="368" spans="1:19" ht="24">
      <c r="A368" s="3">
        <v>367</v>
      </c>
      <c r="B368" s="105">
        <v>6510106120</v>
      </c>
      <c r="C368" s="4" t="s">
        <v>29</v>
      </c>
      <c r="D368" s="4" t="s">
        <v>1021</v>
      </c>
      <c r="E368" s="4" t="s">
        <v>1022</v>
      </c>
      <c r="F368" s="4" t="s">
        <v>1023</v>
      </c>
      <c r="G368" s="4" t="s">
        <v>999</v>
      </c>
      <c r="H368" s="4" t="s">
        <v>1024</v>
      </c>
      <c r="I368" s="3">
        <v>2</v>
      </c>
      <c r="J368" s="29" t="str">
        <f t="shared" si="45"/>
        <v>0</v>
      </c>
      <c r="K368" s="54" t="str">
        <f t="shared" si="54"/>
        <v>1</v>
      </c>
      <c r="L368" s="69" t="str">
        <f t="shared" si="47"/>
        <v>0</v>
      </c>
      <c r="M368" s="74" t="str">
        <f t="shared" si="48"/>
        <v>0</v>
      </c>
      <c r="N368" s="29" t="str">
        <f t="shared" si="49"/>
        <v>1</v>
      </c>
      <c r="O368" s="61" t="str">
        <f t="shared" ca="1" si="52"/>
        <v>1</v>
      </c>
      <c r="P368" s="65" t="str">
        <f t="shared" si="53"/>
        <v>1</v>
      </c>
      <c r="Q368" s="46">
        <f t="shared" ca="1" si="50"/>
        <v>4</v>
      </c>
      <c r="R368" s="83" t="str">
        <f t="shared" ca="1" si="51"/>
        <v>ผ่าน</v>
      </c>
      <c r="S368" s="3" t="s">
        <v>28</v>
      </c>
    </row>
    <row r="369" spans="1:19" ht="24">
      <c r="A369" s="3">
        <v>368</v>
      </c>
      <c r="B369" s="105">
        <v>6410106104</v>
      </c>
      <c r="C369" s="4" t="s">
        <v>22</v>
      </c>
      <c r="D369" s="4" t="s">
        <v>1025</v>
      </c>
      <c r="E369" s="4" t="s">
        <v>1026</v>
      </c>
      <c r="F369" s="4" t="s">
        <v>1027</v>
      </c>
      <c r="G369" s="4" t="s">
        <v>999</v>
      </c>
      <c r="H369" s="4" t="s">
        <v>1024</v>
      </c>
      <c r="I369" s="3">
        <v>3</v>
      </c>
      <c r="J369" s="29" t="str">
        <f t="shared" si="45"/>
        <v>0</v>
      </c>
      <c r="K369" s="54">
        <v>1</v>
      </c>
      <c r="L369" s="69" t="str">
        <f t="shared" si="47"/>
        <v>0</v>
      </c>
      <c r="M369" s="74" t="str">
        <f t="shared" si="48"/>
        <v>0</v>
      </c>
      <c r="N369" s="29" t="str">
        <f t="shared" si="49"/>
        <v>1</v>
      </c>
      <c r="O369" s="61" t="str">
        <f t="shared" ca="1" si="52"/>
        <v>1</v>
      </c>
      <c r="P369" s="65" t="str">
        <f t="shared" si="53"/>
        <v>1</v>
      </c>
      <c r="Q369" s="46">
        <f t="shared" ca="1" si="50"/>
        <v>4</v>
      </c>
      <c r="R369" s="83" t="str">
        <f t="shared" ca="1" si="51"/>
        <v>ผ่าน</v>
      </c>
      <c r="S369" s="3" t="s">
        <v>28</v>
      </c>
    </row>
    <row r="370" spans="1:19" ht="24">
      <c r="A370" s="3">
        <v>369</v>
      </c>
      <c r="B370" s="105">
        <v>6410106114</v>
      </c>
      <c r="C370" s="4" t="s">
        <v>29</v>
      </c>
      <c r="D370" s="4" t="s">
        <v>1028</v>
      </c>
      <c r="E370" s="4" t="s">
        <v>82</v>
      </c>
      <c r="F370" s="4" t="s">
        <v>300</v>
      </c>
      <c r="G370" s="4" t="s">
        <v>999</v>
      </c>
      <c r="H370" s="4" t="s">
        <v>1024</v>
      </c>
      <c r="I370" s="3">
        <v>3</v>
      </c>
      <c r="J370" s="29" t="str">
        <f t="shared" si="45"/>
        <v>0</v>
      </c>
      <c r="K370" s="54" t="str">
        <f t="shared" si="54"/>
        <v>1</v>
      </c>
      <c r="L370" s="69" t="str">
        <f t="shared" si="47"/>
        <v>0</v>
      </c>
      <c r="M370" s="74" t="str">
        <f t="shared" si="48"/>
        <v>1</v>
      </c>
      <c r="N370" s="29" t="str">
        <f t="shared" si="49"/>
        <v>0</v>
      </c>
      <c r="O370" s="61" t="str">
        <f t="shared" ca="1" si="52"/>
        <v>1</v>
      </c>
      <c r="P370" s="65" t="str">
        <f t="shared" si="53"/>
        <v>1</v>
      </c>
      <c r="Q370" s="46">
        <f t="shared" ca="1" si="50"/>
        <v>4</v>
      </c>
      <c r="R370" s="83" t="str">
        <f t="shared" ca="1" si="51"/>
        <v>ผ่าน</v>
      </c>
      <c r="S370" s="3" t="s">
        <v>28</v>
      </c>
    </row>
    <row r="371" spans="1:19" ht="24">
      <c r="A371" s="3">
        <v>370</v>
      </c>
      <c r="B371" s="105">
        <v>6410106127</v>
      </c>
      <c r="C371" s="4" t="s">
        <v>29</v>
      </c>
      <c r="D371" s="4" t="s">
        <v>1029</v>
      </c>
      <c r="E371" s="4" t="s">
        <v>1030</v>
      </c>
      <c r="F371" s="4" t="s">
        <v>424</v>
      </c>
      <c r="G371" s="4" t="s">
        <v>999</v>
      </c>
      <c r="H371" s="4" t="s">
        <v>1024</v>
      </c>
      <c r="I371" s="3">
        <v>3</v>
      </c>
      <c r="J371" s="29" t="str">
        <f t="shared" si="45"/>
        <v>0</v>
      </c>
      <c r="K371" s="54">
        <v>1</v>
      </c>
      <c r="L371" s="69" t="str">
        <f t="shared" si="47"/>
        <v>0</v>
      </c>
      <c r="M371" s="74" t="str">
        <f t="shared" si="48"/>
        <v>1</v>
      </c>
      <c r="N371" s="29" t="str">
        <f t="shared" si="49"/>
        <v>0</v>
      </c>
      <c r="O371" s="61" t="str">
        <f t="shared" ca="1" si="52"/>
        <v>1</v>
      </c>
      <c r="P371" s="65" t="str">
        <f t="shared" si="53"/>
        <v>1</v>
      </c>
      <c r="Q371" s="46">
        <f t="shared" ca="1" si="50"/>
        <v>4</v>
      </c>
      <c r="R371" s="83" t="str">
        <f t="shared" ca="1" si="51"/>
        <v>ผ่าน</v>
      </c>
      <c r="S371" s="3" t="s">
        <v>28</v>
      </c>
    </row>
    <row r="372" spans="1:19" ht="24">
      <c r="A372" s="3">
        <v>371</v>
      </c>
      <c r="B372" s="105">
        <v>6410106132</v>
      </c>
      <c r="C372" s="4" t="s">
        <v>29</v>
      </c>
      <c r="D372" s="4" t="s">
        <v>1031</v>
      </c>
      <c r="E372" s="4" t="s">
        <v>1032</v>
      </c>
      <c r="F372" s="4" t="s">
        <v>322</v>
      </c>
      <c r="G372" s="4" t="s">
        <v>999</v>
      </c>
      <c r="H372" s="4" t="s">
        <v>1024</v>
      </c>
      <c r="I372" s="3">
        <v>3</v>
      </c>
      <c r="J372" s="29" t="str">
        <f t="shared" si="45"/>
        <v>0</v>
      </c>
      <c r="K372" s="54">
        <v>1</v>
      </c>
      <c r="L372" s="69" t="str">
        <f t="shared" si="47"/>
        <v>0</v>
      </c>
      <c r="M372" s="74" t="str">
        <f t="shared" si="48"/>
        <v>1</v>
      </c>
      <c r="N372" s="29" t="str">
        <f t="shared" si="49"/>
        <v>0</v>
      </c>
      <c r="O372" s="61" t="str">
        <f t="shared" ca="1" si="52"/>
        <v>0</v>
      </c>
      <c r="P372" s="65" t="str">
        <f t="shared" si="53"/>
        <v>1</v>
      </c>
      <c r="Q372" s="46">
        <f t="shared" ca="1" si="50"/>
        <v>3</v>
      </c>
      <c r="R372" s="83" t="str">
        <f t="shared" ca="1" si="51"/>
        <v>ผ่าน</v>
      </c>
      <c r="S372" s="3" t="s">
        <v>28</v>
      </c>
    </row>
    <row r="373" spans="1:19" ht="24">
      <c r="A373" s="3">
        <v>372</v>
      </c>
      <c r="B373" s="105">
        <v>6410106205</v>
      </c>
      <c r="C373" s="4" t="s">
        <v>29</v>
      </c>
      <c r="D373" s="4" t="s">
        <v>197</v>
      </c>
      <c r="E373" s="4" t="s">
        <v>1033</v>
      </c>
      <c r="F373" s="4" t="s">
        <v>1034</v>
      </c>
      <c r="G373" s="4" t="s">
        <v>999</v>
      </c>
      <c r="H373" s="4" t="s">
        <v>1024</v>
      </c>
      <c r="I373" s="3">
        <v>3</v>
      </c>
      <c r="J373" s="29" t="str">
        <f t="shared" si="45"/>
        <v>0</v>
      </c>
      <c r="K373" s="54" t="str">
        <f t="shared" si="54"/>
        <v>0</v>
      </c>
      <c r="L373" s="69" t="str">
        <f t="shared" si="47"/>
        <v>0</v>
      </c>
      <c r="M373" s="74" t="str">
        <f t="shared" si="48"/>
        <v>0</v>
      </c>
      <c r="N373" s="29" t="str">
        <f t="shared" si="49"/>
        <v>0</v>
      </c>
      <c r="O373" s="61" t="str">
        <f t="shared" ca="1" si="52"/>
        <v>0</v>
      </c>
      <c r="P373" s="65" t="str">
        <f t="shared" si="53"/>
        <v>0</v>
      </c>
      <c r="Q373" s="46">
        <f t="shared" ca="1" si="50"/>
        <v>0</v>
      </c>
      <c r="R373" s="3" t="str">
        <f t="shared" ca="1" si="51"/>
        <v>ไม่ผ่าน</v>
      </c>
      <c r="S373" s="3" t="s">
        <v>28</v>
      </c>
    </row>
    <row r="374" spans="1:19" ht="24">
      <c r="A374" s="3">
        <v>373</v>
      </c>
      <c r="B374" s="105">
        <v>6410106210</v>
      </c>
      <c r="C374" s="4" t="s">
        <v>29</v>
      </c>
      <c r="D374" s="4" t="s">
        <v>1035</v>
      </c>
      <c r="E374" s="4" t="s">
        <v>1036</v>
      </c>
      <c r="F374" s="4" t="s">
        <v>236</v>
      </c>
      <c r="G374" s="4" t="s">
        <v>999</v>
      </c>
      <c r="H374" s="4" t="s">
        <v>1024</v>
      </c>
      <c r="I374" s="3">
        <v>3</v>
      </c>
      <c r="J374" s="29" t="str">
        <f t="shared" si="45"/>
        <v>0</v>
      </c>
      <c r="K374" s="54">
        <v>1</v>
      </c>
      <c r="L374" s="69" t="str">
        <f t="shared" si="47"/>
        <v>0</v>
      </c>
      <c r="M374" s="74" t="str">
        <f t="shared" si="48"/>
        <v>1</v>
      </c>
      <c r="N374" s="29" t="str">
        <f t="shared" si="49"/>
        <v>0</v>
      </c>
      <c r="O374" s="61" t="str">
        <f t="shared" ca="1" si="52"/>
        <v>1</v>
      </c>
      <c r="P374" s="65" t="str">
        <f t="shared" si="53"/>
        <v>1</v>
      </c>
      <c r="Q374" s="46">
        <f t="shared" ca="1" si="50"/>
        <v>4</v>
      </c>
      <c r="R374" s="83" t="str">
        <f t="shared" ca="1" si="51"/>
        <v>ผ่าน</v>
      </c>
      <c r="S374" s="3" t="s">
        <v>28</v>
      </c>
    </row>
    <row r="375" spans="1:19" ht="24">
      <c r="A375" s="3">
        <v>374</v>
      </c>
      <c r="B375" s="105">
        <v>6410106219</v>
      </c>
      <c r="C375" s="4" t="s">
        <v>29</v>
      </c>
      <c r="D375" s="4" t="s">
        <v>1037</v>
      </c>
      <c r="E375" s="4" t="s">
        <v>1038</v>
      </c>
      <c r="F375" s="4" t="s">
        <v>104</v>
      </c>
      <c r="G375" s="4" t="s">
        <v>999</v>
      </c>
      <c r="H375" s="4" t="s">
        <v>1024</v>
      </c>
      <c r="I375" s="3">
        <v>3</v>
      </c>
      <c r="J375" s="29" t="str">
        <f t="shared" si="45"/>
        <v>0</v>
      </c>
      <c r="K375" s="54" t="str">
        <f t="shared" si="54"/>
        <v>1</v>
      </c>
      <c r="L375" s="69" t="str">
        <f t="shared" si="47"/>
        <v>0</v>
      </c>
      <c r="M375" s="74" t="str">
        <f t="shared" si="48"/>
        <v>1</v>
      </c>
      <c r="N375" s="29" t="str">
        <f t="shared" si="49"/>
        <v>0</v>
      </c>
      <c r="O375" s="61" t="str">
        <f t="shared" ca="1" si="52"/>
        <v>0</v>
      </c>
      <c r="P375" s="65" t="str">
        <f t="shared" si="53"/>
        <v>1</v>
      </c>
      <c r="Q375" s="46">
        <f t="shared" ca="1" si="50"/>
        <v>3</v>
      </c>
      <c r="R375" s="83" t="str">
        <f t="shared" ca="1" si="51"/>
        <v>ผ่าน</v>
      </c>
      <c r="S375" s="3" t="s">
        <v>28</v>
      </c>
    </row>
    <row r="376" spans="1:19" ht="24">
      <c r="A376" s="3">
        <v>375</v>
      </c>
      <c r="B376" s="105">
        <v>6612855107</v>
      </c>
      <c r="C376" s="4" t="s">
        <v>22</v>
      </c>
      <c r="D376" s="4" t="s">
        <v>499</v>
      </c>
      <c r="E376" s="4" t="s">
        <v>1039</v>
      </c>
      <c r="F376" s="4" t="s">
        <v>1040</v>
      </c>
      <c r="G376" s="4" t="s">
        <v>999</v>
      </c>
      <c r="H376" s="4" t="s">
        <v>1041</v>
      </c>
      <c r="I376" s="3">
        <v>1</v>
      </c>
      <c r="J376" s="29" t="str">
        <f t="shared" si="45"/>
        <v>0</v>
      </c>
      <c r="K376" s="54" t="str">
        <f t="shared" si="54"/>
        <v>1</v>
      </c>
      <c r="L376" s="69" t="str">
        <f t="shared" si="47"/>
        <v>0</v>
      </c>
      <c r="M376" s="74" t="str">
        <f t="shared" si="48"/>
        <v>0</v>
      </c>
      <c r="N376" s="29" t="str">
        <f t="shared" si="49"/>
        <v>0</v>
      </c>
      <c r="O376" s="61" t="str">
        <f t="shared" ca="1" si="52"/>
        <v>0</v>
      </c>
      <c r="P376" s="65" t="str">
        <f t="shared" si="53"/>
        <v>0</v>
      </c>
      <c r="Q376" s="46">
        <f t="shared" ca="1" si="50"/>
        <v>1</v>
      </c>
      <c r="R376" s="3" t="str">
        <f t="shared" ca="1" si="51"/>
        <v>ไม่ผ่าน</v>
      </c>
      <c r="S376" s="3" t="s">
        <v>28</v>
      </c>
    </row>
    <row r="377" spans="1:19" ht="24">
      <c r="A377" s="3">
        <v>376</v>
      </c>
      <c r="B377" s="105">
        <v>6512855106</v>
      </c>
      <c r="C377" s="4" t="s">
        <v>22</v>
      </c>
      <c r="D377" s="4" t="s">
        <v>544</v>
      </c>
      <c r="E377" s="4" t="s">
        <v>1042</v>
      </c>
      <c r="F377" s="4" t="s">
        <v>1043</v>
      </c>
      <c r="G377" s="4" t="s">
        <v>999</v>
      </c>
      <c r="H377" s="4" t="s">
        <v>1041</v>
      </c>
      <c r="I377" s="3">
        <v>2</v>
      </c>
      <c r="J377" s="29" t="str">
        <f t="shared" si="45"/>
        <v>1</v>
      </c>
      <c r="K377" s="54">
        <v>1</v>
      </c>
      <c r="L377" s="69" t="str">
        <f t="shared" si="47"/>
        <v>0</v>
      </c>
      <c r="M377" s="74" t="str">
        <f t="shared" si="48"/>
        <v>0</v>
      </c>
      <c r="N377" s="29" t="str">
        <f t="shared" si="49"/>
        <v>0</v>
      </c>
      <c r="O377" s="61" t="str">
        <f t="shared" ca="1" si="52"/>
        <v>0</v>
      </c>
      <c r="P377" s="65" t="str">
        <f t="shared" si="53"/>
        <v>0</v>
      </c>
      <c r="Q377" s="46">
        <f t="shared" ca="1" si="50"/>
        <v>2</v>
      </c>
      <c r="R377" s="3" t="str">
        <f t="shared" ca="1" si="51"/>
        <v>ไม่ผ่าน</v>
      </c>
      <c r="S377" s="3" t="s">
        <v>28</v>
      </c>
    </row>
    <row r="378" spans="1:19" ht="24">
      <c r="A378" s="3">
        <v>377</v>
      </c>
      <c r="B378" s="105">
        <v>6312855110</v>
      </c>
      <c r="C378" s="4" t="s">
        <v>22</v>
      </c>
      <c r="D378" s="4" t="s">
        <v>1044</v>
      </c>
      <c r="E378" s="4" t="s">
        <v>1045</v>
      </c>
      <c r="F378" s="4" t="s">
        <v>1046</v>
      </c>
      <c r="G378" s="4" t="s">
        <v>999</v>
      </c>
      <c r="H378" s="4" t="s">
        <v>1041</v>
      </c>
      <c r="I378" s="3">
        <v>4</v>
      </c>
      <c r="J378" s="29" t="str">
        <f t="shared" si="45"/>
        <v>0</v>
      </c>
      <c r="K378" s="54">
        <v>1</v>
      </c>
      <c r="L378" s="69" t="str">
        <f t="shared" si="47"/>
        <v>0</v>
      </c>
      <c r="M378" s="74" t="str">
        <f t="shared" si="48"/>
        <v>0</v>
      </c>
      <c r="N378" s="29" t="str">
        <f t="shared" si="49"/>
        <v>0</v>
      </c>
      <c r="O378" s="61" t="str">
        <f t="shared" ca="1" si="52"/>
        <v>1</v>
      </c>
      <c r="P378" s="65">
        <v>1</v>
      </c>
      <c r="Q378" s="46">
        <f t="shared" ca="1" si="50"/>
        <v>3</v>
      </c>
      <c r="R378" s="83" t="str">
        <f t="shared" ca="1" si="51"/>
        <v>ผ่าน</v>
      </c>
      <c r="S378" s="3" t="s">
        <v>28</v>
      </c>
    </row>
    <row r="379" spans="1:19" ht="24">
      <c r="A379" s="3">
        <v>378</v>
      </c>
      <c r="B379" s="105">
        <v>6410095107</v>
      </c>
      <c r="C379" s="4" t="s">
        <v>29</v>
      </c>
      <c r="D379" s="4" t="s">
        <v>1047</v>
      </c>
      <c r="E379" s="4" t="s">
        <v>1048</v>
      </c>
      <c r="F379" s="4" t="s">
        <v>1049</v>
      </c>
      <c r="G379" s="4" t="s">
        <v>999</v>
      </c>
      <c r="H379" s="4" t="s">
        <v>1050</v>
      </c>
      <c r="I379" s="3">
        <v>3</v>
      </c>
      <c r="J379" s="29" t="str">
        <f t="shared" si="45"/>
        <v>1</v>
      </c>
      <c r="K379" s="54" t="str">
        <f t="shared" si="54"/>
        <v>0</v>
      </c>
      <c r="L379" s="69" t="str">
        <f t="shared" si="47"/>
        <v>1</v>
      </c>
      <c r="M379" s="74" t="str">
        <f t="shared" si="48"/>
        <v>1</v>
      </c>
      <c r="N379" s="29" t="str">
        <f t="shared" si="49"/>
        <v>0</v>
      </c>
      <c r="O379" s="61" t="str">
        <f t="shared" ca="1" si="52"/>
        <v>1</v>
      </c>
      <c r="P379" s="65" t="str">
        <f t="shared" si="53"/>
        <v>1</v>
      </c>
      <c r="Q379" s="46">
        <f t="shared" ca="1" si="50"/>
        <v>5</v>
      </c>
      <c r="R379" s="83" t="str">
        <f t="shared" ca="1" si="51"/>
        <v>ผ่าน</v>
      </c>
      <c r="S379" s="3" t="s">
        <v>28</v>
      </c>
    </row>
    <row r="380" spans="1:19" ht="24">
      <c r="A380" s="3">
        <v>379</v>
      </c>
      <c r="B380" s="105">
        <v>6612798102</v>
      </c>
      <c r="C380" s="4" t="s">
        <v>29</v>
      </c>
      <c r="D380" s="4" t="s">
        <v>1051</v>
      </c>
      <c r="E380" s="4" t="s">
        <v>1052</v>
      </c>
      <c r="F380" s="4" t="s">
        <v>1053</v>
      </c>
      <c r="G380" s="4" t="s">
        <v>999</v>
      </c>
      <c r="H380" s="4" t="s">
        <v>735</v>
      </c>
      <c r="I380" s="3">
        <v>1</v>
      </c>
      <c r="J380" s="29" t="str">
        <f t="shared" si="45"/>
        <v>0</v>
      </c>
      <c r="K380" s="54" t="str">
        <f t="shared" si="54"/>
        <v>1</v>
      </c>
      <c r="L380" s="69" t="str">
        <f t="shared" si="47"/>
        <v>0</v>
      </c>
      <c r="M380" s="74" t="str">
        <f t="shared" si="48"/>
        <v>0</v>
      </c>
      <c r="N380" s="29" t="str">
        <f t="shared" si="49"/>
        <v>0</v>
      </c>
      <c r="O380" s="61" t="str">
        <f t="shared" ca="1" si="52"/>
        <v>1</v>
      </c>
      <c r="P380" s="65" t="str">
        <f t="shared" si="53"/>
        <v>1</v>
      </c>
      <c r="Q380" s="46">
        <f t="shared" ca="1" si="50"/>
        <v>3</v>
      </c>
      <c r="R380" s="83" t="str">
        <f t="shared" ca="1" si="51"/>
        <v>ผ่าน</v>
      </c>
      <c r="S380" s="3" t="s">
        <v>28</v>
      </c>
    </row>
    <row r="381" spans="1:19" ht="24">
      <c r="A381" s="3">
        <v>380</v>
      </c>
      <c r="B381" s="105">
        <v>6612798104</v>
      </c>
      <c r="C381" s="4" t="s">
        <v>29</v>
      </c>
      <c r="D381" s="4" t="s">
        <v>1054</v>
      </c>
      <c r="E381" s="4" t="s">
        <v>1055</v>
      </c>
      <c r="F381" s="4" t="s">
        <v>1056</v>
      </c>
      <c r="G381" s="4" t="s">
        <v>999</v>
      </c>
      <c r="H381" s="4" t="s">
        <v>735</v>
      </c>
      <c r="I381" s="3">
        <v>1</v>
      </c>
      <c r="J381" s="29" t="str">
        <f t="shared" si="45"/>
        <v>0</v>
      </c>
      <c r="K381" s="54" t="str">
        <f t="shared" si="54"/>
        <v>0</v>
      </c>
      <c r="L381" s="69" t="str">
        <f t="shared" si="47"/>
        <v>0</v>
      </c>
      <c r="M381" s="74" t="str">
        <f t="shared" si="48"/>
        <v>0</v>
      </c>
      <c r="N381" s="29" t="str">
        <f t="shared" si="49"/>
        <v>0</v>
      </c>
      <c r="O381" s="61" t="str">
        <f t="shared" ca="1" si="52"/>
        <v>0</v>
      </c>
      <c r="P381" s="65" t="str">
        <f t="shared" si="53"/>
        <v>0</v>
      </c>
      <c r="Q381" s="46">
        <f t="shared" ca="1" si="50"/>
        <v>0</v>
      </c>
      <c r="R381" s="3" t="str">
        <f t="shared" ca="1" si="51"/>
        <v>ไม่ผ่าน</v>
      </c>
      <c r="S381" s="3" t="s">
        <v>28</v>
      </c>
    </row>
    <row r="382" spans="1:19" ht="24">
      <c r="A382" s="3">
        <v>381</v>
      </c>
      <c r="B382" s="105">
        <v>6612798107</v>
      </c>
      <c r="C382" s="4" t="s">
        <v>29</v>
      </c>
      <c r="D382" s="4" t="s">
        <v>1057</v>
      </c>
      <c r="E382" s="4" t="s">
        <v>1058</v>
      </c>
      <c r="F382" s="4" t="s">
        <v>1059</v>
      </c>
      <c r="G382" s="4" t="s">
        <v>999</v>
      </c>
      <c r="H382" s="4" t="s">
        <v>735</v>
      </c>
      <c r="I382" s="3">
        <v>1</v>
      </c>
      <c r="J382" s="29" t="str">
        <f t="shared" si="45"/>
        <v>0</v>
      </c>
      <c r="K382" s="54" t="str">
        <f t="shared" si="54"/>
        <v>1</v>
      </c>
      <c r="L382" s="69" t="str">
        <f t="shared" si="47"/>
        <v>0</v>
      </c>
      <c r="M382" s="74" t="str">
        <f t="shared" si="48"/>
        <v>1</v>
      </c>
      <c r="N382" s="29" t="str">
        <f t="shared" si="49"/>
        <v>0</v>
      </c>
      <c r="O382" s="61" t="str">
        <f t="shared" ca="1" si="52"/>
        <v>1</v>
      </c>
      <c r="P382" s="65" t="str">
        <f t="shared" si="53"/>
        <v>0</v>
      </c>
      <c r="Q382" s="46">
        <f t="shared" ca="1" si="50"/>
        <v>3</v>
      </c>
      <c r="R382" s="83" t="str">
        <f t="shared" ca="1" si="51"/>
        <v>ผ่าน</v>
      </c>
      <c r="S382" s="3" t="s">
        <v>28</v>
      </c>
    </row>
    <row r="383" spans="1:19" ht="24">
      <c r="A383" s="3">
        <v>382</v>
      </c>
      <c r="B383" s="105">
        <v>6612798109</v>
      </c>
      <c r="C383" s="4" t="s">
        <v>29</v>
      </c>
      <c r="D383" s="4" t="s">
        <v>1060</v>
      </c>
      <c r="E383" s="4" t="s">
        <v>1061</v>
      </c>
      <c r="F383" s="4" t="s">
        <v>1062</v>
      </c>
      <c r="G383" s="4" t="s">
        <v>999</v>
      </c>
      <c r="H383" s="4" t="s">
        <v>735</v>
      </c>
      <c r="I383" s="3">
        <v>1</v>
      </c>
      <c r="J383" s="29" t="str">
        <f t="shared" si="45"/>
        <v>0</v>
      </c>
      <c r="K383" s="54" t="str">
        <f t="shared" si="54"/>
        <v>1</v>
      </c>
      <c r="L383" s="69" t="str">
        <f t="shared" si="47"/>
        <v>0</v>
      </c>
      <c r="M383" s="74" t="str">
        <f t="shared" si="48"/>
        <v>0</v>
      </c>
      <c r="N383" s="29" t="str">
        <f t="shared" si="49"/>
        <v>0</v>
      </c>
      <c r="O383" s="61" t="str">
        <f t="shared" ca="1" si="52"/>
        <v>1</v>
      </c>
      <c r="P383" s="65" t="str">
        <f t="shared" si="53"/>
        <v>1</v>
      </c>
      <c r="Q383" s="46">
        <f t="shared" ca="1" si="50"/>
        <v>3</v>
      </c>
      <c r="R383" s="83" t="str">
        <f t="shared" ca="1" si="51"/>
        <v>ผ่าน</v>
      </c>
      <c r="S383" s="3" t="s">
        <v>28</v>
      </c>
    </row>
    <row r="384" spans="1:19" ht="24">
      <c r="A384" s="3">
        <v>383</v>
      </c>
      <c r="B384" s="105">
        <v>6612798114</v>
      </c>
      <c r="C384" s="4" t="s">
        <v>29</v>
      </c>
      <c r="D384" s="4" t="s">
        <v>125</v>
      </c>
      <c r="E384" s="4" t="s">
        <v>1063</v>
      </c>
      <c r="F384" s="4" t="s">
        <v>507</v>
      </c>
      <c r="G384" s="4" t="s">
        <v>999</v>
      </c>
      <c r="H384" s="4" t="s">
        <v>735</v>
      </c>
      <c r="I384" s="3">
        <v>1</v>
      </c>
      <c r="J384" s="29" t="str">
        <f t="shared" si="45"/>
        <v>0</v>
      </c>
      <c r="K384" s="54" t="str">
        <f t="shared" si="54"/>
        <v>1</v>
      </c>
      <c r="L384" s="69" t="str">
        <f t="shared" si="47"/>
        <v>0</v>
      </c>
      <c r="M384" s="74" t="str">
        <f t="shared" si="48"/>
        <v>1</v>
      </c>
      <c r="N384" s="29" t="str">
        <f t="shared" si="49"/>
        <v>0</v>
      </c>
      <c r="O384" s="61" t="str">
        <f t="shared" ca="1" si="52"/>
        <v>1</v>
      </c>
      <c r="P384" s="65" t="str">
        <f t="shared" si="53"/>
        <v>1</v>
      </c>
      <c r="Q384" s="46">
        <f t="shared" ca="1" si="50"/>
        <v>4</v>
      </c>
      <c r="R384" s="83" t="str">
        <f t="shared" ca="1" si="51"/>
        <v>ผ่าน</v>
      </c>
      <c r="S384" s="3" t="s">
        <v>28</v>
      </c>
    </row>
    <row r="385" spans="1:19" ht="24">
      <c r="A385" s="3">
        <v>384</v>
      </c>
      <c r="B385" s="105">
        <v>6612798115</v>
      </c>
      <c r="C385" s="4" t="s">
        <v>29</v>
      </c>
      <c r="D385" s="4" t="s">
        <v>84</v>
      </c>
      <c r="E385" s="4" t="s">
        <v>1064</v>
      </c>
      <c r="F385" s="4" t="s">
        <v>1065</v>
      </c>
      <c r="G385" s="4" t="s">
        <v>999</v>
      </c>
      <c r="H385" s="4" t="s">
        <v>735</v>
      </c>
      <c r="I385" s="3">
        <v>1</v>
      </c>
      <c r="J385" s="29" t="str">
        <f t="shared" si="45"/>
        <v>0</v>
      </c>
      <c r="K385" s="54" t="str">
        <f t="shared" si="54"/>
        <v>1</v>
      </c>
      <c r="L385" s="69" t="str">
        <f t="shared" si="47"/>
        <v>0</v>
      </c>
      <c r="M385" s="74" t="str">
        <f t="shared" si="48"/>
        <v>1</v>
      </c>
      <c r="N385" s="29" t="str">
        <f t="shared" si="49"/>
        <v>0</v>
      </c>
      <c r="O385" s="61" t="str">
        <f t="shared" ca="1" si="52"/>
        <v>1</v>
      </c>
      <c r="P385" s="65" t="str">
        <f t="shared" si="53"/>
        <v>1</v>
      </c>
      <c r="Q385" s="46">
        <f t="shared" ca="1" si="50"/>
        <v>4</v>
      </c>
      <c r="R385" s="83" t="str">
        <f t="shared" ca="1" si="51"/>
        <v>ผ่าน</v>
      </c>
      <c r="S385" s="3" t="s">
        <v>28</v>
      </c>
    </row>
    <row r="386" spans="1:19" ht="24">
      <c r="A386" s="3">
        <v>385</v>
      </c>
      <c r="B386" s="105">
        <v>6612798117</v>
      </c>
      <c r="C386" s="4" t="s">
        <v>29</v>
      </c>
      <c r="D386" s="4" t="s">
        <v>363</v>
      </c>
      <c r="E386" s="4" t="s">
        <v>1066</v>
      </c>
      <c r="F386" s="4" t="s">
        <v>1067</v>
      </c>
      <c r="G386" s="4" t="s">
        <v>999</v>
      </c>
      <c r="H386" s="4" t="s">
        <v>735</v>
      </c>
      <c r="I386" s="3">
        <v>1</v>
      </c>
      <c r="J386" s="29" t="str">
        <f t="shared" ref="J386:J449" si="55">IF(IFERROR(VLOOKUP(B386,DATA,1,FALSE),),"1","0")</f>
        <v>0</v>
      </c>
      <c r="K386" s="54" t="str">
        <f t="shared" si="54"/>
        <v>1</v>
      </c>
      <c r="L386" s="69" t="str">
        <f t="shared" ref="L386:L449" si="56">IF(IFERROR(VLOOKUP(B386,DATA7,1,FALSE),),"1","0")</f>
        <v>0</v>
      </c>
      <c r="M386" s="74" t="str">
        <f t="shared" ref="M386:M449" si="57">IF(IFERROR(VLOOKUP(B386,DATA9,1,FALSE),),"1","0")</f>
        <v>1</v>
      </c>
      <c r="N386" s="29" t="str">
        <f t="shared" ref="N386:N449" si="58">IF(IFERROR(VLOOKUP(B386,DATA10,1,FALSE),),"1","0")</f>
        <v>0</v>
      </c>
      <c r="O386" s="61" t="str">
        <f t="shared" ca="1" si="52"/>
        <v>1</v>
      </c>
      <c r="P386" s="65" t="str">
        <f t="shared" si="53"/>
        <v>0</v>
      </c>
      <c r="Q386" s="46">
        <f t="shared" ca="1" si="50"/>
        <v>3</v>
      </c>
      <c r="R386" s="83" t="str">
        <f t="shared" ca="1" si="51"/>
        <v>ผ่าน</v>
      </c>
      <c r="S386" s="3" t="s">
        <v>28</v>
      </c>
    </row>
    <row r="387" spans="1:19" ht="24">
      <c r="A387" s="3">
        <v>386</v>
      </c>
      <c r="B387" s="105">
        <v>6612798118</v>
      </c>
      <c r="C387" s="4" t="s">
        <v>29</v>
      </c>
      <c r="D387" s="4" t="s">
        <v>1068</v>
      </c>
      <c r="E387" s="4" t="s">
        <v>1069</v>
      </c>
      <c r="F387" s="4" t="s">
        <v>1070</v>
      </c>
      <c r="G387" s="4" t="s">
        <v>999</v>
      </c>
      <c r="H387" s="4" t="s">
        <v>735</v>
      </c>
      <c r="I387" s="3">
        <v>1</v>
      </c>
      <c r="J387" s="29" t="str">
        <f t="shared" si="55"/>
        <v>0</v>
      </c>
      <c r="K387" s="54" t="str">
        <f t="shared" si="54"/>
        <v>1</v>
      </c>
      <c r="L387" s="69" t="str">
        <f t="shared" si="56"/>
        <v>0</v>
      </c>
      <c r="M387" s="74" t="str">
        <f t="shared" si="57"/>
        <v>0</v>
      </c>
      <c r="N387" s="29" t="str">
        <f t="shared" si="58"/>
        <v>0</v>
      </c>
      <c r="O387" s="61" t="str">
        <f t="shared" ca="1" si="52"/>
        <v>1</v>
      </c>
      <c r="P387" s="65" t="str">
        <f t="shared" si="53"/>
        <v>1</v>
      </c>
      <c r="Q387" s="46">
        <f t="shared" ref="Q387:Q450" ca="1" si="59">J387+K387+L387+M387+N387+O387+P387</f>
        <v>3</v>
      </c>
      <c r="R387" s="83" t="str">
        <f t="shared" ref="R387:R450" ca="1" si="60">IF(Q387&gt;=3,"ผ่าน",IF(Q387&lt;3,"ไม่ผ่าน"))</f>
        <v>ผ่าน</v>
      </c>
      <c r="S387" s="3" t="s">
        <v>28</v>
      </c>
    </row>
    <row r="388" spans="1:19" ht="24">
      <c r="A388" s="3">
        <v>387</v>
      </c>
      <c r="B388" s="105">
        <v>6512798102</v>
      </c>
      <c r="C388" s="4" t="s">
        <v>22</v>
      </c>
      <c r="D388" s="4" t="s">
        <v>1071</v>
      </c>
      <c r="E388" s="4" t="s">
        <v>1072</v>
      </c>
      <c r="F388" s="4" t="s">
        <v>1073</v>
      </c>
      <c r="G388" s="4" t="s">
        <v>999</v>
      </c>
      <c r="H388" s="4" t="s">
        <v>735</v>
      </c>
      <c r="I388" s="3">
        <v>2</v>
      </c>
      <c r="J388" s="29" t="str">
        <f t="shared" si="55"/>
        <v>1</v>
      </c>
      <c r="K388" s="54" t="str">
        <f t="shared" si="54"/>
        <v>1</v>
      </c>
      <c r="L388" s="69" t="str">
        <f t="shared" si="56"/>
        <v>0</v>
      </c>
      <c r="M388" s="74" t="str">
        <f t="shared" si="57"/>
        <v>1</v>
      </c>
      <c r="N388" s="29" t="str">
        <f t="shared" si="58"/>
        <v>0</v>
      </c>
      <c r="O388" s="61" t="str">
        <f t="shared" ca="1" si="52"/>
        <v>1</v>
      </c>
      <c r="P388" s="65" t="str">
        <f t="shared" si="53"/>
        <v>1</v>
      </c>
      <c r="Q388" s="46">
        <f t="shared" ca="1" si="59"/>
        <v>5</v>
      </c>
      <c r="R388" s="83" t="str">
        <f t="shared" ca="1" si="60"/>
        <v>ผ่าน</v>
      </c>
      <c r="S388" s="3" t="s">
        <v>28</v>
      </c>
    </row>
    <row r="389" spans="1:19" ht="24">
      <c r="A389" s="3">
        <v>388</v>
      </c>
      <c r="B389" s="105">
        <v>6512798103</v>
      </c>
      <c r="C389" s="4" t="s">
        <v>22</v>
      </c>
      <c r="D389" s="4" t="s">
        <v>1074</v>
      </c>
      <c r="E389" s="4" t="s">
        <v>1075</v>
      </c>
      <c r="F389" s="4" t="s">
        <v>1076</v>
      </c>
      <c r="G389" s="4" t="s">
        <v>999</v>
      </c>
      <c r="H389" s="4" t="s">
        <v>735</v>
      </c>
      <c r="I389" s="3">
        <v>2</v>
      </c>
      <c r="J389" s="29" t="str">
        <f t="shared" si="55"/>
        <v>1</v>
      </c>
      <c r="K389" s="54" t="str">
        <f t="shared" si="54"/>
        <v>1</v>
      </c>
      <c r="L389" s="69" t="str">
        <f t="shared" si="56"/>
        <v>0</v>
      </c>
      <c r="M389" s="74" t="str">
        <f t="shared" si="57"/>
        <v>1</v>
      </c>
      <c r="N389" s="29" t="str">
        <f t="shared" si="58"/>
        <v>0</v>
      </c>
      <c r="O389" s="61" t="str">
        <f t="shared" ca="1" si="52"/>
        <v>1</v>
      </c>
      <c r="P389" s="65" t="str">
        <f t="shared" si="53"/>
        <v>1</v>
      </c>
      <c r="Q389" s="46">
        <f t="shared" ca="1" si="59"/>
        <v>5</v>
      </c>
      <c r="R389" s="83" t="str">
        <f t="shared" ca="1" si="60"/>
        <v>ผ่าน</v>
      </c>
      <c r="S389" s="3" t="s">
        <v>28</v>
      </c>
    </row>
    <row r="390" spans="1:19" ht="24">
      <c r="A390" s="3">
        <v>389</v>
      </c>
      <c r="B390" s="105">
        <v>6512798105</v>
      </c>
      <c r="C390" s="4" t="s">
        <v>22</v>
      </c>
      <c r="D390" s="4" t="s">
        <v>280</v>
      </c>
      <c r="E390" s="4" t="s">
        <v>1077</v>
      </c>
      <c r="F390" s="4" t="s">
        <v>1078</v>
      </c>
      <c r="G390" s="4" t="s">
        <v>999</v>
      </c>
      <c r="H390" s="4" t="s">
        <v>735</v>
      </c>
      <c r="I390" s="3">
        <v>2</v>
      </c>
      <c r="J390" s="29" t="str">
        <f t="shared" si="55"/>
        <v>0</v>
      </c>
      <c r="K390" s="54">
        <v>1</v>
      </c>
      <c r="L390" s="69" t="str">
        <f t="shared" si="56"/>
        <v>0</v>
      </c>
      <c r="M390" s="74" t="str">
        <f t="shared" si="57"/>
        <v>1</v>
      </c>
      <c r="N390" s="29" t="str">
        <f t="shared" si="58"/>
        <v>0</v>
      </c>
      <c r="O390" s="61" t="str">
        <f t="shared" ca="1" si="52"/>
        <v>1</v>
      </c>
      <c r="P390" s="65" t="str">
        <f t="shared" si="53"/>
        <v>1</v>
      </c>
      <c r="Q390" s="46">
        <f t="shared" ca="1" si="59"/>
        <v>4</v>
      </c>
      <c r="R390" s="83" t="str">
        <f t="shared" ca="1" si="60"/>
        <v>ผ่าน</v>
      </c>
      <c r="S390" s="3" t="s">
        <v>28</v>
      </c>
    </row>
    <row r="391" spans="1:19" ht="24">
      <c r="A391" s="3">
        <v>390</v>
      </c>
      <c r="B391" s="105">
        <v>6512798107</v>
      </c>
      <c r="C391" s="4" t="s">
        <v>29</v>
      </c>
      <c r="D391" s="4" t="s">
        <v>1079</v>
      </c>
      <c r="E391" s="4" t="s">
        <v>1080</v>
      </c>
      <c r="F391" s="4" t="s">
        <v>1081</v>
      </c>
      <c r="G391" s="4" t="s">
        <v>999</v>
      </c>
      <c r="H391" s="4" t="s">
        <v>735</v>
      </c>
      <c r="I391" s="3">
        <v>2</v>
      </c>
      <c r="J391" s="29" t="str">
        <f t="shared" si="55"/>
        <v>1</v>
      </c>
      <c r="K391" s="54" t="str">
        <f t="shared" si="54"/>
        <v>1</v>
      </c>
      <c r="L391" s="69" t="str">
        <f t="shared" si="56"/>
        <v>0</v>
      </c>
      <c r="M391" s="74" t="str">
        <f t="shared" si="57"/>
        <v>1</v>
      </c>
      <c r="N391" s="29" t="str">
        <f t="shared" si="58"/>
        <v>0</v>
      </c>
      <c r="O391" s="61" t="str">
        <f t="shared" ca="1" si="52"/>
        <v>1</v>
      </c>
      <c r="P391" s="65" t="str">
        <f t="shared" si="53"/>
        <v>1</v>
      </c>
      <c r="Q391" s="46">
        <f t="shared" ca="1" si="59"/>
        <v>5</v>
      </c>
      <c r="R391" s="83" t="str">
        <f t="shared" ca="1" si="60"/>
        <v>ผ่าน</v>
      </c>
      <c r="S391" s="3" t="s">
        <v>28</v>
      </c>
    </row>
    <row r="392" spans="1:19" ht="24">
      <c r="A392" s="3">
        <v>391</v>
      </c>
      <c r="B392" s="105">
        <v>6512798109</v>
      </c>
      <c r="C392" s="4" t="s">
        <v>29</v>
      </c>
      <c r="D392" s="4" t="s">
        <v>1082</v>
      </c>
      <c r="E392" s="4" t="s">
        <v>1083</v>
      </c>
      <c r="F392" s="4" t="s">
        <v>1084</v>
      </c>
      <c r="G392" s="4" t="s">
        <v>999</v>
      </c>
      <c r="H392" s="4" t="s">
        <v>735</v>
      </c>
      <c r="I392" s="3">
        <v>2</v>
      </c>
      <c r="J392" s="29" t="str">
        <f t="shared" si="55"/>
        <v>1</v>
      </c>
      <c r="K392" s="54" t="str">
        <f t="shared" si="54"/>
        <v>1</v>
      </c>
      <c r="L392" s="69" t="str">
        <f t="shared" si="56"/>
        <v>0</v>
      </c>
      <c r="M392" s="74" t="str">
        <f t="shared" si="57"/>
        <v>1</v>
      </c>
      <c r="N392" s="29" t="str">
        <f t="shared" si="58"/>
        <v>0</v>
      </c>
      <c r="O392" s="61" t="str">
        <f t="shared" ca="1" si="52"/>
        <v>1</v>
      </c>
      <c r="P392" s="65" t="str">
        <f t="shared" si="53"/>
        <v>1</v>
      </c>
      <c r="Q392" s="46">
        <f t="shared" ca="1" si="59"/>
        <v>5</v>
      </c>
      <c r="R392" s="83" t="str">
        <f t="shared" ca="1" si="60"/>
        <v>ผ่าน</v>
      </c>
      <c r="S392" s="3" t="s">
        <v>28</v>
      </c>
    </row>
    <row r="393" spans="1:19" ht="24">
      <c r="A393" s="3">
        <v>392</v>
      </c>
      <c r="B393" s="105">
        <v>6512798112</v>
      </c>
      <c r="C393" s="4" t="s">
        <v>29</v>
      </c>
      <c r="D393" s="4" t="s">
        <v>1085</v>
      </c>
      <c r="E393" s="4" t="s">
        <v>1086</v>
      </c>
      <c r="F393" s="4" t="s">
        <v>1087</v>
      </c>
      <c r="G393" s="4" t="s">
        <v>999</v>
      </c>
      <c r="H393" s="4" t="s">
        <v>735</v>
      </c>
      <c r="I393" s="3">
        <v>2</v>
      </c>
      <c r="J393" s="29" t="str">
        <f t="shared" si="55"/>
        <v>1</v>
      </c>
      <c r="K393" s="54" t="str">
        <f t="shared" si="54"/>
        <v>1</v>
      </c>
      <c r="L393" s="69" t="str">
        <f t="shared" si="56"/>
        <v>0</v>
      </c>
      <c r="M393" s="74" t="str">
        <f t="shared" si="57"/>
        <v>1</v>
      </c>
      <c r="N393" s="29" t="str">
        <f t="shared" si="58"/>
        <v>0</v>
      </c>
      <c r="O393" s="61" t="str">
        <f t="shared" ref="O393:O456" ca="1" si="61">IF(IFERROR(VLOOKUP(B393,DATA11,1,FALSE),),"1","0")</f>
        <v>1</v>
      </c>
      <c r="P393" s="65" t="str">
        <f t="shared" ref="P393:P456" si="62">IF(IFERROR(VLOOKUP(B393,DATA12,1,FALSE),),"1","0")</f>
        <v>1</v>
      </c>
      <c r="Q393" s="46">
        <f t="shared" ca="1" si="59"/>
        <v>5</v>
      </c>
      <c r="R393" s="83" t="str">
        <f t="shared" ca="1" si="60"/>
        <v>ผ่าน</v>
      </c>
      <c r="S393" s="3" t="s">
        <v>28</v>
      </c>
    </row>
    <row r="394" spans="1:19" ht="24">
      <c r="A394" s="3">
        <v>393</v>
      </c>
      <c r="B394" s="105">
        <v>6512798113</v>
      </c>
      <c r="C394" s="4" t="s">
        <v>29</v>
      </c>
      <c r="D394" s="4" t="s">
        <v>1088</v>
      </c>
      <c r="E394" s="4" t="s">
        <v>1089</v>
      </c>
      <c r="F394" s="4" t="s">
        <v>1090</v>
      </c>
      <c r="G394" s="4" t="s">
        <v>999</v>
      </c>
      <c r="H394" s="4" t="s">
        <v>735</v>
      </c>
      <c r="I394" s="3">
        <v>2</v>
      </c>
      <c r="J394" s="29" t="str">
        <f t="shared" si="55"/>
        <v>1</v>
      </c>
      <c r="K394" s="54" t="str">
        <f t="shared" si="54"/>
        <v>1</v>
      </c>
      <c r="L394" s="69" t="str">
        <f t="shared" si="56"/>
        <v>0</v>
      </c>
      <c r="M394" s="74" t="str">
        <f t="shared" si="57"/>
        <v>1</v>
      </c>
      <c r="N394" s="29" t="str">
        <f t="shared" si="58"/>
        <v>0</v>
      </c>
      <c r="O394" s="61" t="str">
        <f t="shared" ca="1" si="61"/>
        <v>1</v>
      </c>
      <c r="P394" s="65" t="str">
        <f t="shared" si="62"/>
        <v>1</v>
      </c>
      <c r="Q394" s="46">
        <f t="shared" ca="1" si="59"/>
        <v>5</v>
      </c>
      <c r="R394" s="83" t="str">
        <f t="shared" ca="1" si="60"/>
        <v>ผ่าน</v>
      </c>
      <c r="S394" s="3" t="s">
        <v>28</v>
      </c>
    </row>
    <row r="395" spans="1:19" ht="24">
      <c r="A395" s="3">
        <v>394</v>
      </c>
      <c r="B395" s="105">
        <v>6512798114</v>
      </c>
      <c r="C395" s="4" t="s">
        <v>29</v>
      </c>
      <c r="D395" s="4" t="s">
        <v>1091</v>
      </c>
      <c r="E395" s="4" t="s">
        <v>1092</v>
      </c>
      <c r="F395" s="4" t="s">
        <v>157</v>
      </c>
      <c r="G395" s="4" t="s">
        <v>999</v>
      </c>
      <c r="H395" s="4" t="s">
        <v>735</v>
      </c>
      <c r="I395" s="3">
        <v>2</v>
      </c>
      <c r="J395" s="29" t="str">
        <f t="shared" si="55"/>
        <v>1</v>
      </c>
      <c r="K395" s="54">
        <v>1</v>
      </c>
      <c r="L395" s="69" t="str">
        <f t="shared" si="56"/>
        <v>0</v>
      </c>
      <c r="M395" s="74" t="str">
        <f t="shared" si="57"/>
        <v>1</v>
      </c>
      <c r="N395" s="29" t="str">
        <f t="shared" si="58"/>
        <v>0</v>
      </c>
      <c r="O395" s="61" t="str">
        <f t="shared" ca="1" si="61"/>
        <v>1</v>
      </c>
      <c r="P395" s="65" t="str">
        <f t="shared" si="62"/>
        <v>1</v>
      </c>
      <c r="Q395" s="46">
        <f t="shared" ca="1" si="59"/>
        <v>5</v>
      </c>
      <c r="R395" s="83" t="str">
        <f t="shared" ca="1" si="60"/>
        <v>ผ่าน</v>
      </c>
      <c r="S395" s="3" t="s">
        <v>28</v>
      </c>
    </row>
    <row r="396" spans="1:19" ht="24">
      <c r="A396" s="3">
        <v>395</v>
      </c>
      <c r="B396" s="105">
        <v>6512798118</v>
      </c>
      <c r="C396" s="4" t="s">
        <v>29</v>
      </c>
      <c r="D396" s="4" t="s">
        <v>1093</v>
      </c>
      <c r="E396" s="4" t="s">
        <v>1094</v>
      </c>
      <c r="F396" s="4" t="s">
        <v>391</v>
      </c>
      <c r="G396" s="4" t="s">
        <v>999</v>
      </c>
      <c r="H396" s="4" t="s">
        <v>735</v>
      </c>
      <c r="I396" s="3">
        <v>2</v>
      </c>
      <c r="J396" s="29" t="str">
        <f t="shared" si="55"/>
        <v>1</v>
      </c>
      <c r="K396" s="54" t="str">
        <f t="shared" si="54"/>
        <v>1</v>
      </c>
      <c r="L396" s="69" t="str">
        <f t="shared" si="56"/>
        <v>0</v>
      </c>
      <c r="M396" s="74" t="str">
        <f t="shared" si="57"/>
        <v>1</v>
      </c>
      <c r="N396" s="29" t="str">
        <f t="shared" si="58"/>
        <v>0</v>
      </c>
      <c r="O396" s="61" t="str">
        <f t="shared" ca="1" si="61"/>
        <v>1</v>
      </c>
      <c r="P396" s="65" t="str">
        <f t="shared" si="62"/>
        <v>1</v>
      </c>
      <c r="Q396" s="46">
        <f t="shared" ca="1" si="59"/>
        <v>5</v>
      </c>
      <c r="R396" s="83" t="str">
        <f t="shared" ca="1" si="60"/>
        <v>ผ่าน</v>
      </c>
      <c r="S396" s="3" t="s">
        <v>28</v>
      </c>
    </row>
    <row r="397" spans="1:19" ht="24">
      <c r="A397" s="3">
        <v>396</v>
      </c>
      <c r="B397" s="105">
        <v>6512798123</v>
      </c>
      <c r="C397" s="4" t="s">
        <v>29</v>
      </c>
      <c r="D397" s="4" t="s">
        <v>957</v>
      </c>
      <c r="E397" s="4" t="s">
        <v>1095</v>
      </c>
      <c r="F397" s="4" t="s">
        <v>1096</v>
      </c>
      <c r="G397" s="4" t="s">
        <v>999</v>
      </c>
      <c r="H397" s="4" t="s">
        <v>735</v>
      </c>
      <c r="I397" s="3">
        <v>2</v>
      </c>
      <c r="J397" s="29" t="str">
        <f t="shared" si="55"/>
        <v>1</v>
      </c>
      <c r="K397" s="54" t="str">
        <f t="shared" si="54"/>
        <v>1</v>
      </c>
      <c r="L397" s="69" t="str">
        <f t="shared" si="56"/>
        <v>0</v>
      </c>
      <c r="M397" s="74" t="str">
        <f t="shared" si="57"/>
        <v>1</v>
      </c>
      <c r="N397" s="29" t="str">
        <f t="shared" si="58"/>
        <v>0</v>
      </c>
      <c r="O397" s="61" t="str">
        <f t="shared" ca="1" si="61"/>
        <v>1</v>
      </c>
      <c r="P397" s="65" t="str">
        <f t="shared" si="62"/>
        <v>1</v>
      </c>
      <c r="Q397" s="46">
        <f t="shared" ca="1" si="59"/>
        <v>5</v>
      </c>
      <c r="R397" s="83" t="str">
        <f t="shared" ca="1" si="60"/>
        <v>ผ่าน</v>
      </c>
      <c r="S397" s="3" t="s">
        <v>28</v>
      </c>
    </row>
    <row r="398" spans="1:19" ht="24">
      <c r="A398" s="3">
        <v>397</v>
      </c>
      <c r="B398" s="105">
        <v>6512798132</v>
      </c>
      <c r="C398" s="4" t="s">
        <v>29</v>
      </c>
      <c r="D398" s="4" t="s">
        <v>1097</v>
      </c>
      <c r="E398" s="4" t="s">
        <v>1098</v>
      </c>
      <c r="F398" s="4" t="s">
        <v>41</v>
      </c>
      <c r="G398" s="4" t="s">
        <v>999</v>
      </c>
      <c r="H398" s="4" t="s">
        <v>735</v>
      </c>
      <c r="I398" s="3">
        <v>2</v>
      </c>
      <c r="J398" s="29" t="str">
        <f t="shared" si="55"/>
        <v>1</v>
      </c>
      <c r="K398" s="54">
        <v>1</v>
      </c>
      <c r="L398" s="69" t="str">
        <f t="shared" si="56"/>
        <v>0</v>
      </c>
      <c r="M398" s="74" t="str">
        <f t="shared" si="57"/>
        <v>1</v>
      </c>
      <c r="N398" s="29" t="str">
        <f t="shared" si="58"/>
        <v>0</v>
      </c>
      <c r="O398" s="61" t="str">
        <f t="shared" ca="1" si="61"/>
        <v>1</v>
      </c>
      <c r="P398" s="65" t="str">
        <f t="shared" si="62"/>
        <v>1</v>
      </c>
      <c r="Q398" s="46">
        <f t="shared" ca="1" si="59"/>
        <v>5</v>
      </c>
      <c r="R398" s="83" t="str">
        <f t="shared" ca="1" si="60"/>
        <v>ผ่าน</v>
      </c>
      <c r="S398" s="3" t="s">
        <v>28</v>
      </c>
    </row>
    <row r="399" spans="1:19" ht="24">
      <c r="A399" s="3">
        <v>398</v>
      </c>
      <c r="B399" s="105">
        <v>6512798138</v>
      </c>
      <c r="C399" s="4" t="s">
        <v>29</v>
      </c>
      <c r="D399" s="4" t="s">
        <v>1099</v>
      </c>
      <c r="E399" s="4" t="s">
        <v>1100</v>
      </c>
      <c r="F399" s="4" t="s">
        <v>370</v>
      </c>
      <c r="G399" s="4" t="s">
        <v>999</v>
      </c>
      <c r="H399" s="4" t="s">
        <v>735</v>
      </c>
      <c r="I399" s="3">
        <v>2</v>
      </c>
      <c r="J399" s="29" t="str">
        <f t="shared" si="55"/>
        <v>0</v>
      </c>
      <c r="K399" s="54">
        <v>1</v>
      </c>
      <c r="L399" s="69" t="str">
        <f t="shared" si="56"/>
        <v>0</v>
      </c>
      <c r="M399" s="74" t="str">
        <f t="shared" si="57"/>
        <v>1</v>
      </c>
      <c r="N399" s="29" t="str">
        <f t="shared" si="58"/>
        <v>0</v>
      </c>
      <c r="O399" s="61" t="str">
        <f t="shared" ca="1" si="61"/>
        <v>1</v>
      </c>
      <c r="P399" s="65" t="str">
        <f t="shared" si="62"/>
        <v>1</v>
      </c>
      <c r="Q399" s="46">
        <f t="shared" ca="1" si="59"/>
        <v>4</v>
      </c>
      <c r="R399" s="83" t="str">
        <f t="shared" ca="1" si="60"/>
        <v>ผ่าน</v>
      </c>
      <c r="S399" s="3" t="s">
        <v>28</v>
      </c>
    </row>
    <row r="400" spans="1:19" ht="24">
      <c r="A400" s="3">
        <v>399</v>
      </c>
      <c r="B400" s="105">
        <v>6512798152</v>
      </c>
      <c r="C400" s="4" t="s">
        <v>29</v>
      </c>
      <c r="D400" s="4" t="s">
        <v>1101</v>
      </c>
      <c r="E400" s="4" t="s">
        <v>1102</v>
      </c>
      <c r="F400" s="4" t="s">
        <v>1103</v>
      </c>
      <c r="G400" s="4" t="s">
        <v>999</v>
      </c>
      <c r="H400" s="4" t="s">
        <v>735</v>
      </c>
      <c r="I400" s="3">
        <v>2</v>
      </c>
      <c r="J400" s="29" t="str">
        <f t="shared" si="55"/>
        <v>1</v>
      </c>
      <c r="K400" s="54" t="str">
        <f t="shared" si="54"/>
        <v>1</v>
      </c>
      <c r="L400" s="69" t="str">
        <f t="shared" si="56"/>
        <v>0</v>
      </c>
      <c r="M400" s="74" t="str">
        <f t="shared" si="57"/>
        <v>1</v>
      </c>
      <c r="N400" s="29" t="str">
        <f t="shared" si="58"/>
        <v>0</v>
      </c>
      <c r="O400" s="61" t="str">
        <f t="shared" ca="1" si="61"/>
        <v>1</v>
      </c>
      <c r="P400" s="65" t="str">
        <f t="shared" si="62"/>
        <v>1</v>
      </c>
      <c r="Q400" s="46">
        <f t="shared" ca="1" si="59"/>
        <v>5</v>
      </c>
      <c r="R400" s="83" t="str">
        <f t="shared" ca="1" si="60"/>
        <v>ผ่าน</v>
      </c>
      <c r="S400" s="3" t="s">
        <v>28</v>
      </c>
    </row>
    <row r="401" spans="1:19" ht="24">
      <c r="A401" s="3">
        <v>400</v>
      </c>
      <c r="B401" s="105">
        <v>6412798104</v>
      </c>
      <c r="C401" s="4" t="s">
        <v>22</v>
      </c>
      <c r="D401" s="4" t="s">
        <v>1104</v>
      </c>
      <c r="E401" s="4" t="s">
        <v>1105</v>
      </c>
      <c r="F401" s="4" t="s">
        <v>1106</v>
      </c>
      <c r="G401" s="4" t="s">
        <v>999</v>
      </c>
      <c r="H401" s="4" t="s">
        <v>735</v>
      </c>
      <c r="I401" s="3">
        <v>3</v>
      </c>
      <c r="J401" s="29" t="str">
        <f t="shared" si="55"/>
        <v>1</v>
      </c>
      <c r="K401" s="54" t="str">
        <f t="shared" ref="K401:K464" si="63">IF(IFERROR(VLOOKUP(B401,DATA8,1,FALSE),),"1","0")</f>
        <v>1</v>
      </c>
      <c r="L401" s="69" t="str">
        <f t="shared" si="56"/>
        <v>0</v>
      </c>
      <c r="M401" s="74" t="str">
        <f t="shared" si="57"/>
        <v>1</v>
      </c>
      <c r="N401" s="29" t="str">
        <f t="shared" si="58"/>
        <v>0</v>
      </c>
      <c r="O401" s="61" t="str">
        <f t="shared" ca="1" si="61"/>
        <v>0</v>
      </c>
      <c r="P401" s="65" t="str">
        <f t="shared" si="62"/>
        <v>1</v>
      </c>
      <c r="Q401" s="46">
        <f t="shared" ca="1" si="59"/>
        <v>4</v>
      </c>
      <c r="R401" s="83" t="str">
        <f t="shared" ca="1" si="60"/>
        <v>ผ่าน</v>
      </c>
      <c r="S401" s="3" t="s">
        <v>28</v>
      </c>
    </row>
    <row r="402" spans="1:19" ht="24">
      <c r="A402" s="3">
        <v>401</v>
      </c>
      <c r="B402" s="105">
        <v>6412798105</v>
      </c>
      <c r="C402" s="4" t="s">
        <v>22</v>
      </c>
      <c r="D402" s="4" t="s">
        <v>1107</v>
      </c>
      <c r="E402" s="4" t="s">
        <v>1108</v>
      </c>
      <c r="F402" s="4" t="s">
        <v>365</v>
      </c>
      <c r="G402" s="4" t="s">
        <v>999</v>
      </c>
      <c r="H402" s="4" t="s">
        <v>735</v>
      </c>
      <c r="I402" s="3">
        <v>3</v>
      </c>
      <c r="J402" s="29" t="str">
        <f t="shared" si="55"/>
        <v>1</v>
      </c>
      <c r="K402" s="54" t="str">
        <f t="shared" si="63"/>
        <v>1</v>
      </c>
      <c r="L402" s="69" t="str">
        <f t="shared" si="56"/>
        <v>0</v>
      </c>
      <c r="M402" s="74" t="str">
        <f t="shared" si="57"/>
        <v>1</v>
      </c>
      <c r="N402" s="29" t="str">
        <f t="shared" si="58"/>
        <v>0</v>
      </c>
      <c r="O402" s="61" t="str">
        <f t="shared" ca="1" si="61"/>
        <v>1</v>
      </c>
      <c r="P402" s="65" t="str">
        <f t="shared" si="62"/>
        <v>1</v>
      </c>
      <c r="Q402" s="46">
        <f t="shared" ca="1" si="59"/>
        <v>5</v>
      </c>
      <c r="R402" s="83" t="str">
        <f t="shared" ca="1" si="60"/>
        <v>ผ่าน</v>
      </c>
      <c r="S402" s="3" t="s">
        <v>28</v>
      </c>
    </row>
    <row r="403" spans="1:19" ht="24">
      <c r="A403" s="3">
        <v>402</v>
      </c>
      <c r="B403" s="105">
        <v>6412798106</v>
      </c>
      <c r="C403" s="4" t="s">
        <v>22</v>
      </c>
      <c r="D403" s="4" t="s">
        <v>1109</v>
      </c>
      <c r="E403" s="4" t="s">
        <v>852</v>
      </c>
      <c r="F403" s="4" t="s">
        <v>1110</v>
      </c>
      <c r="G403" s="4" t="s">
        <v>999</v>
      </c>
      <c r="H403" s="4" t="s">
        <v>735</v>
      </c>
      <c r="I403" s="3">
        <v>3</v>
      </c>
      <c r="J403" s="29" t="str">
        <f t="shared" si="55"/>
        <v>1</v>
      </c>
      <c r="K403" s="54">
        <v>1</v>
      </c>
      <c r="L403" s="69" t="str">
        <f t="shared" si="56"/>
        <v>0</v>
      </c>
      <c r="M403" s="74" t="str">
        <f t="shared" si="57"/>
        <v>0</v>
      </c>
      <c r="N403" s="29" t="str">
        <f t="shared" si="58"/>
        <v>1</v>
      </c>
      <c r="O403" s="61" t="str">
        <f t="shared" ca="1" si="61"/>
        <v>0</v>
      </c>
      <c r="P403" s="65" t="str">
        <f t="shared" si="62"/>
        <v>1</v>
      </c>
      <c r="Q403" s="46">
        <f t="shared" ca="1" si="59"/>
        <v>4</v>
      </c>
      <c r="R403" s="83" t="str">
        <f t="shared" ca="1" si="60"/>
        <v>ผ่าน</v>
      </c>
      <c r="S403" s="3" t="s">
        <v>28</v>
      </c>
    </row>
    <row r="404" spans="1:19" ht="24">
      <c r="A404" s="3">
        <v>403</v>
      </c>
      <c r="B404" s="105">
        <v>6412798107</v>
      </c>
      <c r="C404" s="4" t="s">
        <v>29</v>
      </c>
      <c r="D404" s="4" t="s">
        <v>1111</v>
      </c>
      <c r="E404" s="4" t="s">
        <v>1112</v>
      </c>
      <c r="F404" s="4" t="s">
        <v>530</v>
      </c>
      <c r="G404" s="4" t="s">
        <v>999</v>
      </c>
      <c r="H404" s="4" t="s">
        <v>735</v>
      </c>
      <c r="I404" s="3">
        <v>3</v>
      </c>
      <c r="J404" s="29" t="str">
        <f t="shared" si="55"/>
        <v>1</v>
      </c>
      <c r="K404" s="54" t="str">
        <f t="shared" si="63"/>
        <v>1</v>
      </c>
      <c r="L404" s="69" t="str">
        <f t="shared" si="56"/>
        <v>0</v>
      </c>
      <c r="M404" s="74" t="str">
        <f t="shared" si="57"/>
        <v>1</v>
      </c>
      <c r="N404" s="29" t="str">
        <f t="shared" si="58"/>
        <v>0</v>
      </c>
      <c r="O404" s="61" t="str">
        <f t="shared" ca="1" si="61"/>
        <v>1</v>
      </c>
      <c r="P404" s="65" t="str">
        <f t="shared" si="62"/>
        <v>1</v>
      </c>
      <c r="Q404" s="46">
        <f t="shared" ca="1" si="59"/>
        <v>5</v>
      </c>
      <c r="R404" s="83" t="str">
        <f t="shared" ca="1" si="60"/>
        <v>ผ่าน</v>
      </c>
      <c r="S404" s="3" t="s">
        <v>28</v>
      </c>
    </row>
    <row r="405" spans="1:19" ht="24">
      <c r="A405" s="3">
        <v>404</v>
      </c>
      <c r="B405" s="105">
        <v>6412798114</v>
      </c>
      <c r="C405" s="4" t="s">
        <v>29</v>
      </c>
      <c r="D405" s="4" t="s">
        <v>1113</v>
      </c>
      <c r="E405" s="4" t="s">
        <v>1114</v>
      </c>
      <c r="F405" s="4" t="s">
        <v>1115</v>
      </c>
      <c r="G405" s="4" t="s">
        <v>999</v>
      </c>
      <c r="H405" s="4" t="s">
        <v>735</v>
      </c>
      <c r="I405" s="3">
        <v>3</v>
      </c>
      <c r="J405" s="29" t="str">
        <f t="shared" si="55"/>
        <v>1</v>
      </c>
      <c r="K405" s="54" t="str">
        <f t="shared" si="63"/>
        <v>0</v>
      </c>
      <c r="L405" s="69" t="str">
        <f t="shared" si="56"/>
        <v>1</v>
      </c>
      <c r="M405" s="74" t="str">
        <f t="shared" si="57"/>
        <v>0</v>
      </c>
      <c r="N405" s="29" t="str">
        <f t="shared" si="58"/>
        <v>1</v>
      </c>
      <c r="O405" s="61" t="str">
        <f t="shared" ca="1" si="61"/>
        <v>0</v>
      </c>
      <c r="P405" s="65" t="str">
        <f t="shared" si="62"/>
        <v>1</v>
      </c>
      <c r="Q405" s="46">
        <f t="shared" ca="1" si="59"/>
        <v>4</v>
      </c>
      <c r="R405" s="83" t="str">
        <f t="shared" ca="1" si="60"/>
        <v>ผ่าน</v>
      </c>
      <c r="S405" s="3" t="s">
        <v>28</v>
      </c>
    </row>
    <row r="406" spans="1:19" ht="24">
      <c r="A406" s="3">
        <v>405</v>
      </c>
      <c r="B406" s="105">
        <v>6412798115</v>
      </c>
      <c r="C406" s="4" t="s">
        <v>29</v>
      </c>
      <c r="D406" s="4" t="s">
        <v>1116</v>
      </c>
      <c r="E406" s="4" t="s">
        <v>1117</v>
      </c>
      <c r="F406" s="4" t="s">
        <v>161</v>
      </c>
      <c r="G406" s="4" t="s">
        <v>999</v>
      </c>
      <c r="H406" s="4" t="s">
        <v>735</v>
      </c>
      <c r="I406" s="3">
        <v>3</v>
      </c>
      <c r="J406" s="29" t="str">
        <f t="shared" si="55"/>
        <v>0</v>
      </c>
      <c r="K406" s="54" t="str">
        <f t="shared" si="63"/>
        <v>0</v>
      </c>
      <c r="L406" s="69" t="str">
        <f t="shared" si="56"/>
        <v>0</v>
      </c>
      <c r="M406" s="74" t="str">
        <f t="shared" si="57"/>
        <v>0</v>
      </c>
      <c r="N406" s="29" t="str">
        <f t="shared" si="58"/>
        <v>0</v>
      </c>
      <c r="O406" s="61" t="str">
        <f t="shared" ca="1" si="61"/>
        <v>0</v>
      </c>
      <c r="P406" s="65" t="str">
        <f t="shared" si="62"/>
        <v>0</v>
      </c>
      <c r="Q406" s="46">
        <f t="shared" ca="1" si="59"/>
        <v>0</v>
      </c>
      <c r="R406" s="3" t="str">
        <f t="shared" ca="1" si="60"/>
        <v>ไม่ผ่าน</v>
      </c>
      <c r="S406" s="3" t="s">
        <v>28</v>
      </c>
    </row>
    <row r="407" spans="1:19" ht="24">
      <c r="A407" s="3">
        <v>406</v>
      </c>
      <c r="B407" s="105">
        <v>6412798116</v>
      </c>
      <c r="C407" s="4" t="s">
        <v>29</v>
      </c>
      <c r="D407" s="4" t="s">
        <v>1118</v>
      </c>
      <c r="E407" s="4" t="s">
        <v>1119</v>
      </c>
      <c r="F407" s="4" t="s">
        <v>1120</v>
      </c>
      <c r="G407" s="4" t="s">
        <v>999</v>
      </c>
      <c r="H407" s="4" t="s">
        <v>735</v>
      </c>
      <c r="I407" s="3">
        <v>3</v>
      </c>
      <c r="J407" s="29" t="str">
        <f t="shared" si="55"/>
        <v>1</v>
      </c>
      <c r="K407" s="54" t="str">
        <f t="shared" si="63"/>
        <v>1</v>
      </c>
      <c r="L407" s="69" t="str">
        <f t="shared" si="56"/>
        <v>0</v>
      </c>
      <c r="M407" s="74" t="str">
        <f t="shared" si="57"/>
        <v>0</v>
      </c>
      <c r="N407" s="29" t="str">
        <f t="shared" si="58"/>
        <v>1</v>
      </c>
      <c r="O407" s="61" t="str">
        <f t="shared" ca="1" si="61"/>
        <v>0</v>
      </c>
      <c r="P407" s="65" t="str">
        <f t="shared" si="62"/>
        <v>1</v>
      </c>
      <c r="Q407" s="46">
        <f t="shared" ca="1" si="59"/>
        <v>4</v>
      </c>
      <c r="R407" s="83" t="str">
        <f t="shared" ca="1" si="60"/>
        <v>ผ่าน</v>
      </c>
      <c r="S407" s="3" t="s">
        <v>28</v>
      </c>
    </row>
    <row r="408" spans="1:19" ht="24">
      <c r="A408" s="3">
        <v>407</v>
      </c>
      <c r="B408" s="105">
        <v>6412798117</v>
      </c>
      <c r="C408" s="4" t="s">
        <v>29</v>
      </c>
      <c r="D408" s="4" t="s">
        <v>1121</v>
      </c>
      <c r="E408" s="4" t="s">
        <v>470</v>
      </c>
      <c r="F408" s="4" t="s">
        <v>233</v>
      </c>
      <c r="G408" s="4" t="s">
        <v>999</v>
      </c>
      <c r="H408" s="4" t="s">
        <v>735</v>
      </c>
      <c r="I408" s="3">
        <v>3</v>
      </c>
      <c r="J408" s="29" t="str">
        <f t="shared" si="55"/>
        <v>1</v>
      </c>
      <c r="K408" s="54" t="str">
        <f t="shared" si="63"/>
        <v>1</v>
      </c>
      <c r="L408" s="69" t="str">
        <f t="shared" si="56"/>
        <v>0</v>
      </c>
      <c r="M408" s="74" t="str">
        <f t="shared" si="57"/>
        <v>1</v>
      </c>
      <c r="N408" s="29" t="str">
        <f t="shared" si="58"/>
        <v>0</v>
      </c>
      <c r="O408" s="61" t="str">
        <f t="shared" ca="1" si="61"/>
        <v>0</v>
      </c>
      <c r="P408" s="65" t="str">
        <f t="shared" si="62"/>
        <v>1</v>
      </c>
      <c r="Q408" s="46">
        <f t="shared" ca="1" si="59"/>
        <v>4</v>
      </c>
      <c r="R408" s="83" t="str">
        <f t="shared" ca="1" si="60"/>
        <v>ผ่าน</v>
      </c>
      <c r="S408" s="3" t="s">
        <v>28</v>
      </c>
    </row>
    <row r="409" spans="1:19" ht="24">
      <c r="A409" s="3">
        <v>408</v>
      </c>
      <c r="B409" s="105">
        <v>6412798118</v>
      </c>
      <c r="C409" s="4" t="s">
        <v>29</v>
      </c>
      <c r="D409" s="4"/>
      <c r="E409" s="4" t="s">
        <v>1122</v>
      </c>
      <c r="F409" s="4" t="s">
        <v>210</v>
      </c>
      <c r="G409" s="4" t="s">
        <v>999</v>
      </c>
      <c r="H409" s="4" t="s">
        <v>735</v>
      </c>
      <c r="I409" s="3">
        <v>3</v>
      </c>
      <c r="J409" s="29" t="str">
        <f t="shared" si="55"/>
        <v>1</v>
      </c>
      <c r="K409" s="54" t="str">
        <f t="shared" si="63"/>
        <v>0</v>
      </c>
      <c r="L409" s="69" t="str">
        <f t="shared" si="56"/>
        <v>1</v>
      </c>
      <c r="M409" s="74" t="str">
        <f t="shared" si="57"/>
        <v>0</v>
      </c>
      <c r="N409" s="29" t="str">
        <f t="shared" si="58"/>
        <v>1</v>
      </c>
      <c r="O409" s="61" t="str">
        <f t="shared" ca="1" si="61"/>
        <v>0</v>
      </c>
      <c r="P409" s="65" t="str">
        <f t="shared" si="62"/>
        <v>1</v>
      </c>
      <c r="Q409" s="46">
        <f t="shared" ca="1" si="59"/>
        <v>4</v>
      </c>
      <c r="R409" s="83" t="str">
        <f t="shared" ca="1" si="60"/>
        <v>ผ่าน</v>
      </c>
      <c r="S409" s="3" t="s">
        <v>28</v>
      </c>
    </row>
    <row r="410" spans="1:19" ht="24">
      <c r="A410" s="3">
        <v>409</v>
      </c>
      <c r="B410" s="105">
        <v>6412798123</v>
      </c>
      <c r="C410" s="4" t="s">
        <v>29</v>
      </c>
      <c r="D410" s="4" t="s">
        <v>1099</v>
      </c>
      <c r="E410" s="4" t="s">
        <v>1123</v>
      </c>
      <c r="F410" s="4" t="s">
        <v>78</v>
      </c>
      <c r="G410" s="4" t="s">
        <v>999</v>
      </c>
      <c r="H410" s="4" t="s">
        <v>735</v>
      </c>
      <c r="I410" s="3">
        <v>3</v>
      </c>
      <c r="J410" s="29" t="str">
        <f t="shared" si="55"/>
        <v>1</v>
      </c>
      <c r="K410" s="54">
        <v>1</v>
      </c>
      <c r="L410" s="69" t="str">
        <f t="shared" si="56"/>
        <v>0</v>
      </c>
      <c r="M410" s="74" t="str">
        <f t="shared" si="57"/>
        <v>1</v>
      </c>
      <c r="N410" s="29" t="str">
        <f t="shared" si="58"/>
        <v>0</v>
      </c>
      <c r="O410" s="61" t="str">
        <f t="shared" ca="1" si="61"/>
        <v>0</v>
      </c>
      <c r="P410" s="65" t="str">
        <f t="shared" si="62"/>
        <v>1</v>
      </c>
      <c r="Q410" s="46">
        <f t="shared" ca="1" si="59"/>
        <v>4</v>
      </c>
      <c r="R410" s="83" t="str">
        <f t="shared" ca="1" si="60"/>
        <v>ผ่าน</v>
      </c>
      <c r="S410" s="3" t="s">
        <v>28</v>
      </c>
    </row>
    <row r="411" spans="1:19" ht="24">
      <c r="A411" s="3">
        <v>410</v>
      </c>
      <c r="B411" s="105">
        <v>6412798125</v>
      </c>
      <c r="C411" s="4" t="s">
        <v>29</v>
      </c>
      <c r="D411" s="4" t="s">
        <v>205</v>
      </c>
      <c r="E411" s="4" t="s">
        <v>1124</v>
      </c>
      <c r="F411" s="4" t="s">
        <v>1125</v>
      </c>
      <c r="G411" s="4" t="s">
        <v>999</v>
      </c>
      <c r="H411" s="4" t="s">
        <v>735</v>
      </c>
      <c r="I411" s="3">
        <v>3</v>
      </c>
      <c r="J411" s="29" t="str">
        <f t="shared" si="55"/>
        <v>1</v>
      </c>
      <c r="K411" s="54" t="str">
        <f t="shared" si="63"/>
        <v>0</v>
      </c>
      <c r="L411" s="69" t="str">
        <f t="shared" si="56"/>
        <v>1</v>
      </c>
      <c r="M411" s="74" t="str">
        <f t="shared" si="57"/>
        <v>0</v>
      </c>
      <c r="N411" s="29" t="str">
        <f t="shared" si="58"/>
        <v>1</v>
      </c>
      <c r="O411" s="61" t="str">
        <f t="shared" ca="1" si="61"/>
        <v>1</v>
      </c>
      <c r="P411" s="65" t="str">
        <f t="shared" si="62"/>
        <v>0</v>
      </c>
      <c r="Q411" s="46">
        <f t="shared" ca="1" si="59"/>
        <v>4</v>
      </c>
      <c r="R411" s="83" t="str">
        <f t="shared" ca="1" si="60"/>
        <v>ผ่าน</v>
      </c>
      <c r="S411" s="3" t="s">
        <v>28</v>
      </c>
    </row>
    <row r="412" spans="1:19" ht="24">
      <c r="A412" s="3">
        <v>411</v>
      </c>
      <c r="B412" s="105">
        <v>6412798127</v>
      </c>
      <c r="C412" s="4" t="s">
        <v>29</v>
      </c>
      <c r="D412" s="4" t="s">
        <v>1126</v>
      </c>
      <c r="E412" s="4" t="s">
        <v>1127</v>
      </c>
      <c r="F412" s="4" t="s">
        <v>1128</v>
      </c>
      <c r="G412" s="4" t="s">
        <v>999</v>
      </c>
      <c r="H412" s="4" t="s">
        <v>735</v>
      </c>
      <c r="I412" s="3">
        <v>3</v>
      </c>
      <c r="J412" s="29" t="str">
        <f t="shared" si="55"/>
        <v>1</v>
      </c>
      <c r="K412" s="54" t="str">
        <f t="shared" si="63"/>
        <v>0</v>
      </c>
      <c r="L412" s="69" t="str">
        <f t="shared" si="56"/>
        <v>1</v>
      </c>
      <c r="M412" s="74" t="str">
        <f t="shared" si="57"/>
        <v>0</v>
      </c>
      <c r="N412" s="29" t="str">
        <f t="shared" si="58"/>
        <v>1</v>
      </c>
      <c r="O412" s="61" t="str">
        <f t="shared" ca="1" si="61"/>
        <v>0</v>
      </c>
      <c r="P412" s="65" t="str">
        <f t="shared" si="62"/>
        <v>0</v>
      </c>
      <c r="Q412" s="46">
        <f t="shared" ca="1" si="59"/>
        <v>3</v>
      </c>
      <c r="R412" s="83" t="str">
        <f t="shared" ca="1" si="60"/>
        <v>ผ่าน</v>
      </c>
      <c r="S412" s="3" t="s">
        <v>28</v>
      </c>
    </row>
    <row r="413" spans="1:19" ht="24">
      <c r="A413" s="3">
        <v>412</v>
      </c>
      <c r="B413" s="105">
        <v>6412798131</v>
      </c>
      <c r="C413" s="4" t="s">
        <v>29</v>
      </c>
      <c r="D413" s="4" t="s">
        <v>252</v>
      </c>
      <c r="E413" s="4" t="s">
        <v>1129</v>
      </c>
      <c r="F413" s="4" t="s">
        <v>1130</v>
      </c>
      <c r="G413" s="4" t="s">
        <v>999</v>
      </c>
      <c r="H413" s="4" t="s">
        <v>735</v>
      </c>
      <c r="I413" s="3">
        <v>3</v>
      </c>
      <c r="J413" s="29" t="str">
        <f t="shared" si="55"/>
        <v>1</v>
      </c>
      <c r="K413" s="54" t="str">
        <f t="shared" si="63"/>
        <v>0</v>
      </c>
      <c r="L413" s="69" t="str">
        <f t="shared" si="56"/>
        <v>1</v>
      </c>
      <c r="M413" s="74" t="str">
        <f t="shared" si="57"/>
        <v>0</v>
      </c>
      <c r="N413" s="29" t="str">
        <f t="shared" si="58"/>
        <v>1</v>
      </c>
      <c r="O413" s="61" t="str">
        <f t="shared" ca="1" si="61"/>
        <v>0</v>
      </c>
      <c r="P413" s="65" t="str">
        <f t="shared" si="62"/>
        <v>1</v>
      </c>
      <c r="Q413" s="46">
        <f t="shared" ca="1" si="59"/>
        <v>4</v>
      </c>
      <c r="R413" s="83" t="str">
        <f t="shared" ca="1" si="60"/>
        <v>ผ่าน</v>
      </c>
      <c r="S413" s="3" t="s">
        <v>28</v>
      </c>
    </row>
    <row r="414" spans="1:19" ht="24">
      <c r="A414" s="3">
        <v>413</v>
      </c>
      <c r="B414" s="105">
        <v>6312798105</v>
      </c>
      <c r="C414" s="4" t="s">
        <v>29</v>
      </c>
      <c r="D414" s="4" t="s">
        <v>314</v>
      </c>
      <c r="E414" s="4" t="s">
        <v>1131</v>
      </c>
      <c r="F414" s="4" t="s">
        <v>1132</v>
      </c>
      <c r="G414" s="4" t="s">
        <v>999</v>
      </c>
      <c r="H414" s="4" t="s">
        <v>735</v>
      </c>
      <c r="I414" s="3">
        <v>4</v>
      </c>
      <c r="J414" s="29" t="str">
        <f t="shared" si="55"/>
        <v>0</v>
      </c>
      <c r="K414" s="54" t="str">
        <f t="shared" si="63"/>
        <v>1</v>
      </c>
      <c r="L414" s="69" t="str">
        <f t="shared" si="56"/>
        <v>0</v>
      </c>
      <c r="M414" s="74" t="str">
        <f t="shared" si="57"/>
        <v>0</v>
      </c>
      <c r="N414" s="29" t="str">
        <f t="shared" si="58"/>
        <v>0</v>
      </c>
      <c r="O414" s="61">
        <v>1</v>
      </c>
      <c r="P414" s="65">
        <v>1</v>
      </c>
      <c r="Q414" s="46">
        <f t="shared" si="59"/>
        <v>3</v>
      </c>
      <c r="R414" s="83" t="str">
        <f t="shared" si="60"/>
        <v>ผ่าน</v>
      </c>
      <c r="S414" s="3" t="s">
        <v>28</v>
      </c>
    </row>
    <row r="415" spans="1:19" ht="24">
      <c r="A415" s="3">
        <v>414</v>
      </c>
      <c r="B415" s="105">
        <v>6312798206</v>
      </c>
      <c r="C415" s="4" t="s">
        <v>29</v>
      </c>
      <c r="D415" s="4" t="s">
        <v>444</v>
      </c>
      <c r="E415" s="4" t="s">
        <v>1133</v>
      </c>
      <c r="F415" s="4" t="s">
        <v>362</v>
      </c>
      <c r="G415" s="4" t="s">
        <v>999</v>
      </c>
      <c r="H415" s="4" t="s">
        <v>735</v>
      </c>
      <c r="I415" s="3">
        <v>4</v>
      </c>
      <c r="J415" s="29" t="str">
        <f t="shared" si="55"/>
        <v>0</v>
      </c>
      <c r="K415" s="54" t="str">
        <f t="shared" si="63"/>
        <v>0</v>
      </c>
      <c r="L415" s="69" t="str">
        <f t="shared" si="56"/>
        <v>0</v>
      </c>
      <c r="M415" s="74" t="str">
        <f t="shared" si="57"/>
        <v>0</v>
      </c>
      <c r="N415" s="29" t="str">
        <f t="shared" si="58"/>
        <v>0</v>
      </c>
      <c r="O415" s="61">
        <v>1</v>
      </c>
      <c r="P415" s="65">
        <v>1</v>
      </c>
      <c r="Q415" s="46">
        <f t="shared" si="59"/>
        <v>2</v>
      </c>
      <c r="R415" s="3" t="str">
        <f t="shared" si="60"/>
        <v>ไม่ผ่าน</v>
      </c>
      <c r="S415" s="3" t="s">
        <v>28</v>
      </c>
    </row>
    <row r="416" spans="1:19" ht="24">
      <c r="A416" s="3">
        <v>415</v>
      </c>
      <c r="B416" s="105">
        <v>6312798208</v>
      </c>
      <c r="C416" s="4" t="s">
        <v>29</v>
      </c>
      <c r="D416" s="4" t="s">
        <v>1134</v>
      </c>
      <c r="E416" s="4" t="s">
        <v>440</v>
      </c>
      <c r="F416" s="4" t="s">
        <v>32</v>
      </c>
      <c r="G416" s="4" t="s">
        <v>999</v>
      </c>
      <c r="H416" s="4" t="s">
        <v>735</v>
      </c>
      <c r="I416" s="3">
        <v>4</v>
      </c>
      <c r="J416" s="29" t="str">
        <f t="shared" si="55"/>
        <v>1</v>
      </c>
      <c r="K416" s="54">
        <v>1</v>
      </c>
      <c r="L416" s="69" t="str">
        <f t="shared" si="56"/>
        <v>0</v>
      </c>
      <c r="M416" s="74" t="str">
        <f t="shared" si="57"/>
        <v>1</v>
      </c>
      <c r="N416" s="29" t="str">
        <f t="shared" si="58"/>
        <v>0</v>
      </c>
      <c r="O416" s="61">
        <v>1</v>
      </c>
      <c r="P416" s="65">
        <v>1</v>
      </c>
      <c r="Q416" s="46">
        <f t="shared" si="59"/>
        <v>5</v>
      </c>
      <c r="R416" s="83" t="str">
        <f t="shared" si="60"/>
        <v>ผ่าน</v>
      </c>
      <c r="S416" s="3" t="s">
        <v>28</v>
      </c>
    </row>
    <row r="417" spans="1:19" ht="24">
      <c r="A417" s="3">
        <v>416</v>
      </c>
      <c r="B417" s="105">
        <v>6312798209</v>
      </c>
      <c r="C417" s="4" t="s">
        <v>29</v>
      </c>
      <c r="D417" s="4" t="s">
        <v>1135</v>
      </c>
      <c r="E417" s="4" t="s">
        <v>1136</v>
      </c>
      <c r="F417" s="4" t="s">
        <v>869</v>
      </c>
      <c r="G417" s="4" t="s">
        <v>999</v>
      </c>
      <c r="H417" s="4" t="s">
        <v>735</v>
      </c>
      <c r="I417" s="3">
        <v>4</v>
      </c>
      <c r="J417" s="29" t="str">
        <f t="shared" si="55"/>
        <v>0</v>
      </c>
      <c r="K417" s="54" t="str">
        <f t="shared" si="63"/>
        <v>0</v>
      </c>
      <c r="L417" s="69" t="str">
        <f t="shared" si="56"/>
        <v>0</v>
      </c>
      <c r="M417" s="74" t="str">
        <f t="shared" si="57"/>
        <v>0</v>
      </c>
      <c r="N417" s="29" t="str">
        <f t="shared" si="58"/>
        <v>0</v>
      </c>
      <c r="O417" s="61">
        <v>1</v>
      </c>
      <c r="P417" s="65">
        <v>1</v>
      </c>
      <c r="Q417" s="46">
        <f t="shared" si="59"/>
        <v>2</v>
      </c>
      <c r="R417" s="3" t="str">
        <f t="shared" si="60"/>
        <v>ไม่ผ่าน</v>
      </c>
      <c r="S417" s="3" t="s">
        <v>28</v>
      </c>
    </row>
    <row r="418" spans="1:19" ht="24">
      <c r="A418" s="3">
        <v>417</v>
      </c>
      <c r="B418" s="105">
        <v>6312798213</v>
      </c>
      <c r="C418" s="4" t="s">
        <v>29</v>
      </c>
      <c r="D418" s="4" t="s">
        <v>1137</v>
      </c>
      <c r="E418" s="4" t="s">
        <v>1138</v>
      </c>
      <c r="F418" s="4" t="s">
        <v>193</v>
      </c>
      <c r="G418" s="4" t="s">
        <v>999</v>
      </c>
      <c r="H418" s="4" t="s">
        <v>735</v>
      </c>
      <c r="I418" s="3">
        <v>4</v>
      </c>
      <c r="J418" s="29" t="str">
        <f t="shared" si="55"/>
        <v>1</v>
      </c>
      <c r="K418" s="54">
        <v>1</v>
      </c>
      <c r="L418" s="69" t="str">
        <f t="shared" si="56"/>
        <v>0</v>
      </c>
      <c r="M418" s="74" t="str">
        <f t="shared" si="57"/>
        <v>1</v>
      </c>
      <c r="N418" s="29" t="str">
        <f t="shared" si="58"/>
        <v>0</v>
      </c>
      <c r="O418" s="61">
        <v>1</v>
      </c>
      <c r="P418" s="65">
        <v>1</v>
      </c>
      <c r="Q418" s="46">
        <f t="shared" si="59"/>
        <v>5</v>
      </c>
      <c r="R418" s="83" t="str">
        <f t="shared" si="60"/>
        <v>ผ่าน</v>
      </c>
      <c r="S418" s="3" t="s">
        <v>28</v>
      </c>
    </row>
    <row r="419" spans="1:19" ht="24">
      <c r="A419" s="3">
        <v>418</v>
      </c>
      <c r="B419" s="105">
        <v>6312898207</v>
      </c>
      <c r="C419" s="4" t="s">
        <v>29</v>
      </c>
      <c r="D419" s="4" t="s">
        <v>557</v>
      </c>
      <c r="E419" s="4" t="s">
        <v>1139</v>
      </c>
      <c r="F419" s="4" t="s">
        <v>401</v>
      </c>
      <c r="G419" s="4" t="s">
        <v>999</v>
      </c>
      <c r="H419" s="4" t="s">
        <v>735</v>
      </c>
      <c r="I419" s="3">
        <v>4</v>
      </c>
      <c r="J419" s="29" t="str">
        <f t="shared" si="55"/>
        <v>0</v>
      </c>
      <c r="K419" s="54" t="str">
        <f t="shared" si="63"/>
        <v>0</v>
      </c>
      <c r="L419" s="69" t="str">
        <f t="shared" si="56"/>
        <v>0</v>
      </c>
      <c r="M419" s="74" t="str">
        <f t="shared" si="57"/>
        <v>0</v>
      </c>
      <c r="N419" s="29" t="str">
        <f t="shared" si="58"/>
        <v>0</v>
      </c>
      <c r="O419" s="61">
        <v>1</v>
      </c>
      <c r="P419" s="65">
        <v>1</v>
      </c>
      <c r="Q419" s="46">
        <f t="shared" si="59"/>
        <v>2</v>
      </c>
      <c r="R419" s="3" t="str">
        <f t="shared" si="60"/>
        <v>ไม่ผ่าน</v>
      </c>
      <c r="S419" s="3" t="s">
        <v>28</v>
      </c>
    </row>
    <row r="420" spans="1:19" ht="24">
      <c r="A420" s="3">
        <v>419</v>
      </c>
      <c r="B420" s="105">
        <v>6510106101</v>
      </c>
      <c r="C420" s="4" t="s">
        <v>22</v>
      </c>
      <c r="D420" s="4" t="s">
        <v>1140</v>
      </c>
      <c r="E420" s="4" t="s">
        <v>1141</v>
      </c>
      <c r="F420" s="4" t="s">
        <v>1142</v>
      </c>
      <c r="G420" s="4" t="s">
        <v>999</v>
      </c>
      <c r="H420" s="4" t="s">
        <v>1143</v>
      </c>
      <c r="I420" s="3">
        <v>2</v>
      </c>
      <c r="J420" s="29" t="str">
        <f t="shared" si="55"/>
        <v>1</v>
      </c>
      <c r="K420" s="54" t="str">
        <f t="shared" si="63"/>
        <v>1</v>
      </c>
      <c r="L420" s="69" t="str">
        <f t="shared" si="56"/>
        <v>0</v>
      </c>
      <c r="M420" s="74" t="str">
        <f t="shared" si="57"/>
        <v>1</v>
      </c>
      <c r="N420" s="29" t="str">
        <f t="shared" si="58"/>
        <v>0</v>
      </c>
      <c r="O420" s="61" t="str">
        <f t="shared" ca="1" si="61"/>
        <v>0</v>
      </c>
      <c r="P420" s="65" t="str">
        <f t="shared" si="62"/>
        <v>0</v>
      </c>
      <c r="Q420" s="46">
        <f t="shared" ca="1" si="59"/>
        <v>3</v>
      </c>
      <c r="R420" s="83" t="str">
        <f t="shared" ca="1" si="60"/>
        <v>ผ่าน</v>
      </c>
      <c r="S420" s="3" t="s">
        <v>28</v>
      </c>
    </row>
    <row r="421" spans="1:19" ht="24">
      <c r="A421" s="3">
        <v>420</v>
      </c>
      <c r="B421" s="105">
        <v>6510106102</v>
      </c>
      <c r="C421" s="4" t="s">
        <v>22</v>
      </c>
      <c r="D421" s="4" t="s">
        <v>1144</v>
      </c>
      <c r="E421" s="4" t="s">
        <v>1145</v>
      </c>
      <c r="F421" s="4" t="s">
        <v>704</v>
      </c>
      <c r="G421" s="4" t="s">
        <v>999</v>
      </c>
      <c r="H421" s="4" t="s">
        <v>1143</v>
      </c>
      <c r="I421" s="3">
        <v>2</v>
      </c>
      <c r="J421" s="29" t="str">
        <f t="shared" si="55"/>
        <v>1</v>
      </c>
      <c r="K421" s="54" t="str">
        <f t="shared" si="63"/>
        <v>1</v>
      </c>
      <c r="L421" s="69" t="str">
        <f t="shared" si="56"/>
        <v>0</v>
      </c>
      <c r="M421" s="74" t="str">
        <f t="shared" si="57"/>
        <v>1</v>
      </c>
      <c r="N421" s="29" t="str">
        <f t="shared" si="58"/>
        <v>0</v>
      </c>
      <c r="O421" s="61" t="str">
        <f t="shared" ca="1" si="61"/>
        <v>0</v>
      </c>
      <c r="P421" s="65" t="str">
        <f t="shared" si="62"/>
        <v>0</v>
      </c>
      <c r="Q421" s="46">
        <f t="shared" ca="1" si="59"/>
        <v>3</v>
      </c>
      <c r="R421" s="83" t="str">
        <f t="shared" ca="1" si="60"/>
        <v>ผ่าน</v>
      </c>
      <c r="S421" s="3" t="s">
        <v>28</v>
      </c>
    </row>
    <row r="422" spans="1:19" ht="24">
      <c r="A422" s="3">
        <v>421</v>
      </c>
      <c r="B422" s="105">
        <v>6510106136</v>
      </c>
      <c r="C422" s="4" t="s">
        <v>29</v>
      </c>
      <c r="D422" s="4" t="s">
        <v>1101</v>
      </c>
      <c r="E422" s="4" t="s">
        <v>1146</v>
      </c>
      <c r="F422" s="4" t="s">
        <v>1147</v>
      </c>
      <c r="G422" s="4" t="s">
        <v>999</v>
      </c>
      <c r="H422" s="4" t="s">
        <v>1143</v>
      </c>
      <c r="I422" s="3">
        <v>2</v>
      </c>
      <c r="J422" s="29" t="str">
        <f t="shared" si="55"/>
        <v>1</v>
      </c>
      <c r="K422" s="54" t="str">
        <f t="shared" si="63"/>
        <v>1</v>
      </c>
      <c r="L422" s="69" t="str">
        <f t="shared" si="56"/>
        <v>0</v>
      </c>
      <c r="M422" s="74" t="str">
        <f t="shared" si="57"/>
        <v>1</v>
      </c>
      <c r="N422" s="29" t="str">
        <f t="shared" si="58"/>
        <v>0</v>
      </c>
      <c r="O422" s="61" t="str">
        <f t="shared" ca="1" si="61"/>
        <v>1</v>
      </c>
      <c r="P422" s="65" t="str">
        <f t="shared" si="62"/>
        <v>1</v>
      </c>
      <c r="Q422" s="46">
        <f t="shared" ca="1" si="59"/>
        <v>5</v>
      </c>
      <c r="R422" s="83" t="str">
        <f t="shared" ca="1" si="60"/>
        <v>ผ่าน</v>
      </c>
      <c r="S422" s="3" t="s">
        <v>28</v>
      </c>
    </row>
    <row r="423" spans="1:19" ht="24">
      <c r="A423" s="3">
        <v>422</v>
      </c>
      <c r="B423" s="105">
        <v>6410106107</v>
      </c>
      <c r="C423" s="4" t="s">
        <v>29</v>
      </c>
      <c r="D423" s="4" t="s">
        <v>859</v>
      </c>
      <c r="E423" s="4" t="s">
        <v>1148</v>
      </c>
      <c r="F423" s="4" t="s">
        <v>943</v>
      </c>
      <c r="G423" s="4" t="s">
        <v>999</v>
      </c>
      <c r="H423" s="4" t="s">
        <v>1143</v>
      </c>
      <c r="I423" s="3">
        <v>3</v>
      </c>
      <c r="J423" s="29" t="str">
        <f t="shared" si="55"/>
        <v>0</v>
      </c>
      <c r="K423" s="54">
        <v>1</v>
      </c>
      <c r="L423" s="69" t="str">
        <f t="shared" si="56"/>
        <v>0</v>
      </c>
      <c r="M423" s="74" t="str">
        <f t="shared" si="57"/>
        <v>0</v>
      </c>
      <c r="N423" s="29" t="str">
        <f t="shared" si="58"/>
        <v>1</v>
      </c>
      <c r="O423" s="61" t="str">
        <f t="shared" ca="1" si="61"/>
        <v>1</v>
      </c>
      <c r="P423" s="65" t="str">
        <f t="shared" si="62"/>
        <v>1</v>
      </c>
      <c r="Q423" s="46">
        <f t="shared" ca="1" si="59"/>
        <v>4</v>
      </c>
      <c r="R423" s="83" t="str">
        <f t="shared" ca="1" si="60"/>
        <v>ผ่าน</v>
      </c>
      <c r="S423" s="3" t="s">
        <v>28</v>
      </c>
    </row>
    <row r="424" spans="1:19" ht="24">
      <c r="A424" s="3">
        <v>423</v>
      </c>
      <c r="B424" s="105">
        <v>6410106119</v>
      </c>
      <c r="C424" s="4" t="s">
        <v>29</v>
      </c>
      <c r="D424" s="4" t="s">
        <v>1149</v>
      </c>
      <c r="E424" s="4" t="s">
        <v>1150</v>
      </c>
      <c r="F424" s="4" t="s">
        <v>1151</v>
      </c>
      <c r="G424" s="4" t="s">
        <v>999</v>
      </c>
      <c r="H424" s="4" t="s">
        <v>1143</v>
      </c>
      <c r="I424" s="3">
        <v>3</v>
      </c>
      <c r="J424" s="29" t="str">
        <f t="shared" si="55"/>
        <v>0</v>
      </c>
      <c r="K424" s="54" t="str">
        <f t="shared" si="63"/>
        <v>0</v>
      </c>
      <c r="L424" s="69" t="str">
        <f t="shared" si="56"/>
        <v>1</v>
      </c>
      <c r="M424" s="74" t="str">
        <f t="shared" si="57"/>
        <v>0</v>
      </c>
      <c r="N424" s="29" t="str">
        <f t="shared" si="58"/>
        <v>1</v>
      </c>
      <c r="O424" s="61" t="str">
        <f t="shared" ca="1" si="61"/>
        <v>1</v>
      </c>
      <c r="P424" s="65" t="str">
        <f t="shared" si="62"/>
        <v>1</v>
      </c>
      <c r="Q424" s="46">
        <f t="shared" ca="1" si="59"/>
        <v>4</v>
      </c>
      <c r="R424" s="83" t="str">
        <f t="shared" ca="1" si="60"/>
        <v>ผ่าน</v>
      </c>
      <c r="S424" s="3" t="s">
        <v>28</v>
      </c>
    </row>
    <row r="425" spans="1:19" ht="24">
      <c r="A425" s="3">
        <v>424</v>
      </c>
      <c r="B425" s="105">
        <v>6410106121</v>
      </c>
      <c r="C425" s="4" t="s">
        <v>29</v>
      </c>
      <c r="D425" s="4" t="s">
        <v>1152</v>
      </c>
      <c r="E425" s="4" t="s">
        <v>1153</v>
      </c>
      <c r="F425" s="4" t="s">
        <v>1154</v>
      </c>
      <c r="G425" s="4" t="s">
        <v>999</v>
      </c>
      <c r="H425" s="4" t="s">
        <v>1143</v>
      </c>
      <c r="I425" s="3">
        <v>3</v>
      </c>
      <c r="J425" s="29" t="str">
        <f t="shared" si="55"/>
        <v>1</v>
      </c>
      <c r="K425" s="54" t="str">
        <f t="shared" si="63"/>
        <v>1</v>
      </c>
      <c r="L425" s="69" t="str">
        <f t="shared" si="56"/>
        <v>0</v>
      </c>
      <c r="M425" s="74" t="str">
        <f t="shared" si="57"/>
        <v>1</v>
      </c>
      <c r="N425" s="29" t="str">
        <f t="shared" si="58"/>
        <v>0</v>
      </c>
      <c r="O425" s="61" t="str">
        <f t="shared" ca="1" si="61"/>
        <v>1</v>
      </c>
      <c r="P425" s="65" t="str">
        <f t="shared" si="62"/>
        <v>1</v>
      </c>
      <c r="Q425" s="46">
        <f t="shared" ca="1" si="59"/>
        <v>5</v>
      </c>
      <c r="R425" s="83" t="str">
        <f t="shared" ca="1" si="60"/>
        <v>ผ่าน</v>
      </c>
      <c r="S425" s="3" t="s">
        <v>28</v>
      </c>
    </row>
    <row r="426" spans="1:19" ht="24">
      <c r="A426" s="3">
        <v>425</v>
      </c>
      <c r="B426" s="105">
        <v>6410106130</v>
      </c>
      <c r="C426" s="4" t="s">
        <v>29</v>
      </c>
      <c r="D426" s="4" t="s">
        <v>378</v>
      </c>
      <c r="E426" s="4" t="s">
        <v>1155</v>
      </c>
      <c r="F426" s="4" t="s">
        <v>115</v>
      </c>
      <c r="G426" s="4" t="s">
        <v>999</v>
      </c>
      <c r="H426" s="4" t="s">
        <v>1143</v>
      </c>
      <c r="I426" s="3">
        <v>3</v>
      </c>
      <c r="J426" s="29" t="str">
        <f t="shared" si="55"/>
        <v>1</v>
      </c>
      <c r="K426" s="54" t="str">
        <f t="shared" si="63"/>
        <v>1</v>
      </c>
      <c r="L426" s="69" t="str">
        <f t="shared" si="56"/>
        <v>0</v>
      </c>
      <c r="M426" s="74" t="str">
        <f t="shared" si="57"/>
        <v>1</v>
      </c>
      <c r="N426" s="29" t="str">
        <f t="shared" si="58"/>
        <v>0</v>
      </c>
      <c r="O426" s="61" t="str">
        <f t="shared" ca="1" si="61"/>
        <v>1</v>
      </c>
      <c r="P426" s="65" t="str">
        <f t="shared" si="62"/>
        <v>1</v>
      </c>
      <c r="Q426" s="46">
        <f t="shared" ca="1" si="59"/>
        <v>5</v>
      </c>
      <c r="R426" s="83" t="str">
        <f t="shared" ca="1" si="60"/>
        <v>ผ่าน</v>
      </c>
      <c r="S426" s="3" t="s">
        <v>28</v>
      </c>
    </row>
    <row r="427" spans="1:19" ht="24">
      <c r="A427" s="3">
        <v>426</v>
      </c>
      <c r="B427" s="105">
        <v>6410106213</v>
      </c>
      <c r="C427" s="4" t="s">
        <v>29</v>
      </c>
      <c r="D427" s="4" t="s">
        <v>1156</v>
      </c>
      <c r="E427" s="4" t="s">
        <v>1157</v>
      </c>
      <c r="F427" s="4" t="s">
        <v>157</v>
      </c>
      <c r="G427" s="4" t="s">
        <v>999</v>
      </c>
      <c r="H427" s="4" t="s">
        <v>1143</v>
      </c>
      <c r="I427" s="3">
        <v>3</v>
      </c>
      <c r="J427" s="29" t="str">
        <f t="shared" si="55"/>
        <v>0</v>
      </c>
      <c r="K427" s="54">
        <v>1</v>
      </c>
      <c r="L427" s="69" t="str">
        <f t="shared" si="56"/>
        <v>0</v>
      </c>
      <c r="M427" s="74" t="str">
        <f t="shared" si="57"/>
        <v>1</v>
      </c>
      <c r="N427" s="29" t="str">
        <f t="shared" si="58"/>
        <v>0</v>
      </c>
      <c r="O427" s="61" t="str">
        <f t="shared" ca="1" si="61"/>
        <v>1</v>
      </c>
      <c r="P427" s="65" t="str">
        <f t="shared" si="62"/>
        <v>1</v>
      </c>
      <c r="Q427" s="46">
        <f t="shared" ca="1" si="59"/>
        <v>4</v>
      </c>
      <c r="R427" s="83" t="str">
        <f t="shared" ca="1" si="60"/>
        <v>ผ่าน</v>
      </c>
      <c r="S427" s="3" t="s">
        <v>28</v>
      </c>
    </row>
    <row r="428" spans="1:19" ht="24">
      <c r="A428" s="3">
        <v>427</v>
      </c>
      <c r="B428" s="105">
        <v>6410106218</v>
      </c>
      <c r="C428" s="4" t="s">
        <v>29</v>
      </c>
      <c r="D428" s="4" t="s">
        <v>557</v>
      </c>
      <c r="E428" s="4" t="s">
        <v>1158</v>
      </c>
      <c r="F428" s="4" t="s">
        <v>1115</v>
      </c>
      <c r="G428" s="4" t="s">
        <v>999</v>
      </c>
      <c r="H428" s="4" t="s">
        <v>1143</v>
      </c>
      <c r="I428" s="3">
        <v>3</v>
      </c>
      <c r="J428" s="29" t="str">
        <f t="shared" si="55"/>
        <v>0</v>
      </c>
      <c r="K428" s="54">
        <v>1</v>
      </c>
      <c r="L428" s="69" t="str">
        <f t="shared" si="56"/>
        <v>0</v>
      </c>
      <c r="M428" s="74" t="str">
        <f t="shared" si="57"/>
        <v>1</v>
      </c>
      <c r="N428" s="29" t="str">
        <f t="shared" si="58"/>
        <v>0</v>
      </c>
      <c r="O428" s="61" t="str">
        <f t="shared" ca="1" si="61"/>
        <v>1</v>
      </c>
      <c r="P428" s="65" t="str">
        <f t="shared" si="62"/>
        <v>1</v>
      </c>
      <c r="Q428" s="46">
        <f t="shared" ca="1" si="59"/>
        <v>4</v>
      </c>
      <c r="R428" s="83" t="str">
        <f t="shared" ca="1" si="60"/>
        <v>ผ่าน</v>
      </c>
      <c r="S428" s="3" t="s">
        <v>28</v>
      </c>
    </row>
    <row r="429" spans="1:19" ht="24">
      <c r="A429" s="3">
        <v>428</v>
      </c>
      <c r="B429" s="105">
        <v>6410106225</v>
      </c>
      <c r="C429" s="4" t="s">
        <v>29</v>
      </c>
      <c r="D429" s="4" t="s">
        <v>324</v>
      </c>
      <c r="E429" s="4" t="s">
        <v>1159</v>
      </c>
      <c r="F429" s="4" t="s">
        <v>324</v>
      </c>
      <c r="G429" s="4" t="s">
        <v>999</v>
      </c>
      <c r="H429" s="4" t="s">
        <v>1143</v>
      </c>
      <c r="I429" s="3">
        <v>3</v>
      </c>
      <c r="J429" s="29" t="str">
        <f t="shared" si="55"/>
        <v>0</v>
      </c>
      <c r="K429" s="54">
        <v>1</v>
      </c>
      <c r="L429" s="69" t="str">
        <f t="shared" si="56"/>
        <v>0</v>
      </c>
      <c r="M429" s="74" t="str">
        <f t="shared" si="57"/>
        <v>1</v>
      </c>
      <c r="N429" s="29" t="str">
        <f t="shared" si="58"/>
        <v>0</v>
      </c>
      <c r="O429" s="61" t="str">
        <f t="shared" ca="1" si="61"/>
        <v>1</v>
      </c>
      <c r="P429" s="65" t="str">
        <f t="shared" si="62"/>
        <v>1</v>
      </c>
      <c r="Q429" s="46">
        <f t="shared" ca="1" si="59"/>
        <v>4</v>
      </c>
      <c r="R429" s="83" t="str">
        <f t="shared" ca="1" si="60"/>
        <v>ผ่าน</v>
      </c>
      <c r="S429" s="3" t="s">
        <v>28</v>
      </c>
    </row>
    <row r="430" spans="1:19" ht="24">
      <c r="A430" s="3">
        <v>429</v>
      </c>
      <c r="B430" s="105">
        <v>6310106105</v>
      </c>
      <c r="C430" s="4" t="s">
        <v>29</v>
      </c>
      <c r="D430" s="4" t="s">
        <v>469</v>
      </c>
      <c r="E430" s="4" t="s">
        <v>1160</v>
      </c>
      <c r="F430" s="4" t="s">
        <v>356</v>
      </c>
      <c r="G430" s="4" t="s">
        <v>999</v>
      </c>
      <c r="H430" s="4" t="s">
        <v>1143</v>
      </c>
      <c r="I430" s="3">
        <v>4</v>
      </c>
      <c r="J430" s="29" t="str">
        <f t="shared" si="55"/>
        <v>1</v>
      </c>
      <c r="K430" s="54" t="str">
        <f t="shared" si="63"/>
        <v>1</v>
      </c>
      <c r="L430" s="69" t="str">
        <f t="shared" si="56"/>
        <v>0</v>
      </c>
      <c r="M430" s="74" t="str">
        <f t="shared" si="57"/>
        <v>1</v>
      </c>
      <c r="N430" s="29" t="str">
        <f t="shared" si="58"/>
        <v>0</v>
      </c>
      <c r="O430" s="61">
        <v>1</v>
      </c>
      <c r="P430" s="65">
        <v>1</v>
      </c>
      <c r="Q430" s="46">
        <f t="shared" si="59"/>
        <v>5</v>
      </c>
      <c r="R430" s="83" t="str">
        <f t="shared" si="60"/>
        <v>ผ่าน</v>
      </c>
      <c r="S430" s="3" t="s">
        <v>28</v>
      </c>
    </row>
    <row r="431" spans="1:19" ht="24">
      <c r="A431" s="3">
        <v>430</v>
      </c>
      <c r="B431" s="105">
        <v>6310106114</v>
      </c>
      <c r="C431" s="4" t="s">
        <v>29</v>
      </c>
      <c r="D431" s="4" t="s">
        <v>1161</v>
      </c>
      <c r="E431" s="4" t="s">
        <v>1162</v>
      </c>
      <c r="F431" s="4" t="s">
        <v>130</v>
      </c>
      <c r="G431" s="4" t="s">
        <v>999</v>
      </c>
      <c r="H431" s="4" t="s">
        <v>1143</v>
      </c>
      <c r="I431" s="3">
        <v>4</v>
      </c>
      <c r="J431" s="29" t="str">
        <f t="shared" si="55"/>
        <v>1</v>
      </c>
      <c r="K431" s="54" t="str">
        <f t="shared" si="63"/>
        <v>0</v>
      </c>
      <c r="L431" s="69" t="str">
        <f t="shared" si="56"/>
        <v>0</v>
      </c>
      <c r="M431" s="74" t="str">
        <f t="shared" si="57"/>
        <v>1</v>
      </c>
      <c r="N431" s="29" t="str">
        <f t="shared" si="58"/>
        <v>0</v>
      </c>
      <c r="O431" s="61">
        <v>1</v>
      </c>
      <c r="P431" s="65">
        <v>1</v>
      </c>
      <c r="Q431" s="46">
        <f t="shared" si="59"/>
        <v>4</v>
      </c>
      <c r="R431" s="83" t="str">
        <f t="shared" si="60"/>
        <v>ผ่าน</v>
      </c>
      <c r="S431" s="3" t="s">
        <v>28</v>
      </c>
    </row>
    <row r="432" spans="1:19" ht="24">
      <c r="A432" s="3">
        <v>431</v>
      </c>
      <c r="B432" s="105">
        <v>6310106202</v>
      </c>
      <c r="C432" s="4" t="s">
        <v>22</v>
      </c>
      <c r="D432" s="4" t="s">
        <v>845</v>
      </c>
      <c r="E432" s="4" t="s">
        <v>1163</v>
      </c>
      <c r="F432" s="4" t="s">
        <v>1164</v>
      </c>
      <c r="G432" s="4" t="s">
        <v>999</v>
      </c>
      <c r="H432" s="4" t="s">
        <v>1143</v>
      </c>
      <c r="I432" s="3">
        <v>4</v>
      </c>
      <c r="J432" s="29" t="str">
        <f t="shared" si="55"/>
        <v>0</v>
      </c>
      <c r="K432" s="54">
        <v>1</v>
      </c>
      <c r="L432" s="69" t="str">
        <f t="shared" si="56"/>
        <v>0</v>
      </c>
      <c r="M432" s="74" t="str">
        <f t="shared" si="57"/>
        <v>1</v>
      </c>
      <c r="N432" s="29" t="str">
        <f t="shared" si="58"/>
        <v>0</v>
      </c>
      <c r="O432" s="61">
        <v>1</v>
      </c>
      <c r="P432" s="65">
        <v>1</v>
      </c>
      <c r="Q432" s="46">
        <f t="shared" si="59"/>
        <v>4</v>
      </c>
      <c r="R432" s="83" t="str">
        <f t="shared" si="60"/>
        <v>ผ่าน</v>
      </c>
      <c r="S432" s="3" t="s">
        <v>28</v>
      </c>
    </row>
    <row r="433" spans="1:19" ht="24">
      <c r="A433" s="3">
        <v>432</v>
      </c>
      <c r="B433" s="105">
        <v>6310106214</v>
      </c>
      <c r="C433" s="4" t="s">
        <v>29</v>
      </c>
      <c r="D433" s="4" t="s">
        <v>1165</v>
      </c>
      <c r="E433" s="4" t="s">
        <v>1166</v>
      </c>
      <c r="F433" s="4" t="s">
        <v>453</v>
      </c>
      <c r="G433" s="4" t="s">
        <v>999</v>
      </c>
      <c r="H433" s="4" t="s">
        <v>1143</v>
      </c>
      <c r="I433" s="3">
        <v>4</v>
      </c>
      <c r="J433" s="29" t="str">
        <f t="shared" si="55"/>
        <v>0</v>
      </c>
      <c r="K433" s="54">
        <v>1</v>
      </c>
      <c r="L433" s="69" t="str">
        <f t="shared" si="56"/>
        <v>0</v>
      </c>
      <c r="M433" s="74" t="str">
        <f t="shared" si="57"/>
        <v>1</v>
      </c>
      <c r="N433" s="29" t="str">
        <f t="shared" si="58"/>
        <v>0</v>
      </c>
      <c r="O433" s="61">
        <v>1</v>
      </c>
      <c r="P433" s="65">
        <v>1</v>
      </c>
      <c r="Q433" s="46">
        <f t="shared" si="59"/>
        <v>4</v>
      </c>
      <c r="R433" s="83" t="str">
        <f t="shared" si="60"/>
        <v>ผ่าน</v>
      </c>
      <c r="S433" s="3" t="s">
        <v>28</v>
      </c>
    </row>
    <row r="434" spans="1:19" ht="24">
      <c r="A434" s="3">
        <v>433</v>
      </c>
      <c r="B434" s="105">
        <v>6310106203</v>
      </c>
      <c r="C434" s="4" t="s">
        <v>29</v>
      </c>
      <c r="D434" s="4" t="s">
        <v>1167</v>
      </c>
      <c r="E434" s="4" t="s">
        <v>724</v>
      </c>
      <c r="F434" s="4" t="s">
        <v>1168</v>
      </c>
      <c r="G434" s="4" t="s">
        <v>999</v>
      </c>
      <c r="H434" s="4" t="s">
        <v>1169</v>
      </c>
      <c r="I434" s="3">
        <v>4</v>
      </c>
      <c r="J434" s="29" t="str">
        <f t="shared" si="55"/>
        <v>1</v>
      </c>
      <c r="K434" s="54" t="str">
        <f t="shared" si="63"/>
        <v>1</v>
      </c>
      <c r="L434" s="69" t="str">
        <f t="shared" si="56"/>
        <v>0</v>
      </c>
      <c r="M434" s="74" t="str">
        <f t="shared" si="57"/>
        <v>1</v>
      </c>
      <c r="N434" s="29" t="str">
        <f t="shared" si="58"/>
        <v>0</v>
      </c>
      <c r="O434" s="61">
        <v>1</v>
      </c>
      <c r="P434" s="65">
        <v>1</v>
      </c>
      <c r="Q434" s="46">
        <f t="shared" si="59"/>
        <v>5</v>
      </c>
      <c r="R434" s="83" t="str">
        <f t="shared" si="60"/>
        <v>ผ่าน</v>
      </c>
      <c r="S434" s="3" t="s">
        <v>28</v>
      </c>
    </row>
    <row r="435" spans="1:19" ht="24">
      <c r="A435" s="3">
        <v>434</v>
      </c>
      <c r="B435" s="105">
        <v>6312743106</v>
      </c>
      <c r="C435" s="4" t="s">
        <v>29</v>
      </c>
      <c r="D435" s="4" t="s">
        <v>1170</v>
      </c>
      <c r="E435" s="4" t="s">
        <v>1171</v>
      </c>
      <c r="F435" s="4" t="s">
        <v>1172</v>
      </c>
      <c r="G435" s="4" t="s">
        <v>999</v>
      </c>
      <c r="H435" s="4" t="s">
        <v>761</v>
      </c>
      <c r="I435" s="3">
        <v>4</v>
      </c>
      <c r="J435" s="29" t="str">
        <f t="shared" si="55"/>
        <v>0</v>
      </c>
      <c r="K435" s="54" t="str">
        <f t="shared" si="63"/>
        <v>1</v>
      </c>
      <c r="L435" s="69" t="str">
        <f t="shared" si="56"/>
        <v>0</v>
      </c>
      <c r="M435" s="74" t="str">
        <f t="shared" si="57"/>
        <v>1</v>
      </c>
      <c r="N435" s="29" t="str">
        <f t="shared" si="58"/>
        <v>0</v>
      </c>
      <c r="O435" s="61">
        <v>1</v>
      </c>
      <c r="P435" s="65">
        <v>1</v>
      </c>
      <c r="Q435" s="46">
        <f t="shared" si="59"/>
        <v>4</v>
      </c>
      <c r="R435" s="83" t="str">
        <f t="shared" si="60"/>
        <v>ผ่าน</v>
      </c>
      <c r="S435" s="3" t="s">
        <v>28</v>
      </c>
    </row>
    <row r="436" spans="1:19" ht="24">
      <c r="A436" s="3">
        <v>435</v>
      </c>
      <c r="B436" s="105">
        <v>6612743113</v>
      </c>
      <c r="C436" s="4" t="s">
        <v>29</v>
      </c>
      <c r="D436" s="4" t="s">
        <v>1173</v>
      </c>
      <c r="E436" s="4" t="s">
        <v>1174</v>
      </c>
      <c r="F436" s="4" t="s">
        <v>332</v>
      </c>
      <c r="G436" s="4" t="s">
        <v>999</v>
      </c>
      <c r="H436" s="4" t="s">
        <v>1175</v>
      </c>
      <c r="I436" s="3">
        <v>1</v>
      </c>
      <c r="J436" s="29" t="str">
        <f t="shared" si="55"/>
        <v>0</v>
      </c>
      <c r="K436" s="54" t="str">
        <f t="shared" si="63"/>
        <v>1</v>
      </c>
      <c r="L436" s="69" t="str">
        <f t="shared" si="56"/>
        <v>0</v>
      </c>
      <c r="M436" s="74" t="str">
        <f t="shared" si="57"/>
        <v>0</v>
      </c>
      <c r="N436" s="29" t="str">
        <f t="shared" si="58"/>
        <v>0</v>
      </c>
      <c r="O436" s="61" t="str">
        <f t="shared" ca="1" si="61"/>
        <v>0</v>
      </c>
      <c r="P436" s="65" t="str">
        <f t="shared" si="62"/>
        <v>0</v>
      </c>
      <c r="Q436" s="46">
        <f t="shared" ca="1" si="59"/>
        <v>1</v>
      </c>
      <c r="R436" s="3" t="str">
        <f t="shared" ca="1" si="60"/>
        <v>ไม่ผ่าน</v>
      </c>
      <c r="S436" s="3" t="s">
        <v>28</v>
      </c>
    </row>
    <row r="437" spans="1:19" ht="24">
      <c r="A437" s="3">
        <v>436</v>
      </c>
      <c r="B437" s="105">
        <v>6612743120</v>
      </c>
      <c r="C437" s="4" t="s">
        <v>29</v>
      </c>
      <c r="D437" s="4" t="s">
        <v>1176</v>
      </c>
      <c r="E437" s="4" t="s">
        <v>1177</v>
      </c>
      <c r="F437" s="4" t="s">
        <v>59</v>
      </c>
      <c r="G437" s="4" t="s">
        <v>999</v>
      </c>
      <c r="H437" s="4" t="s">
        <v>1175</v>
      </c>
      <c r="I437" s="3">
        <v>1</v>
      </c>
      <c r="J437" s="29" t="str">
        <f t="shared" si="55"/>
        <v>0</v>
      </c>
      <c r="K437" s="54" t="str">
        <f t="shared" si="63"/>
        <v>0</v>
      </c>
      <c r="L437" s="69" t="str">
        <f t="shared" si="56"/>
        <v>0</v>
      </c>
      <c r="M437" s="74" t="str">
        <f t="shared" si="57"/>
        <v>0</v>
      </c>
      <c r="N437" s="29" t="str">
        <f t="shared" si="58"/>
        <v>0</v>
      </c>
      <c r="O437" s="61" t="str">
        <f t="shared" ca="1" si="61"/>
        <v>0</v>
      </c>
      <c r="P437" s="65" t="str">
        <f t="shared" si="62"/>
        <v>0</v>
      </c>
      <c r="Q437" s="46">
        <f t="shared" ca="1" si="59"/>
        <v>0</v>
      </c>
      <c r="R437" s="3" t="str">
        <f t="shared" ca="1" si="60"/>
        <v>ไม่ผ่าน</v>
      </c>
      <c r="S437" s="3" t="s">
        <v>28</v>
      </c>
    </row>
    <row r="438" spans="1:19" ht="24">
      <c r="A438" s="3">
        <v>437</v>
      </c>
      <c r="B438" s="105">
        <v>6612743212</v>
      </c>
      <c r="C438" s="4" t="s">
        <v>29</v>
      </c>
      <c r="D438" s="4" t="s">
        <v>1028</v>
      </c>
      <c r="E438" s="4" t="s">
        <v>1178</v>
      </c>
      <c r="F438" s="4" t="s">
        <v>594</v>
      </c>
      <c r="G438" s="4" t="s">
        <v>999</v>
      </c>
      <c r="H438" s="4" t="s">
        <v>1175</v>
      </c>
      <c r="I438" s="3">
        <v>1</v>
      </c>
      <c r="J438" s="29" t="str">
        <f t="shared" si="55"/>
        <v>0</v>
      </c>
      <c r="K438" s="54" t="str">
        <f t="shared" si="63"/>
        <v>0</v>
      </c>
      <c r="L438" s="69" t="str">
        <f t="shared" si="56"/>
        <v>0</v>
      </c>
      <c r="M438" s="74" t="str">
        <f t="shared" si="57"/>
        <v>0</v>
      </c>
      <c r="N438" s="29" t="str">
        <f t="shared" si="58"/>
        <v>0</v>
      </c>
      <c r="O438" s="61" t="str">
        <f t="shared" ca="1" si="61"/>
        <v>1</v>
      </c>
      <c r="P438" s="65" t="str">
        <f t="shared" si="62"/>
        <v>1</v>
      </c>
      <c r="Q438" s="46">
        <f t="shared" ca="1" si="59"/>
        <v>2</v>
      </c>
      <c r="R438" s="3" t="str">
        <f t="shared" ca="1" si="60"/>
        <v>ไม่ผ่าน</v>
      </c>
      <c r="S438" s="3" t="s">
        <v>28</v>
      </c>
    </row>
    <row r="439" spans="1:19" ht="24">
      <c r="A439" s="3">
        <v>438</v>
      </c>
      <c r="B439" s="105">
        <v>6612743223</v>
      </c>
      <c r="C439" s="4" t="s">
        <v>29</v>
      </c>
      <c r="D439" s="4" t="s">
        <v>1179</v>
      </c>
      <c r="E439" s="4" t="s">
        <v>1180</v>
      </c>
      <c r="F439" s="4" t="s">
        <v>507</v>
      </c>
      <c r="G439" s="4" t="s">
        <v>999</v>
      </c>
      <c r="H439" s="4" t="s">
        <v>1175</v>
      </c>
      <c r="I439" s="3">
        <v>1</v>
      </c>
      <c r="J439" s="29" t="str">
        <f t="shared" si="55"/>
        <v>0</v>
      </c>
      <c r="K439" s="54" t="str">
        <f t="shared" si="63"/>
        <v>1</v>
      </c>
      <c r="L439" s="69" t="str">
        <f t="shared" si="56"/>
        <v>0</v>
      </c>
      <c r="M439" s="74" t="str">
        <f t="shared" si="57"/>
        <v>0</v>
      </c>
      <c r="N439" s="29" t="str">
        <f t="shared" si="58"/>
        <v>0</v>
      </c>
      <c r="O439" s="61" t="str">
        <f t="shared" ca="1" si="61"/>
        <v>1</v>
      </c>
      <c r="P439" s="65" t="str">
        <f t="shared" si="62"/>
        <v>1</v>
      </c>
      <c r="Q439" s="46">
        <f t="shared" ca="1" si="59"/>
        <v>3</v>
      </c>
      <c r="R439" s="83" t="str">
        <f t="shared" ca="1" si="60"/>
        <v>ผ่าน</v>
      </c>
      <c r="S439" s="3" t="s">
        <v>28</v>
      </c>
    </row>
    <row r="440" spans="1:19" ht="24">
      <c r="A440" s="3">
        <v>439</v>
      </c>
      <c r="B440" s="105">
        <v>6412743109</v>
      </c>
      <c r="C440" s="4" t="s">
        <v>22</v>
      </c>
      <c r="D440" s="4" t="s">
        <v>1181</v>
      </c>
      <c r="E440" s="4"/>
      <c r="F440" s="4" t="s">
        <v>1182</v>
      </c>
      <c r="G440" s="4" t="s">
        <v>999</v>
      </c>
      <c r="H440" s="4" t="s">
        <v>1175</v>
      </c>
      <c r="I440" s="3">
        <v>2</v>
      </c>
      <c r="J440" s="29" t="str">
        <f t="shared" si="55"/>
        <v>0</v>
      </c>
      <c r="K440" s="54" t="str">
        <f t="shared" si="63"/>
        <v>0</v>
      </c>
      <c r="L440" s="69" t="str">
        <f t="shared" si="56"/>
        <v>0</v>
      </c>
      <c r="M440" s="74" t="str">
        <f t="shared" si="57"/>
        <v>0</v>
      </c>
      <c r="N440" s="29" t="str">
        <f t="shared" si="58"/>
        <v>0</v>
      </c>
      <c r="O440" s="61" t="str">
        <f t="shared" ca="1" si="61"/>
        <v>0</v>
      </c>
      <c r="P440" s="65" t="str">
        <f t="shared" si="62"/>
        <v>0</v>
      </c>
      <c r="Q440" s="46">
        <f t="shared" ca="1" si="59"/>
        <v>0</v>
      </c>
      <c r="R440" s="3" t="str">
        <f t="shared" ca="1" si="60"/>
        <v>ไม่ผ่าน</v>
      </c>
      <c r="S440" s="3" t="s">
        <v>28</v>
      </c>
    </row>
    <row r="441" spans="1:19" ht="24">
      <c r="A441" s="3">
        <v>440</v>
      </c>
      <c r="B441" s="106">
        <v>6512743110</v>
      </c>
      <c r="C441" s="6" t="s">
        <v>22</v>
      </c>
      <c r="D441" s="6" t="s">
        <v>1183</v>
      </c>
      <c r="E441" s="4" t="s">
        <v>1184</v>
      </c>
      <c r="F441" s="6" t="s">
        <v>588</v>
      </c>
      <c r="G441" s="6" t="s">
        <v>999</v>
      </c>
      <c r="H441" s="6" t="s">
        <v>1175</v>
      </c>
      <c r="I441" s="5">
        <v>2</v>
      </c>
      <c r="J441" s="29" t="str">
        <f t="shared" si="55"/>
        <v>0</v>
      </c>
      <c r="K441" s="54" t="str">
        <f t="shared" si="63"/>
        <v>0</v>
      </c>
      <c r="L441" s="69" t="str">
        <f t="shared" si="56"/>
        <v>0</v>
      </c>
      <c r="M441" s="74" t="str">
        <f t="shared" si="57"/>
        <v>0</v>
      </c>
      <c r="N441" s="29" t="str">
        <f t="shared" si="58"/>
        <v>0</v>
      </c>
      <c r="O441" s="61" t="str">
        <f t="shared" ca="1" si="61"/>
        <v>0</v>
      </c>
      <c r="P441" s="65" t="str">
        <f t="shared" si="62"/>
        <v>0</v>
      </c>
      <c r="Q441" s="46">
        <f t="shared" ca="1" si="59"/>
        <v>0</v>
      </c>
      <c r="R441" s="3" t="str">
        <f t="shared" ca="1" si="60"/>
        <v>ไม่ผ่าน</v>
      </c>
      <c r="S441" s="3" t="s">
        <v>28</v>
      </c>
    </row>
    <row r="442" spans="1:19" ht="24">
      <c r="A442" s="3">
        <v>441</v>
      </c>
      <c r="B442" s="105">
        <v>6512743124</v>
      </c>
      <c r="C442" s="4" t="s">
        <v>29</v>
      </c>
      <c r="D442" s="4" t="s">
        <v>1185</v>
      </c>
      <c r="E442" s="4" t="s">
        <v>1186</v>
      </c>
      <c r="F442" s="4" t="s">
        <v>1187</v>
      </c>
      <c r="G442" s="4" t="s">
        <v>999</v>
      </c>
      <c r="H442" s="4" t="s">
        <v>1175</v>
      </c>
      <c r="I442" s="3">
        <v>2</v>
      </c>
      <c r="J442" s="29" t="str">
        <f t="shared" si="55"/>
        <v>0</v>
      </c>
      <c r="K442" s="54" t="str">
        <f t="shared" si="63"/>
        <v>0</v>
      </c>
      <c r="L442" s="69" t="str">
        <f t="shared" si="56"/>
        <v>0</v>
      </c>
      <c r="M442" s="74" t="str">
        <f t="shared" si="57"/>
        <v>1</v>
      </c>
      <c r="N442" s="29" t="str">
        <f t="shared" si="58"/>
        <v>0</v>
      </c>
      <c r="O442" s="61" t="str">
        <f t="shared" ca="1" si="61"/>
        <v>1</v>
      </c>
      <c r="P442" s="65" t="str">
        <f t="shared" si="62"/>
        <v>1</v>
      </c>
      <c r="Q442" s="46">
        <f t="shared" ca="1" si="59"/>
        <v>3</v>
      </c>
      <c r="R442" s="83" t="str">
        <f t="shared" ca="1" si="60"/>
        <v>ผ่าน</v>
      </c>
      <c r="S442" s="3" t="s">
        <v>28</v>
      </c>
    </row>
    <row r="443" spans="1:19" ht="24">
      <c r="A443" s="3">
        <v>442</v>
      </c>
      <c r="B443" s="105">
        <v>6512743215</v>
      </c>
      <c r="C443" s="4" t="s">
        <v>29</v>
      </c>
      <c r="D443" s="4" t="s">
        <v>1188</v>
      </c>
      <c r="E443" s="4" t="s">
        <v>1189</v>
      </c>
      <c r="F443" s="4" t="s">
        <v>216</v>
      </c>
      <c r="G443" s="4" t="s">
        <v>999</v>
      </c>
      <c r="H443" s="4" t="s">
        <v>1175</v>
      </c>
      <c r="I443" s="3">
        <v>2</v>
      </c>
      <c r="J443" s="29" t="str">
        <f t="shared" si="55"/>
        <v>1</v>
      </c>
      <c r="K443" s="54" t="str">
        <f t="shared" si="63"/>
        <v>1</v>
      </c>
      <c r="L443" s="69" t="str">
        <f t="shared" si="56"/>
        <v>0</v>
      </c>
      <c r="M443" s="74" t="str">
        <f t="shared" si="57"/>
        <v>1</v>
      </c>
      <c r="N443" s="29" t="str">
        <f t="shared" si="58"/>
        <v>0</v>
      </c>
      <c r="O443" s="61" t="str">
        <f t="shared" ca="1" si="61"/>
        <v>1</v>
      </c>
      <c r="P443" s="65" t="str">
        <f t="shared" si="62"/>
        <v>1</v>
      </c>
      <c r="Q443" s="46">
        <f t="shared" ca="1" si="59"/>
        <v>5</v>
      </c>
      <c r="R443" s="83" t="str">
        <f t="shared" ca="1" si="60"/>
        <v>ผ่าน</v>
      </c>
      <c r="S443" s="3" t="s">
        <v>28</v>
      </c>
    </row>
    <row r="444" spans="1:19" ht="24">
      <c r="A444" s="3">
        <v>443</v>
      </c>
      <c r="B444" s="105">
        <v>6512743224</v>
      </c>
      <c r="C444" s="4" t="s">
        <v>29</v>
      </c>
      <c r="D444" s="4" t="s">
        <v>1190</v>
      </c>
      <c r="E444" s="4" t="s">
        <v>1191</v>
      </c>
      <c r="F444" s="4" t="s">
        <v>1192</v>
      </c>
      <c r="G444" s="4" t="s">
        <v>999</v>
      </c>
      <c r="H444" s="4" t="s">
        <v>1175</v>
      </c>
      <c r="I444" s="3">
        <v>2</v>
      </c>
      <c r="J444" s="29" t="str">
        <f t="shared" si="55"/>
        <v>1</v>
      </c>
      <c r="K444" s="54" t="str">
        <f t="shared" si="63"/>
        <v>1</v>
      </c>
      <c r="L444" s="69" t="str">
        <f t="shared" si="56"/>
        <v>0</v>
      </c>
      <c r="M444" s="74" t="str">
        <f t="shared" si="57"/>
        <v>0</v>
      </c>
      <c r="N444" s="29" t="str">
        <f t="shared" si="58"/>
        <v>1</v>
      </c>
      <c r="O444" s="61" t="str">
        <f t="shared" ca="1" si="61"/>
        <v>1</v>
      </c>
      <c r="P444" s="65" t="str">
        <f t="shared" si="62"/>
        <v>1</v>
      </c>
      <c r="Q444" s="46">
        <f t="shared" ca="1" si="59"/>
        <v>5</v>
      </c>
      <c r="R444" s="83" t="str">
        <f t="shared" ca="1" si="60"/>
        <v>ผ่าน</v>
      </c>
      <c r="S444" s="3" t="s">
        <v>28</v>
      </c>
    </row>
    <row r="445" spans="1:19" ht="24">
      <c r="A445" s="3">
        <v>444</v>
      </c>
      <c r="B445" s="105">
        <v>6512743226</v>
      </c>
      <c r="C445" s="4" t="s">
        <v>29</v>
      </c>
      <c r="D445" s="4" t="s">
        <v>1126</v>
      </c>
      <c r="E445" s="4" t="s">
        <v>1193</v>
      </c>
      <c r="F445" s="4" t="s">
        <v>784</v>
      </c>
      <c r="G445" s="4" t="s">
        <v>999</v>
      </c>
      <c r="H445" s="4" t="s">
        <v>1175</v>
      </c>
      <c r="I445" s="3">
        <v>2</v>
      </c>
      <c r="J445" s="29" t="str">
        <f t="shared" si="55"/>
        <v>1</v>
      </c>
      <c r="K445" s="54" t="str">
        <f t="shared" si="63"/>
        <v>1</v>
      </c>
      <c r="L445" s="69" t="str">
        <f t="shared" si="56"/>
        <v>0</v>
      </c>
      <c r="M445" s="74" t="str">
        <f t="shared" si="57"/>
        <v>0</v>
      </c>
      <c r="N445" s="29" t="str">
        <f t="shared" si="58"/>
        <v>1</v>
      </c>
      <c r="O445" s="61" t="str">
        <f t="shared" ca="1" si="61"/>
        <v>1</v>
      </c>
      <c r="P445" s="65" t="str">
        <f t="shared" si="62"/>
        <v>1</v>
      </c>
      <c r="Q445" s="46">
        <f t="shared" ca="1" si="59"/>
        <v>5</v>
      </c>
      <c r="R445" s="83" t="str">
        <f t="shared" ca="1" si="60"/>
        <v>ผ่าน</v>
      </c>
      <c r="S445" s="3" t="s">
        <v>28</v>
      </c>
    </row>
    <row r="446" spans="1:19" ht="24">
      <c r="A446" s="3">
        <v>445</v>
      </c>
      <c r="B446" s="105">
        <v>6412743112</v>
      </c>
      <c r="C446" s="4" t="s">
        <v>29</v>
      </c>
      <c r="D446" s="4" t="s">
        <v>1194</v>
      </c>
      <c r="E446" s="4" t="s">
        <v>1195</v>
      </c>
      <c r="F446" s="4" t="s">
        <v>1196</v>
      </c>
      <c r="G446" s="4" t="s">
        <v>999</v>
      </c>
      <c r="H446" s="4" t="s">
        <v>1175</v>
      </c>
      <c r="I446" s="3">
        <v>3</v>
      </c>
      <c r="J446" s="29" t="str">
        <f t="shared" si="55"/>
        <v>1</v>
      </c>
      <c r="K446" s="54" t="str">
        <f t="shared" si="63"/>
        <v>0</v>
      </c>
      <c r="L446" s="69" t="str">
        <f t="shared" si="56"/>
        <v>1</v>
      </c>
      <c r="M446" s="74" t="str">
        <f t="shared" si="57"/>
        <v>1</v>
      </c>
      <c r="N446" s="29" t="str">
        <f t="shared" si="58"/>
        <v>0</v>
      </c>
      <c r="O446" s="61" t="str">
        <f t="shared" ca="1" si="61"/>
        <v>1</v>
      </c>
      <c r="P446" s="65" t="str">
        <f t="shared" si="62"/>
        <v>1</v>
      </c>
      <c r="Q446" s="46">
        <f t="shared" ca="1" si="59"/>
        <v>5</v>
      </c>
      <c r="R446" s="83" t="str">
        <f t="shared" ca="1" si="60"/>
        <v>ผ่าน</v>
      </c>
      <c r="S446" s="3" t="s">
        <v>28</v>
      </c>
    </row>
    <row r="447" spans="1:19" ht="24">
      <c r="A447" s="3">
        <v>446</v>
      </c>
      <c r="B447" s="105">
        <v>6412743113</v>
      </c>
      <c r="C447" s="4" t="s">
        <v>29</v>
      </c>
      <c r="D447" s="4" t="s">
        <v>1197</v>
      </c>
      <c r="E447" s="4" t="s">
        <v>1198</v>
      </c>
      <c r="F447" s="4" t="s">
        <v>1132</v>
      </c>
      <c r="G447" s="4" t="s">
        <v>999</v>
      </c>
      <c r="H447" s="4" t="s">
        <v>1175</v>
      </c>
      <c r="I447" s="3">
        <v>3</v>
      </c>
      <c r="J447" s="29" t="str">
        <f t="shared" si="55"/>
        <v>0</v>
      </c>
      <c r="K447" s="54">
        <v>1</v>
      </c>
      <c r="L447" s="69" t="str">
        <f t="shared" si="56"/>
        <v>0</v>
      </c>
      <c r="M447" s="74" t="str">
        <f t="shared" si="57"/>
        <v>1</v>
      </c>
      <c r="N447" s="29" t="str">
        <f t="shared" si="58"/>
        <v>0</v>
      </c>
      <c r="O447" s="61" t="str">
        <f t="shared" ca="1" si="61"/>
        <v>1</v>
      </c>
      <c r="P447" s="65" t="str">
        <f t="shared" si="62"/>
        <v>1</v>
      </c>
      <c r="Q447" s="46">
        <f t="shared" ca="1" si="59"/>
        <v>4</v>
      </c>
      <c r="R447" s="83" t="str">
        <f t="shared" ca="1" si="60"/>
        <v>ผ่าน</v>
      </c>
      <c r="S447" s="3" t="s">
        <v>28</v>
      </c>
    </row>
    <row r="448" spans="1:19" ht="24">
      <c r="A448" s="3">
        <v>447</v>
      </c>
      <c r="B448" s="105">
        <v>6412743122</v>
      </c>
      <c r="C448" s="4" t="s">
        <v>29</v>
      </c>
      <c r="D448" s="4" t="s">
        <v>1199</v>
      </c>
      <c r="E448" s="4" t="s">
        <v>1200</v>
      </c>
      <c r="F448" s="4" t="s">
        <v>1201</v>
      </c>
      <c r="G448" s="4" t="s">
        <v>999</v>
      </c>
      <c r="H448" s="4" t="s">
        <v>1175</v>
      </c>
      <c r="I448" s="3">
        <v>3</v>
      </c>
      <c r="J448" s="29" t="str">
        <f t="shared" si="55"/>
        <v>1</v>
      </c>
      <c r="K448" s="54" t="str">
        <f t="shared" si="63"/>
        <v>1</v>
      </c>
      <c r="L448" s="69" t="str">
        <f t="shared" si="56"/>
        <v>0</v>
      </c>
      <c r="M448" s="74" t="str">
        <f t="shared" si="57"/>
        <v>1</v>
      </c>
      <c r="N448" s="29" t="str">
        <f t="shared" si="58"/>
        <v>0</v>
      </c>
      <c r="O448" s="61" t="str">
        <f t="shared" ca="1" si="61"/>
        <v>1</v>
      </c>
      <c r="P448" s="65" t="str">
        <f t="shared" si="62"/>
        <v>1</v>
      </c>
      <c r="Q448" s="46">
        <f t="shared" ca="1" si="59"/>
        <v>5</v>
      </c>
      <c r="R448" s="83" t="str">
        <f t="shared" ca="1" si="60"/>
        <v>ผ่าน</v>
      </c>
      <c r="S448" s="3" t="s">
        <v>28</v>
      </c>
    </row>
    <row r="449" spans="1:19" ht="24">
      <c r="A449" s="3">
        <v>448</v>
      </c>
      <c r="B449" s="105">
        <v>6412743126</v>
      </c>
      <c r="C449" s="4" t="s">
        <v>29</v>
      </c>
      <c r="D449" s="4" t="s">
        <v>1202</v>
      </c>
      <c r="E449" s="4" t="s">
        <v>1203</v>
      </c>
      <c r="F449" s="4" t="s">
        <v>1204</v>
      </c>
      <c r="G449" s="4" t="s">
        <v>999</v>
      </c>
      <c r="H449" s="4" t="s">
        <v>1175</v>
      </c>
      <c r="I449" s="3">
        <v>3</v>
      </c>
      <c r="J449" s="29" t="str">
        <f t="shared" si="55"/>
        <v>0</v>
      </c>
      <c r="K449" s="54">
        <v>1</v>
      </c>
      <c r="L449" s="69" t="str">
        <f t="shared" si="56"/>
        <v>0</v>
      </c>
      <c r="M449" s="74" t="str">
        <f t="shared" si="57"/>
        <v>1</v>
      </c>
      <c r="N449" s="29" t="str">
        <f t="shared" si="58"/>
        <v>0</v>
      </c>
      <c r="O449" s="61" t="str">
        <f t="shared" ca="1" si="61"/>
        <v>1</v>
      </c>
      <c r="P449" s="65" t="str">
        <f t="shared" si="62"/>
        <v>1</v>
      </c>
      <c r="Q449" s="46">
        <f t="shared" ca="1" si="59"/>
        <v>4</v>
      </c>
      <c r="R449" s="83" t="str">
        <f t="shared" ca="1" si="60"/>
        <v>ผ่าน</v>
      </c>
      <c r="S449" s="3" t="s">
        <v>28</v>
      </c>
    </row>
    <row r="450" spans="1:19" ht="24">
      <c r="A450" s="3">
        <v>449</v>
      </c>
      <c r="B450" s="105">
        <v>6412743131</v>
      </c>
      <c r="C450" s="4" t="s">
        <v>29</v>
      </c>
      <c r="D450" s="4" t="s">
        <v>1205</v>
      </c>
      <c r="E450" s="4" t="s">
        <v>1206</v>
      </c>
      <c r="F450" s="4" t="s">
        <v>190</v>
      </c>
      <c r="G450" s="4" t="s">
        <v>999</v>
      </c>
      <c r="H450" s="4" t="s">
        <v>1175</v>
      </c>
      <c r="I450" s="3">
        <v>3</v>
      </c>
      <c r="J450" s="29" t="str">
        <f t="shared" ref="J450:J513" si="64">IF(IFERROR(VLOOKUP(B450,DATA,1,FALSE),),"1","0")</f>
        <v>1</v>
      </c>
      <c r="K450" s="54" t="str">
        <f t="shared" ref="K450:K513" si="65">IF(IFERROR(VLOOKUP(B450,DATA8,1,FALSE),),"1","0")</f>
        <v>1</v>
      </c>
      <c r="L450" s="69" t="str">
        <f t="shared" ref="L450:L462" si="66">IF(IFERROR(VLOOKUP(B450,DATA7,1,FALSE),),"1","0")</f>
        <v>0</v>
      </c>
      <c r="M450" s="74" t="str">
        <f t="shared" ref="M450:M513" si="67">IF(IFERROR(VLOOKUP(B450,DATA9,1,FALSE),),"1","0")</f>
        <v>1</v>
      </c>
      <c r="N450" s="29" t="str">
        <f t="shared" ref="N450:N513" si="68">IF(IFERROR(VLOOKUP(B450,DATA10,1,FALSE),),"1","0")</f>
        <v>0</v>
      </c>
      <c r="O450" s="61" t="str">
        <f t="shared" ca="1" si="61"/>
        <v>1</v>
      </c>
      <c r="P450" s="65" t="str">
        <f t="shared" si="62"/>
        <v>1</v>
      </c>
      <c r="Q450" s="46">
        <f t="shared" ca="1" si="59"/>
        <v>5</v>
      </c>
      <c r="R450" s="83" t="str">
        <f t="shared" ca="1" si="60"/>
        <v>ผ่าน</v>
      </c>
      <c r="S450" s="3" t="s">
        <v>28</v>
      </c>
    </row>
    <row r="451" spans="1:19" ht="24">
      <c r="A451" s="3">
        <v>450</v>
      </c>
      <c r="B451" s="105">
        <v>6412743133</v>
      </c>
      <c r="C451" s="4" t="s">
        <v>29</v>
      </c>
      <c r="D451" s="4" t="s">
        <v>1207</v>
      </c>
      <c r="E451" s="4" t="s">
        <v>1208</v>
      </c>
      <c r="F451" s="4" t="s">
        <v>190</v>
      </c>
      <c r="G451" s="4" t="s">
        <v>999</v>
      </c>
      <c r="H451" s="4" t="s">
        <v>1175</v>
      </c>
      <c r="I451" s="3">
        <v>3</v>
      </c>
      <c r="J451" s="29" t="str">
        <f t="shared" si="64"/>
        <v>1</v>
      </c>
      <c r="K451" s="54">
        <v>1</v>
      </c>
      <c r="L451" s="69" t="str">
        <f t="shared" si="66"/>
        <v>0</v>
      </c>
      <c r="M451" s="74" t="str">
        <f t="shared" si="67"/>
        <v>1</v>
      </c>
      <c r="N451" s="29" t="str">
        <f t="shared" si="68"/>
        <v>0</v>
      </c>
      <c r="O451" s="61" t="str">
        <f t="shared" ca="1" si="61"/>
        <v>1</v>
      </c>
      <c r="P451" s="65" t="str">
        <f t="shared" si="62"/>
        <v>1</v>
      </c>
      <c r="Q451" s="46">
        <f t="shared" ref="Q451:Q514" ca="1" si="69">J451+K451+L451+M451+N451+O451+P451</f>
        <v>5</v>
      </c>
      <c r="R451" s="83" t="str">
        <f t="shared" ref="R451:R514" ca="1" si="70">IF(Q451&gt;=3,"ผ่าน",IF(Q451&lt;3,"ไม่ผ่าน"))</f>
        <v>ผ่าน</v>
      </c>
      <c r="S451" s="3" t="s">
        <v>28</v>
      </c>
    </row>
    <row r="452" spans="1:19" ht="24">
      <c r="A452" s="3">
        <v>451</v>
      </c>
      <c r="B452" s="105">
        <v>6412743137</v>
      </c>
      <c r="C452" s="4" t="s">
        <v>29</v>
      </c>
      <c r="D452" s="4" t="s">
        <v>1165</v>
      </c>
      <c r="E452" s="4" t="s">
        <v>1209</v>
      </c>
      <c r="F452" s="4" t="s">
        <v>1210</v>
      </c>
      <c r="G452" s="4" t="s">
        <v>999</v>
      </c>
      <c r="H452" s="4" t="s">
        <v>1175</v>
      </c>
      <c r="I452" s="3">
        <v>3</v>
      </c>
      <c r="J452" s="29" t="str">
        <f t="shared" si="64"/>
        <v>0</v>
      </c>
      <c r="K452" s="54">
        <v>1</v>
      </c>
      <c r="L452" s="69" t="str">
        <f t="shared" si="66"/>
        <v>0</v>
      </c>
      <c r="M452" s="74" t="str">
        <f t="shared" si="67"/>
        <v>0</v>
      </c>
      <c r="N452" s="29" t="str">
        <f t="shared" si="68"/>
        <v>0</v>
      </c>
      <c r="O452" s="61" t="str">
        <f t="shared" ca="1" si="61"/>
        <v>1</v>
      </c>
      <c r="P452" s="65" t="str">
        <f t="shared" si="62"/>
        <v>1</v>
      </c>
      <c r="Q452" s="46">
        <f t="shared" ca="1" si="69"/>
        <v>3</v>
      </c>
      <c r="R452" s="83" t="str">
        <f t="shared" ca="1" si="70"/>
        <v>ผ่าน</v>
      </c>
      <c r="S452" s="3" t="s">
        <v>28</v>
      </c>
    </row>
    <row r="453" spans="1:19" ht="24">
      <c r="A453" s="3">
        <v>452</v>
      </c>
      <c r="B453" s="105">
        <v>6412743138</v>
      </c>
      <c r="C453" s="4" t="s">
        <v>29</v>
      </c>
      <c r="D453" s="4" t="s">
        <v>217</v>
      </c>
      <c r="E453" s="4" t="s">
        <v>1211</v>
      </c>
      <c r="F453" s="4" t="s">
        <v>938</v>
      </c>
      <c r="G453" s="4" t="s">
        <v>999</v>
      </c>
      <c r="H453" s="4" t="s">
        <v>1175</v>
      </c>
      <c r="I453" s="3">
        <v>3</v>
      </c>
      <c r="J453" s="29" t="str">
        <f t="shared" si="64"/>
        <v>0</v>
      </c>
      <c r="K453" s="54">
        <v>1</v>
      </c>
      <c r="L453" s="69" t="str">
        <f t="shared" si="66"/>
        <v>0</v>
      </c>
      <c r="M453" s="74" t="str">
        <f t="shared" si="67"/>
        <v>0</v>
      </c>
      <c r="N453" s="29" t="str">
        <f t="shared" si="68"/>
        <v>0</v>
      </c>
      <c r="O453" s="61" t="str">
        <f t="shared" ca="1" si="61"/>
        <v>1</v>
      </c>
      <c r="P453" s="65" t="str">
        <f t="shared" si="62"/>
        <v>1</v>
      </c>
      <c r="Q453" s="46">
        <f t="shared" ca="1" si="69"/>
        <v>3</v>
      </c>
      <c r="R453" s="83" t="str">
        <f t="shared" ca="1" si="70"/>
        <v>ผ่าน</v>
      </c>
      <c r="S453" s="3" t="s">
        <v>28</v>
      </c>
    </row>
    <row r="454" spans="1:19" ht="24">
      <c r="A454" s="3">
        <v>453</v>
      </c>
      <c r="B454" s="105">
        <v>6412743142</v>
      </c>
      <c r="C454" s="4" t="s">
        <v>29</v>
      </c>
      <c r="D454" s="4" t="s">
        <v>1212</v>
      </c>
      <c r="E454" s="4" t="s">
        <v>1213</v>
      </c>
      <c r="F454" s="4" t="s">
        <v>1214</v>
      </c>
      <c r="G454" s="4" t="s">
        <v>999</v>
      </c>
      <c r="H454" s="4" t="s">
        <v>1175</v>
      </c>
      <c r="I454" s="3">
        <v>3</v>
      </c>
      <c r="J454" s="29" t="str">
        <f t="shared" si="64"/>
        <v>1</v>
      </c>
      <c r="K454" s="54" t="str">
        <f t="shared" si="65"/>
        <v>0</v>
      </c>
      <c r="L454" s="69" t="str">
        <f t="shared" si="66"/>
        <v>1</v>
      </c>
      <c r="M454" s="74" t="str">
        <f t="shared" si="67"/>
        <v>1</v>
      </c>
      <c r="N454" s="29" t="str">
        <f t="shared" si="68"/>
        <v>0</v>
      </c>
      <c r="O454" s="61" t="str">
        <f t="shared" ca="1" si="61"/>
        <v>1</v>
      </c>
      <c r="P454" s="65" t="str">
        <f t="shared" si="62"/>
        <v>1</v>
      </c>
      <c r="Q454" s="46">
        <f t="shared" ca="1" si="69"/>
        <v>5</v>
      </c>
      <c r="R454" s="83" t="str">
        <f t="shared" ca="1" si="70"/>
        <v>ผ่าน</v>
      </c>
      <c r="S454" s="3" t="s">
        <v>28</v>
      </c>
    </row>
    <row r="455" spans="1:19" ht="24">
      <c r="A455" s="3">
        <v>454</v>
      </c>
      <c r="B455" s="105">
        <v>6412743149</v>
      </c>
      <c r="C455" s="4" t="s">
        <v>29</v>
      </c>
      <c r="D455" s="4" t="s">
        <v>1170</v>
      </c>
      <c r="E455" s="4" t="s">
        <v>1215</v>
      </c>
      <c r="F455" s="4" t="s">
        <v>1216</v>
      </c>
      <c r="G455" s="4" t="s">
        <v>999</v>
      </c>
      <c r="H455" s="4" t="s">
        <v>1175</v>
      </c>
      <c r="I455" s="3">
        <v>3</v>
      </c>
      <c r="J455" s="29" t="str">
        <f t="shared" si="64"/>
        <v>0</v>
      </c>
      <c r="K455" s="54">
        <v>1</v>
      </c>
      <c r="L455" s="69" t="str">
        <f t="shared" si="66"/>
        <v>0</v>
      </c>
      <c r="M455" s="74" t="str">
        <f t="shared" si="67"/>
        <v>0</v>
      </c>
      <c r="N455" s="29" t="str">
        <f t="shared" si="68"/>
        <v>0</v>
      </c>
      <c r="O455" s="61" t="str">
        <f t="shared" ca="1" si="61"/>
        <v>0</v>
      </c>
      <c r="P455" s="65" t="str">
        <f t="shared" si="62"/>
        <v>1</v>
      </c>
      <c r="Q455" s="46">
        <f t="shared" ca="1" si="69"/>
        <v>2</v>
      </c>
      <c r="R455" s="3" t="str">
        <f t="shared" ca="1" si="70"/>
        <v>ไม่ผ่าน</v>
      </c>
      <c r="S455" s="3" t="s">
        <v>28</v>
      </c>
    </row>
    <row r="456" spans="1:19" ht="24">
      <c r="A456" s="3">
        <v>455</v>
      </c>
      <c r="B456" s="105">
        <v>6412743150</v>
      </c>
      <c r="C456" s="4" t="s">
        <v>22</v>
      </c>
      <c r="D456" s="4" t="s">
        <v>1217</v>
      </c>
      <c r="E456" s="4" t="s">
        <v>1218</v>
      </c>
      <c r="F456" s="4" t="s">
        <v>1219</v>
      </c>
      <c r="G456" s="4" t="s">
        <v>999</v>
      </c>
      <c r="H456" s="4" t="s">
        <v>1175</v>
      </c>
      <c r="I456" s="3">
        <v>3</v>
      </c>
      <c r="J456" s="29" t="str">
        <f t="shared" si="64"/>
        <v>1</v>
      </c>
      <c r="K456" s="54" t="str">
        <f t="shared" si="65"/>
        <v>1</v>
      </c>
      <c r="L456" s="69" t="str">
        <f t="shared" si="66"/>
        <v>0</v>
      </c>
      <c r="M456" s="74" t="str">
        <f t="shared" si="67"/>
        <v>1</v>
      </c>
      <c r="N456" s="29" t="str">
        <f t="shared" si="68"/>
        <v>0</v>
      </c>
      <c r="O456" s="61" t="str">
        <f t="shared" ca="1" si="61"/>
        <v>1</v>
      </c>
      <c r="P456" s="65" t="str">
        <f t="shared" si="62"/>
        <v>1</v>
      </c>
      <c r="Q456" s="46">
        <f t="shared" ca="1" si="69"/>
        <v>5</v>
      </c>
      <c r="R456" s="83" t="str">
        <f t="shared" ca="1" si="70"/>
        <v>ผ่าน</v>
      </c>
      <c r="S456" s="3" t="s">
        <v>28</v>
      </c>
    </row>
    <row r="457" spans="1:19" ht="24">
      <c r="A457" s="3">
        <v>456</v>
      </c>
      <c r="B457" s="105">
        <v>6412743202</v>
      </c>
      <c r="C457" s="4" t="s">
        <v>22</v>
      </c>
      <c r="D457" s="4" t="s">
        <v>1220</v>
      </c>
      <c r="E457" s="4" t="s">
        <v>1221</v>
      </c>
      <c r="F457" s="4" t="s">
        <v>1222</v>
      </c>
      <c r="G457" s="4" t="s">
        <v>999</v>
      </c>
      <c r="H457" s="4" t="s">
        <v>1175</v>
      </c>
      <c r="I457" s="3">
        <v>3</v>
      </c>
      <c r="J457" s="29" t="str">
        <f t="shared" si="64"/>
        <v>1</v>
      </c>
      <c r="K457" s="54">
        <v>1</v>
      </c>
      <c r="L457" s="69" t="str">
        <f t="shared" si="66"/>
        <v>0</v>
      </c>
      <c r="M457" s="74" t="str">
        <f t="shared" si="67"/>
        <v>1</v>
      </c>
      <c r="N457" s="29" t="str">
        <f t="shared" si="68"/>
        <v>0</v>
      </c>
      <c r="O457" s="61" t="str">
        <f t="shared" ref="O457:O520" ca="1" si="71">IF(IFERROR(VLOOKUP(B457,DATA11,1,FALSE),),"1","0")</f>
        <v>1</v>
      </c>
      <c r="P457" s="65" t="str">
        <f t="shared" ref="P457:P520" si="72">IF(IFERROR(VLOOKUP(B457,DATA12,1,FALSE),),"1","0")</f>
        <v>1</v>
      </c>
      <c r="Q457" s="46">
        <f t="shared" ca="1" si="69"/>
        <v>5</v>
      </c>
      <c r="R457" s="83" t="str">
        <f t="shared" ca="1" si="70"/>
        <v>ผ่าน</v>
      </c>
      <c r="S457" s="3" t="s">
        <v>28</v>
      </c>
    </row>
    <row r="458" spans="1:19" ht="24">
      <c r="A458" s="3">
        <v>457</v>
      </c>
      <c r="B458" s="105">
        <v>6412743204</v>
      </c>
      <c r="C458" s="4" t="s">
        <v>22</v>
      </c>
      <c r="D458" s="4" t="s">
        <v>1223</v>
      </c>
      <c r="E458" s="4" t="s">
        <v>1224</v>
      </c>
      <c r="F458" s="4" t="s">
        <v>1225</v>
      </c>
      <c r="G458" s="4" t="s">
        <v>999</v>
      </c>
      <c r="H458" s="4" t="s">
        <v>1175</v>
      </c>
      <c r="I458" s="3">
        <v>3</v>
      </c>
      <c r="J458" s="29" t="str">
        <f t="shared" si="64"/>
        <v>0</v>
      </c>
      <c r="K458" s="54">
        <v>1</v>
      </c>
      <c r="L458" s="69" t="str">
        <f t="shared" si="66"/>
        <v>0</v>
      </c>
      <c r="M458" s="74" t="str">
        <f t="shared" si="67"/>
        <v>0</v>
      </c>
      <c r="N458" s="29" t="str">
        <f t="shared" si="68"/>
        <v>0</v>
      </c>
      <c r="O458" s="61" t="str">
        <f t="shared" ca="1" si="71"/>
        <v>0</v>
      </c>
      <c r="P458" s="65" t="str">
        <f t="shared" si="72"/>
        <v>1</v>
      </c>
      <c r="Q458" s="46">
        <f t="shared" ca="1" si="69"/>
        <v>2</v>
      </c>
      <c r="R458" s="3" t="str">
        <f t="shared" ca="1" si="70"/>
        <v>ไม่ผ่าน</v>
      </c>
      <c r="S458" s="3" t="s">
        <v>28</v>
      </c>
    </row>
    <row r="459" spans="1:19" ht="24">
      <c r="A459" s="3">
        <v>458</v>
      </c>
      <c r="B459" s="105">
        <v>6412743206</v>
      </c>
      <c r="C459" s="4" t="s">
        <v>22</v>
      </c>
      <c r="D459" s="4" t="s">
        <v>1226</v>
      </c>
      <c r="E459" s="4" t="s">
        <v>1227</v>
      </c>
      <c r="F459" s="4" t="s">
        <v>1228</v>
      </c>
      <c r="G459" s="4" t="s">
        <v>999</v>
      </c>
      <c r="H459" s="4" t="s">
        <v>1175</v>
      </c>
      <c r="I459" s="3">
        <v>3</v>
      </c>
      <c r="J459" s="29" t="str">
        <f t="shared" si="64"/>
        <v>1</v>
      </c>
      <c r="K459" s="54" t="str">
        <f t="shared" si="65"/>
        <v>0</v>
      </c>
      <c r="L459" s="69" t="str">
        <f t="shared" si="66"/>
        <v>1</v>
      </c>
      <c r="M459" s="74" t="str">
        <f t="shared" si="67"/>
        <v>1</v>
      </c>
      <c r="N459" s="29" t="str">
        <f t="shared" si="68"/>
        <v>0</v>
      </c>
      <c r="O459" s="61" t="str">
        <f t="shared" ca="1" si="71"/>
        <v>1</v>
      </c>
      <c r="P459" s="65" t="str">
        <f t="shared" si="72"/>
        <v>1</v>
      </c>
      <c r="Q459" s="46">
        <f t="shared" ca="1" si="69"/>
        <v>5</v>
      </c>
      <c r="R459" s="83" t="str">
        <f t="shared" ca="1" si="70"/>
        <v>ผ่าน</v>
      </c>
      <c r="S459" s="3" t="s">
        <v>28</v>
      </c>
    </row>
    <row r="460" spans="1:19" ht="24">
      <c r="A460" s="3">
        <v>459</v>
      </c>
      <c r="B460" s="105">
        <v>6412743207</v>
      </c>
      <c r="C460" s="4" t="s">
        <v>22</v>
      </c>
      <c r="D460" s="4" t="s">
        <v>1229</v>
      </c>
      <c r="E460" s="4" t="s">
        <v>1230</v>
      </c>
      <c r="F460" s="4" t="s">
        <v>1231</v>
      </c>
      <c r="G460" s="4" t="s">
        <v>999</v>
      </c>
      <c r="H460" s="4" t="s">
        <v>1175</v>
      </c>
      <c r="I460" s="3">
        <v>3</v>
      </c>
      <c r="J460" s="29" t="str">
        <f t="shared" si="64"/>
        <v>1</v>
      </c>
      <c r="K460" s="54" t="str">
        <f t="shared" si="65"/>
        <v>1</v>
      </c>
      <c r="L460" s="69" t="str">
        <f t="shared" si="66"/>
        <v>0</v>
      </c>
      <c r="M460" s="74" t="str">
        <f t="shared" si="67"/>
        <v>1</v>
      </c>
      <c r="N460" s="29" t="str">
        <f t="shared" si="68"/>
        <v>0</v>
      </c>
      <c r="O460" s="61" t="str">
        <f t="shared" ca="1" si="71"/>
        <v>1</v>
      </c>
      <c r="P460" s="65" t="str">
        <f t="shared" si="72"/>
        <v>1</v>
      </c>
      <c r="Q460" s="46">
        <f t="shared" ca="1" si="69"/>
        <v>5</v>
      </c>
      <c r="R460" s="83" t="str">
        <f t="shared" ca="1" si="70"/>
        <v>ผ่าน</v>
      </c>
      <c r="S460" s="3" t="s">
        <v>28</v>
      </c>
    </row>
    <row r="461" spans="1:19" ht="24">
      <c r="A461" s="3">
        <v>460</v>
      </c>
      <c r="B461" s="105">
        <v>6412743215</v>
      </c>
      <c r="C461" s="4" t="s">
        <v>29</v>
      </c>
      <c r="D461" s="4" t="s">
        <v>1232</v>
      </c>
      <c r="E461" s="4" t="s">
        <v>1233</v>
      </c>
      <c r="F461" s="4" t="s">
        <v>1234</v>
      </c>
      <c r="G461" s="4" t="s">
        <v>999</v>
      </c>
      <c r="H461" s="4" t="s">
        <v>1175</v>
      </c>
      <c r="I461" s="3">
        <v>3</v>
      </c>
      <c r="J461" s="29" t="str">
        <f t="shared" si="64"/>
        <v>0</v>
      </c>
      <c r="K461" s="54" t="str">
        <f t="shared" si="65"/>
        <v>0</v>
      </c>
      <c r="L461" s="69" t="str">
        <f t="shared" si="66"/>
        <v>0</v>
      </c>
      <c r="M461" s="74" t="str">
        <f t="shared" si="67"/>
        <v>1</v>
      </c>
      <c r="N461" s="29" t="str">
        <f t="shared" si="68"/>
        <v>0</v>
      </c>
      <c r="O461" s="61" t="str">
        <f t="shared" ca="1" si="71"/>
        <v>1</v>
      </c>
      <c r="P461" s="65" t="str">
        <f t="shared" si="72"/>
        <v>1</v>
      </c>
      <c r="Q461" s="46">
        <f t="shared" ca="1" si="69"/>
        <v>3</v>
      </c>
      <c r="R461" s="83" t="str">
        <f t="shared" ca="1" si="70"/>
        <v>ผ่าน</v>
      </c>
      <c r="S461" s="3" t="s">
        <v>28</v>
      </c>
    </row>
    <row r="462" spans="1:19" ht="24">
      <c r="A462" s="3">
        <v>461</v>
      </c>
      <c r="B462" s="105">
        <v>6412743220</v>
      </c>
      <c r="C462" s="4" t="s">
        <v>29</v>
      </c>
      <c r="D462" s="4" t="s">
        <v>1235</v>
      </c>
      <c r="E462" s="4" t="s">
        <v>1236</v>
      </c>
      <c r="F462" s="4" t="s">
        <v>507</v>
      </c>
      <c r="G462" s="4" t="s">
        <v>999</v>
      </c>
      <c r="H462" s="4" t="s">
        <v>1175</v>
      </c>
      <c r="I462" s="3">
        <v>3</v>
      </c>
      <c r="J462" s="29" t="str">
        <f t="shared" si="64"/>
        <v>0</v>
      </c>
      <c r="K462" s="54">
        <v>1</v>
      </c>
      <c r="L462" s="69" t="str">
        <f t="shared" si="66"/>
        <v>0</v>
      </c>
      <c r="M462" s="74" t="str">
        <f t="shared" si="67"/>
        <v>0</v>
      </c>
      <c r="N462" s="29" t="str">
        <f t="shared" si="68"/>
        <v>0</v>
      </c>
      <c r="O462" s="61" t="str">
        <f t="shared" ca="1" si="71"/>
        <v>1</v>
      </c>
      <c r="P462" s="65" t="str">
        <f t="shared" si="72"/>
        <v>1</v>
      </c>
      <c r="Q462" s="46">
        <f t="shared" ca="1" si="69"/>
        <v>3</v>
      </c>
      <c r="R462" s="83" t="str">
        <f t="shared" ca="1" si="70"/>
        <v>ผ่าน</v>
      </c>
      <c r="S462" s="3" t="s">
        <v>28</v>
      </c>
    </row>
    <row r="463" spans="1:19" ht="24">
      <c r="A463" s="3">
        <v>462</v>
      </c>
      <c r="B463" s="105">
        <v>6412743226</v>
      </c>
      <c r="C463" s="4" t="s">
        <v>29</v>
      </c>
      <c r="D463" s="4" t="s">
        <v>1237</v>
      </c>
      <c r="E463" s="4" t="s">
        <v>1238</v>
      </c>
      <c r="F463" s="4" t="s">
        <v>924</v>
      </c>
      <c r="G463" s="4" t="s">
        <v>999</v>
      </c>
      <c r="H463" s="4" t="s">
        <v>1175</v>
      </c>
      <c r="I463" s="3">
        <v>3</v>
      </c>
      <c r="J463" s="29" t="str">
        <f t="shared" si="64"/>
        <v>0</v>
      </c>
      <c r="K463" s="54" t="str">
        <f t="shared" si="65"/>
        <v>0</v>
      </c>
      <c r="L463" s="69">
        <v>1</v>
      </c>
      <c r="M463" s="74" t="str">
        <f t="shared" si="67"/>
        <v>1</v>
      </c>
      <c r="N463" s="29" t="str">
        <f t="shared" si="68"/>
        <v>0</v>
      </c>
      <c r="O463" s="61" t="str">
        <f t="shared" ca="1" si="71"/>
        <v>1</v>
      </c>
      <c r="P463" s="65" t="str">
        <f t="shared" si="72"/>
        <v>1</v>
      </c>
      <c r="Q463" s="46">
        <f t="shared" ca="1" si="69"/>
        <v>4</v>
      </c>
      <c r="R463" s="83" t="str">
        <f t="shared" ca="1" si="70"/>
        <v>ผ่าน</v>
      </c>
      <c r="S463" s="3" t="s">
        <v>28</v>
      </c>
    </row>
    <row r="464" spans="1:19" ht="24">
      <c r="A464" s="3">
        <v>463</v>
      </c>
      <c r="B464" s="105">
        <v>6412743228</v>
      </c>
      <c r="C464" s="4" t="s">
        <v>29</v>
      </c>
      <c r="D464" s="4" t="s">
        <v>1239</v>
      </c>
      <c r="E464" s="4" t="s">
        <v>1240</v>
      </c>
      <c r="F464" s="4" t="s">
        <v>949</v>
      </c>
      <c r="G464" s="4" t="s">
        <v>999</v>
      </c>
      <c r="H464" s="4" t="s">
        <v>1175</v>
      </c>
      <c r="I464" s="3">
        <v>3</v>
      </c>
      <c r="J464" s="29" t="str">
        <f t="shared" si="64"/>
        <v>1</v>
      </c>
      <c r="K464" s="54" t="str">
        <f t="shared" si="65"/>
        <v>1</v>
      </c>
      <c r="L464" s="69" t="str">
        <f t="shared" ref="L464:L527" si="73">IF(IFERROR(VLOOKUP(B464,DATA7,1,FALSE),),"1","0")</f>
        <v>0</v>
      </c>
      <c r="M464" s="74" t="str">
        <f t="shared" si="67"/>
        <v>1</v>
      </c>
      <c r="N464" s="29" t="str">
        <f t="shared" si="68"/>
        <v>0</v>
      </c>
      <c r="O464" s="61" t="str">
        <f t="shared" ca="1" si="71"/>
        <v>1</v>
      </c>
      <c r="P464" s="65" t="str">
        <f t="shared" si="72"/>
        <v>1</v>
      </c>
      <c r="Q464" s="46">
        <f t="shared" ca="1" si="69"/>
        <v>5</v>
      </c>
      <c r="R464" s="83" t="str">
        <f t="shared" ca="1" si="70"/>
        <v>ผ่าน</v>
      </c>
      <c r="S464" s="3" t="s">
        <v>28</v>
      </c>
    </row>
    <row r="465" spans="1:19" ht="24">
      <c r="A465" s="3">
        <v>464</v>
      </c>
      <c r="B465" s="105">
        <v>6412743229</v>
      </c>
      <c r="C465" s="4" t="s">
        <v>29</v>
      </c>
      <c r="D465" s="4" t="s">
        <v>1241</v>
      </c>
      <c r="E465" s="4" t="s">
        <v>1242</v>
      </c>
      <c r="F465" s="4" t="s">
        <v>1243</v>
      </c>
      <c r="G465" s="4" t="s">
        <v>999</v>
      </c>
      <c r="H465" s="4" t="s">
        <v>1175</v>
      </c>
      <c r="I465" s="3">
        <v>3</v>
      </c>
      <c r="J465" s="29" t="str">
        <f t="shared" si="64"/>
        <v>0</v>
      </c>
      <c r="K465" s="54" t="str">
        <f t="shared" si="65"/>
        <v>0</v>
      </c>
      <c r="L465" s="69" t="str">
        <f t="shared" si="73"/>
        <v>0</v>
      </c>
      <c r="M465" s="74" t="str">
        <f t="shared" si="67"/>
        <v>1</v>
      </c>
      <c r="N465" s="29" t="str">
        <f t="shared" si="68"/>
        <v>0</v>
      </c>
      <c r="O465" s="61" t="str">
        <f t="shared" ca="1" si="71"/>
        <v>1</v>
      </c>
      <c r="P465" s="65" t="str">
        <f t="shared" si="72"/>
        <v>1</v>
      </c>
      <c r="Q465" s="46">
        <f t="shared" ca="1" si="69"/>
        <v>3</v>
      </c>
      <c r="R465" s="83" t="str">
        <f t="shared" ca="1" si="70"/>
        <v>ผ่าน</v>
      </c>
      <c r="S465" s="3" t="s">
        <v>28</v>
      </c>
    </row>
    <row r="466" spans="1:19" ht="24">
      <c r="A466" s="3">
        <v>465</v>
      </c>
      <c r="B466" s="105">
        <v>6412743233</v>
      </c>
      <c r="C466" s="4" t="s">
        <v>29</v>
      </c>
      <c r="D466" s="4" t="s">
        <v>1244</v>
      </c>
      <c r="E466" s="4" t="s">
        <v>1245</v>
      </c>
      <c r="F466" s="4" t="s">
        <v>409</v>
      </c>
      <c r="G466" s="4" t="s">
        <v>999</v>
      </c>
      <c r="H466" s="4" t="s">
        <v>1175</v>
      </c>
      <c r="I466" s="3">
        <v>3</v>
      </c>
      <c r="J466" s="29" t="str">
        <f t="shared" si="64"/>
        <v>0</v>
      </c>
      <c r="K466" s="54">
        <v>1</v>
      </c>
      <c r="L466" s="69" t="str">
        <f t="shared" si="73"/>
        <v>0</v>
      </c>
      <c r="M466" s="74" t="str">
        <f t="shared" si="67"/>
        <v>0</v>
      </c>
      <c r="N466" s="29" t="str">
        <f t="shared" si="68"/>
        <v>0</v>
      </c>
      <c r="O466" s="61" t="str">
        <f t="shared" ca="1" si="71"/>
        <v>0</v>
      </c>
      <c r="P466" s="65" t="str">
        <f t="shared" si="72"/>
        <v>0</v>
      </c>
      <c r="Q466" s="46">
        <f t="shared" ca="1" si="69"/>
        <v>1</v>
      </c>
      <c r="R466" s="3" t="str">
        <f t="shared" ca="1" si="70"/>
        <v>ไม่ผ่าน</v>
      </c>
      <c r="S466" s="3" t="s">
        <v>28</v>
      </c>
    </row>
    <row r="467" spans="1:19" ht="24">
      <c r="A467" s="3">
        <v>466</v>
      </c>
      <c r="B467" s="105">
        <v>6412743238</v>
      </c>
      <c r="C467" s="4" t="s">
        <v>29</v>
      </c>
      <c r="D467" s="4" t="s">
        <v>1246</v>
      </c>
      <c r="E467" s="4" t="s">
        <v>1247</v>
      </c>
      <c r="F467" s="4" t="s">
        <v>322</v>
      </c>
      <c r="G467" s="4" t="s">
        <v>999</v>
      </c>
      <c r="H467" s="4" t="s">
        <v>1175</v>
      </c>
      <c r="I467" s="3">
        <v>3</v>
      </c>
      <c r="J467" s="29" t="str">
        <f t="shared" si="64"/>
        <v>0</v>
      </c>
      <c r="K467" s="54" t="str">
        <f t="shared" si="65"/>
        <v>0</v>
      </c>
      <c r="L467" s="69" t="str">
        <f t="shared" si="73"/>
        <v>0</v>
      </c>
      <c r="M467" s="74" t="str">
        <f t="shared" si="67"/>
        <v>0</v>
      </c>
      <c r="N467" s="29" t="str">
        <f t="shared" si="68"/>
        <v>0</v>
      </c>
      <c r="O467" s="61" t="str">
        <f t="shared" ca="1" si="71"/>
        <v>0</v>
      </c>
      <c r="P467" s="65" t="str">
        <f t="shared" si="72"/>
        <v>0</v>
      </c>
      <c r="Q467" s="46">
        <f t="shared" ca="1" si="69"/>
        <v>0</v>
      </c>
      <c r="R467" s="3" t="str">
        <f t="shared" ca="1" si="70"/>
        <v>ไม่ผ่าน</v>
      </c>
      <c r="S467" s="3" t="s">
        <v>28</v>
      </c>
    </row>
    <row r="468" spans="1:19" ht="24">
      <c r="A468" s="3">
        <v>467</v>
      </c>
      <c r="B468" s="105">
        <v>6412743239</v>
      </c>
      <c r="C468" s="4" t="s">
        <v>29</v>
      </c>
      <c r="D468" s="4" t="s">
        <v>1248</v>
      </c>
      <c r="E468" s="4" t="s">
        <v>1249</v>
      </c>
      <c r="F468" s="4" t="s">
        <v>1250</v>
      </c>
      <c r="G468" s="4" t="s">
        <v>999</v>
      </c>
      <c r="H468" s="4" t="s">
        <v>1175</v>
      </c>
      <c r="I468" s="3">
        <v>3</v>
      </c>
      <c r="J468" s="29" t="str">
        <f t="shared" si="64"/>
        <v>1</v>
      </c>
      <c r="K468" s="54">
        <v>1</v>
      </c>
      <c r="L468" s="69" t="str">
        <f t="shared" si="73"/>
        <v>0</v>
      </c>
      <c r="M468" s="74" t="str">
        <f t="shared" si="67"/>
        <v>1</v>
      </c>
      <c r="N468" s="29" t="str">
        <f t="shared" si="68"/>
        <v>0</v>
      </c>
      <c r="O468" s="61" t="str">
        <f t="shared" ca="1" si="71"/>
        <v>1</v>
      </c>
      <c r="P468" s="65" t="str">
        <f t="shared" si="72"/>
        <v>1</v>
      </c>
      <c r="Q468" s="46">
        <f t="shared" ca="1" si="69"/>
        <v>5</v>
      </c>
      <c r="R468" s="83" t="str">
        <f t="shared" ca="1" si="70"/>
        <v>ผ่าน</v>
      </c>
      <c r="S468" s="3" t="s">
        <v>28</v>
      </c>
    </row>
    <row r="469" spans="1:19" ht="24">
      <c r="A469" s="3">
        <v>468</v>
      </c>
      <c r="B469" s="105">
        <v>6412743241</v>
      </c>
      <c r="C469" s="4" t="s">
        <v>29</v>
      </c>
      <c r="D469" s="4" t="s">
        <v>1251</v>
      </c>
      <c r="E469" s="4" t="s">
        <v>500</v>
      </c>
      <c r="F469" s="4" t="s">
        <v>1252</v>
      </c>
      <c r="G469" s="4" t="s">
        <v>999</v>
      </c>
      <c r="H469" s="4" t="s">
        <v>1175</v>
      </c>
      <c r="I469" s="3">
        <v>3</v>
      </c>
      <c r="J469" s="29" t="str">
        <f t="shared" si="64"/>
        <v>0</v>
      </c>
      <c r="K469" s="54" t="str">
        <f t="shared" si="65"/>
        <v>1</v>
      </c>
      <c r="L469" s="69" t="str">
        <f t="shared" si="73"/>
        <v>0</v>
      </c>
      <c r="M469" s="74" t="str">
        <f t="shared" si="67"/>
        <v>1</v>
      </c>
      <c r="N469" s="29" t="str">
        <f t="shared" si="68"/>
        <v>0</v>
      </c>
      <c r="O469" s="61" t="str">
        <f t="shared" ca="1" si="71"/>
        <v>1</v>
      </c>
      <c r="P469" s="65" t="str">
        <f t="shared" si="72"/>
        <v>1</v>
      </c>
      <c r="Q469" s="46">
        <f t="shared" ca="1" si="69"/>
        <v>4</v>
      </c>
      <c r="R469" s="83" t="str">
        <f t="shared" ca="1" si="70"/>
        <v>ผ่าน</v>
      </c>
      <c r="S469" s="3" t="s">
        <v>28</v>
      </c>
    </row>
    <row r="470" spans="1:19" ht="24">
      <c r="A470" s="3">
        <v>469</v>
      </c>
      <c r="B470" s="105">
        <v>6412743246</v>
      </c>
      <c r="C470" s="4" t="s">
        <v>29</v>
      </c>
      <c r="D470" s="4" t="s">
        <v>1099</v>
      </c>
      <c r="E470" s="4" t="s">
        <v>1253</v>
      </c>
      <c r="F470" s="4" t="s">
        <v>1254</v>
      </c>
      <c r="G470" s="4" t="s">
        <v>999</v>
      </c>
      <c r="H470" s="4" t="s">
        <v>1175</v>
      </c>
      <c r="I470" s="3">
        <v>3</v>
      </c>
      <c r="J470" s="29" t="str">
        <f t="shared" si="64"/>
        <v>1</v>
      </c>
      <c r="K470" s="54">
        <v>1</v>
      </c>
      <c r="L470" s="69" t="str">
        <f t="shared" si="73"/>
        <v>0</v>
      </c>
      <c r="M470" s="74" t="str">
        <f t="shared" si="67"/>
        <v>1</v>
      </c>
      <c r="N470" s="29" t="str">
        <f t="shared" si="68"/>
        <v>0</v>
      </c>
      <c r="O470" s="61" t="str">
        <f t="shared" ca="1" si="71"/>
        <v>1</v>
      </c>
      <c r="P470" s="65" t="str">
        <f t="shared" si="72"/>
        <v>1</v>
      </c>
      <c r="Q470" s="46">
        <f t="shared" ca="1" si="69"/>
        <v>5</v>
      </c>
      <c r="R470" s="83" t="str">
        <f t="shared" ca="1" si="70"/>
        <v>ผ่าน</v>
      </c>
      <c r="S470" s="3" t="s">
        <v>28</v>
      </c>
    </row>
    <row r="471" spans="1:19" ht="24">
      <c r="A471" s="3">
        <v>470</v>
      </c>
      <c r="B471" s="105">
        <v>6312743207</v>
      </c>
      <c r="C471" s="4" t="s">
        <v>29</v>
      </c>
      <c r="D471" s="4" t="s">
        <v>1255</v>
      </c>
      <c r="E471" s="4" t="s">
        <v>1256</v>
      </c>
      <c r="F471" s="4" t="s">
        <v>1257</v>
      </c>
      <c r="G471" s="4" t="s">
        <v>999</v>
      </c>
      <c r="H471" s="4" t="s">
        <v>1175</v>
      </c>
      <c r="I471" s="3">
        <v>4</v>
      </c>
      <c r="J471" s="29" t="str">
        <f t="shared" si="64"/>
        <v>0</v>
      </c>
      <c r="K471" s="54" t="str">
        <f t="shared" si="65"/>
        <v>1</v>
      </c>
      <c r="L471" s="69" t="str">
        <f t="shared" si="73"/>
        <v>0</v>
      </c>
      <c r="M471" s="74" t="str">
        <f t="shared" si="67"/>
        <v>1</v>
      </c>
      <c r="N471" s="29" t="str">
        <f t="shared" si="68"/>
        <v>0</v>
      </c>
      <c r="O471" s="61">
        <v>1</v>
      </c>
      <c r="P471" s="65">
        <v>1</v>
      </c>
      <c r="Q471" s="46">
        <f t="shared" si="69"/>
        <v>4</v>
      </c>
      <c r="R471" s="83" t="str">
        <f t="shared" si="70"/>
        <v>ผ่าน</v>
      </c>
      <c r="S471" s="3" t="s">
        <v>28</v>
      </c>
    </row>
    <row r="472" spans="1:19" ht="24">
      <c r="A472" s="3">
        <v>471</v>
      </c>
      <c r="B472" s="105">
        <v>6312743214</v>
      </c>
      <c r="C472" s="4" t="s">
        <v>29</v>
      </c>
      <c r="D472" s="4" t="s">
        <v>1258</v>
      </c>
      <c r="E472" s="4" t="s">
        <v>1259</v>
      </c>
      <c r="F472" s="4" t="s">
        <v>1260</v>
      </c>
      <c r="G472" s="4" t="s">
        <v>999</v>
      </c>
      <c r="H472" s="4" t="s">
        <v>1175</v>
      </c>
      <c r="I472" s="3">
        <v>4</v>
      </c>
      <c r="J472" s="29" t="str">
        <f t="shared" si="64"/>
        <v>0</v>
      </c>
      <c r="K472" s="54" t="str">
        <f t="shared" si="65"/>
        <v>1</v>
      </c>
      <c r="L472" s="69" t="str">
        <f t="shared" si="73"/>
        <v>0</v>
      </c>
      <c r="M472" s="74" t="str">
        <f t="shared" si="67"/>
        <v>1</v>
      </c>
      <c r="N472" s="29" t="str">
        <f t="shared" si="68"/>
        <v>0</v>
      </c>
      <c r="O472" s="61">
        <v>1</v>
      </c>
      <c r="P472" s="65">
        <v>1</v>
      </c>
      <c r="Q472" s="46">
        <f t="shared" si="69"/>
        <v>4</v>
      </c>
      <c r="R472" s="83" t="str">
        <f t="shared" si="70"/>
        <v>ผ่าน</v>
      </c>
      <c r="S472" s="3" t="s">
        <v>28</v>
      </c>
    </row>
    <row r="473" spans="1:19" ht="24">
      <c r="A473" s="3">
        <v>472</v>
      </c>
      <c r="B473" s="105">
        <v>6312743215</v>
      </c>
      <c r="C473" s="4" t="s">
        <v>29</v>
      </c>
      <c r="D473" s="4" t="s">
        <v>1261</v>
      </c>
      <c r="E473" s="4" t="s">
        <v>1262</v>
      </c>
      <c r="F473" s="4" t="s">
        <v>816</v>
      </c>
      <c r="G473" s="4" t="s">
        <v>999</v>
      </c>
      <c r="H473" s="4" t="s">
        <v>1175</v>
      </c>
      <c r="I473" s="3">
        <v>4</v>
      </c>
      <c r="J473" s="29" t="str">
        <f t="shared" si="64"/>
        <v>1</v>
      </c>
      <c r="K473" s="54">
        <v>1</v>
      </c>
      <c r="L473" s="69" t="str">
        <f t="shared" si="73"/>
        <v>0</v>
      </c>
      <c r="M473" s="74" t="str">
        <f t="shared" si="67"/>
        <v>1</v>
      </c>
      <c r="N473" s="29" t="str">
        <f t="shared" si="68"/>
        <v>0</v>
      </c>
      <c r="O473" s="61">
        <v>1</v>
      </c>
      <c r="P473" s="65">
        <v>1</v>
      </c>
      <c r="Q473" s="46">
        <f t="shared" si="69"/>
        <v>5</v>
      </c>
      <c r="R473" s="83" t="str">
        <f t="shared" si="70"/>
        <v>ผ่าน</v>
      </c>
      <c r="S473" s="3" t="s">
        <v>28</v>
      </c>
    </row>
    <row r="474" spans="1:19" ht="24">
      <c r="A474" s="3">
        <v>473</v>
      </c>
      <c r="B474" s="105">
        <v>6312743223</v>
      </c>
      <c r="C474" s="4" t="s">
        <v>29</v>
      </c>
      <c r="D474" s="4" t="s">
        <v>1263</v>
      </c>
      <c r="E474" s="4" t="s">
        <v>1264</v>
      </c>
      <c r="F474" s="4" t="s">
        <v>946</v>
      </c>
      <c r="G474" s="4" t="s">
        <v>999</v>
      </c>
      <c r="H474" s="4" t="s">
        <v>1175</v>
      </c>
      <c r="I474" s="3">
        <v>4</v>
      </c>
      <c r="J474" s="29" t="str">
        <f t="shared" si="64"/>
        <v>1</v>
      </c>
      <c r="K474" s="54">
        <v>1</v>
      </c>
      <c r="L474" s="69" t="str">
        <f t="shared" si="73"/>
        <v>0</v>
      </c>
      <c r="M474" s="74" t="str">
        <f t="shared" si="67"/>
        <v>1</v>
      </c>
      <c r="N474" s="29" t="str">
        <f t="shared" si="68"/>
        <v>0</v>
      </c>
      <c r="O474" s="61">
        <v>1</v>
      </c>
      <c r="P474" s="65">
        <v>1</v>
      </c>
      <c r="Q474" s="46">
        <f t="shared" si="69"/>
        <v>5</v>
      </c>
      <c r="R474" s="83" t="str">
        <f t="shared" si="70"/>
        <v>ผ่าน</v>
      </c>
      <c r="S474" s="3" t="s">
        <v>28</v>
      </c>
    </row>
    <row r="475" spans="1:19" ht="24">
      <c r="A475" s="3">
        <v>474</v>
      </c>
      <c r="B475" s="105">
        <v>6312743232</v>
      </c>
      <c r="C475" s="4" t="s">
        <v>29</v>
      </c>
      <c r="D475" s="4" t="s">
        <v>1265</v>
      </c>
      <c r="E475" s="4" t="s">
        <v>1266</v>
      </c>
      <c r="F475" s="4" t="s">
        <v>1267</v>
      </c>
      <c r="G475" s="4" t="s">
        <v>999</v>
      </c>
      <c r="H475" s="4" t="s">
        <v>1175</v>
      </c>
      <c r="I475" s="3">
        <v>4</v>
      </c>
      <c r="J475" s="29" t="str">
        <f t="shared" si="64"/>
        <v>0</v>
      </c>
      <c r="K475" s="54" t="str">
        <f t="shared" si="65"/>
        <v>1</v>
      </c>
      <c r="L475" s="69" t="str">
        <f t="shared" si="73"/>
        <v>0</v>
      </c>
      <c r="M475" s="74" t="str">
        <f t="shared" si="67"/>
        <v>1</v>
      </c>
      <c r="N475" s="29" t="str">
        <f t="shared" si="68"/>
        <v>0</v>
      </c>
      <c r="O475" s="61">
        <v>1</v>
      </c>
      <c r="P475" s="65">
        <v>1</v>
      </c>
      <c r="Q475" s="46">
        <f t="shared" si="69"/>
        <v>4</v>
      </c>
      <c r="R475" s="83" t="str">
        <f t="shared" si="70"/>
        <v>ผ่าน</v>
      </c>
      <c r="S475" s="3" t="s">
        <v>28</v>
      </c>
    </row>
    <row r="476" spans="1:19" ht="24">
      <c r="A476" s="3">
        <v>475</v>
      </c>
      <c r="B476" s="105">
        <v>6312743237</v>
      </c>
      <c r="C476" s="4" t="s">
        <v>29</v>
      </c>
      <c r="D476" s="4" t="s">
        <v>508</v>
      </c>
      <c r="E476" s="4" t="s">
        <v>1268</v>
      </c>
      <c r="F476" s="4" t="s">
        <v>489</v>
      </c>
      <c r="G476" s="4" t="s">
        <v>999</v>
      </c>
      <c r="H476" s="4" t="s">
        <v>1175</v>
      </c>
      <c r="I476" s="3">
        <v>4</v>
      </c>
      <c r="J476" s="29" t="str">
        <f t="shared" si="64"/>
        <v>0</v>
      </c>
      <c r="K476" s="54" t="str">
        <f t="shared" si="65"/>
        <v>1</v>
      </c>
      <c r="L476" s="69" t="str">
        <f t="shared" si="73"/>
        <v>0</v>
      </c>
      <c r="M476" s="74" t="str">
        <f t="shared" si="67"/>
        <v>1</v>
      </c>
      <c r="N476" s="29" t="str">
        <f t="shared" si="68"/>
        <v>0</v>
      </c>
      <c r="O476" s="61">
        <v>1</v>
      </c>
      <c r="P476" s="65">
        <v>1</v>
      </c>
      <c r="Q476" s="46">
        <f t="shared" si="69"/>
        <v>4</v>
      </c>
      <c r="R476" s="83" t="str">
        <f t="shared" si="70"/>
        <v>ผ่าน</v>
      </c>
      <c r="S476" s="3" t="s">
        <v>28</v>
      </c>
    </row>
    <row r="477" spans="1:19" ht="24">
      <c r="A477" s="3">
        <v>476</v>
      </c>
      <c r="B477" s="105">
        <v>6312743239</v>
      </c>
      <c r="C477" s="4" t="s">
        <v>29</v>
      </c>
      <c r="D477" s="4" t="s">
        <v>1269</v>
      </c>
      <c r="E477" s="4" t="s">
        <v>1048</v>
      </c>
      <c r="F477" s="4" t="s">
        <v>406</v>
      </c>
      <c r="G477" s="4" t="s">
        <v>999</v>
      </c>
      <c r="H477" s="4" t="s">
        <v>1175</v>
      </c>
      <c r="I477" s="3">
        <v>4</v>
      </c>
      <c r="J477" s="29" t="str">
        <f t="shared" si="64"/>
        <v>0</v>
      </c>
      <c r="K477" s="54">
        <v>1</v>
      </c>
      <c r="L477" s="69" t="str">
        <f t="shared" si="73"/>
        <v>0</v>
      </c>
      <c r="M477" s="74" t="str">
        <f t="shared" si="67"/>
        <v>1</v>
      </c>
      <c r="N477" s="29" t="str">
        <f t="shared" si="68"/>
        <v>0</v>
      </c>
      <c r="O477" s="61">
        <v>1</v>
      </c>
      <c r="P477" s="65">
        <v>1</v>
      </c>
      <c r="Q477" s="46">
        <f t="shared" si="69"/>
        <v>4</v>
      </c>
      <c r="R477" s="83" t="str">
        <f t="shared" si="70"/>
        <v>ผ่าน</v>
      </c>
      <c r="S477" s="3" t="s">
        <v>28</v>
      </c>
    </row>
    <row r="478" spans="1:19" ht="24">
      <c r="A478" s="3">
        <v>477</v>
      </c>
      <c r="B478" s="105">
        <v>6610083114</v>
      </c>
      <c r="C478" s="4" t="s">
        <v>29</v>
      </c>
      <c r="D478" s="4" t="s">
        <v>1270</v>
      </c>
      <c r="E478" s="4" t="s">
        <v>1271</v>
      </c>
      <c r="F478" s="4" t="s">
        <v>1272</v>
      </c>
      <c r="G478" s="4" t="s">
        <v>999</v>
      </c>
      <c r="H478" s="4" t="s">
        <v>1273</v>
      </c>
      <c r="I478" s="3">
        <v>1</v>
      </c>
      <c r="J478" s="29" t="str">
        <f t="shared" si="64"/>
        <v>0</v>
      </c>
      <c r="K478" s="54" t="str">
        <f t="shared" si="65"/>
        <v>1</v>
      </c>
      <c r="L478" s="69" t="str">
        <f t="shared" si="73"/>
        <v>0</v>
      </c>
      <c r="M478" s="74" t="str">
        <f t="shared" si="67"/>
        <v>1</v>
      </c>
      <c r="N478" s="29" t="str">
        <f t="shared" si="68"/>
        <v>0</v>
      </c>
      <c r="O478" s="61" t="str">
        <f t="shared" ca="1" si="71"/>
        <v>0</v>
      </c>
      <c r="P478" s="65" t="str">
        <f t="shared" si="72"/>
        <v>1</v>
      </c>
      <c r="Q478" s="46">
        <f t="shared" ca="1" si="69"/>
        <v>3</v>
      </c>
      <c r="R478" s="83" t="str">
        <f t="shared" ca="1" si="70"/>
        <v>ผ่าน</v>
      </c>
      <c r="S478" s="3" t="s">
        <v>28</v>
      </c>
    </row>
    <row r="479" spans="1:19" ht="24">
      <c r="A479" s="3">
        <v>478</v>
      </c>
      <c r="B479" s="105">
        <v>6510083108</v>
      </c>
      <c r="C479" s="4" t="s">
        <v>29</v>
      </c>
      <c r="D479" s="4" t="s">
        <v>1274</v>
      </c>
      <c r="E479" s="4" t="s">
        <v>1275</v>
      </c>
      <c r="F479" s="4" t="s">
        <v>401</v>
      </c>
      <c r="G479" s="4" t="s">
        <v>999</v>
      </c>
      <c r="H479" s="4" t="s">
        <v>1273</v>
      </c>
      <c r="I479" s="3">
        <v>2</v>
      </c>
      <c r="J479" s="29" t="str">
        <f t="shared" si="64"/>
        <v>0</v>
      </c>
      <c r="K479" s="54" t="str">
        <f t="shared" si="65"/>
        <v>1</v>
      </c>
      <c r="L479" s="69" t="str">
        <f t="shared" si="73"/>
        <v>0</v>
      </c>
      <c r="M479" s="74" t="str">
        <f t="shared" si="67"/>
        <v>0</v>
      </c>
      <c r="N479" s="29" t="str">
        <f t="shared" si="68"/>
        <v>0</v>
      </c>
      <c r="O479" s="61" t="str">
        <f t="shared" ca="1" si="71"/>
        <v>1</v>
      </c>
      <c r="P479" s="65" t="str">
        <f t="shared" si="72"/>
        <v>0</v>
      </c>
      <c r="Q479" s="46">
        <f t="shared" ca="1" si="69"/>
        <v>2</v>
      </c>
      <c r="R479" s="3" t="str">
        <f t="shared" ca="1" si="70"/>
        <v>ไม่ผ่าน</v>
      </c>
      <c r="S479" s="3" t="s">
        <v>28</v>
      </c>
    </row>
    <row r="480" spans="1:19" ht="24">
      <c r="A480" s="3">
        <v>479</v>
      </c>
      <c r="B480" s="105">
        <v>6510083109</v>
      </c>
      <c r="C480" s="4" t="s">
        <v>599</v>
      </c>
      <c r="D480" s="4" t="s">
        <v>1276</v>
      </c>
      <c r="E480" s="4" t="s">
        <v>1277</v>
      </c>
      <c r="F480" s="4" t="s">
        <v>1278</v>
      </c>
      <c r="G480" s="4" t="s">
        <v>999</v>
      </c>
      <c r="H480" s="4" t="s">
        <v>1273</v>
      </c>
      <c r="I480" s="3">
        <v>2</v>
      </c>
      <c r="J480" s="29" t="str">
        <f t="shared" si="64"/>
        <v>0</v>
      </c>
      <c r="K480" s="54">
        <v>1</v>
      </c>
      <c r="L480" s="69" t="str">
        <f t="shared" si="73"/>
        <v>0</v>
      </c>
      <c r="M480" s="74" t="str">
        <f t="shared" si="67"/>
        <v>1</v>
      </c>
      <c r="N480" s="29" t="str">
        <f t="shared" si="68"/>
        <v>0</v>
      </c>
      <c r="O480" s="61" t="str">
        <f t="shared" ca="1" si="71"/>
        <v>1</v>
      </c>
      <c r="P480" s="65" t="str">
        <f t="shared" si="72"/>
        <v>1</v>
      </c>
      <c r="Q480" s="46">
        <f t="shared" ca="1" si="69"/>
        <v>4</v>
      </c>
      <c r="R480" s="83" t="str">
        <f t="shared" ca="1" si="70"/>
        <v>ผ่าน</v>
      </c>
      <c r="S480" s="3" t="s">
        <v>28</v>
      </c>
    </row>
    <row r="481" spans="1:19" ht="24">
      <c r="A481" s="3">
        <v>480</v>
      </c>
      <c r="B481" s="105">
        <v>6410083101</v>
      </c>
      <c r="C481" s="4" t="s">
        <v>22</v>
      </c>
      <c r="D481" s="4" t="s">
        <v>1279</v>
      </c>
      <c r="E481" s="4" t="s">
        <v>1280</v>
      </c>
      <c r="F481" s="4" t="s">
        <v>1281</v>
      </c>
      <c r="G481" s="4" t="s">
        <v>999</v>
      </c>
      <c r="H481" s="4" t="s">
        <v>1273</v>
      </c>
      <c r="I481" s="3">
        <v>3</v>
      </c>
      <c r="J481" s="29" t="str">
        <f t="shared" si="64"/>
        <v>1</v>
      </c>
      <c r="K481" s="54">
        <v>1</v>
      </c>
      <c r="L481" s="69" t="str">
        <f t="shared" si="73"/>
        <v>0</v>
      </c>
      <c r="M481" s="74" t="str">
        <f t="shared" si="67"/>
        <v>1</v>
      </c>
      <c r="N481" s="29" t="str">
        <f t="shared" si="68"/>
        <v>0</v>
      </c>
      <c r="O481" s="61" t="str">
        <f t="shared" ca="1" si="71"/>
        <v>1</v>
      </c>
      <c r="P481" s="65" t="str">
        <f t="shared" si="72"/>
        <v>1</v>
      </c>
      <c r="Q481" s="46">
        <f t="shared" ca="1" si="69"/>
        <v>5</v>
      </c>
      <c r="R481" s="83" t="str">
        <f t="shared" ca="1" si="70"/>
        <v>ผ่าน</v>
      </c>
      <c r="S481" s="3" t="s">
        <v>28</v>
      </c>
    </row>
    <row r="482" spans="1:19" ht="24">
      <c r="A482" s="3">
        <v>481</v>
      </c>
      <c r="B482" s="105">
        <v>6410083103</v>
      </c>
      <c r="C482" s="4" t="s">
        <v>22</v>
      </c>
      <c r="D482" s="4" t="s">
        <v>1282</v>
      </c>
      <c r="E482" s="4" t="s">
        <v>1283</v>
      </c>
      <c r="F482" s="4" t="s">
        <v>982</v>
      </c>
      <c r="G482" s="4" t="s">
        <v>999</v>
      </c>
      <c r="H482" s="4" t="s">
        <v>1273</v>
      </c>
      <c r="I482" s="3">
        <v>3</v>
      </c>
      <c r="J482" s="29" t="str">
        <f t="shared" si="64"/>
        <v>1</v>
      </c>
      <c r="K482" s="54" t="str">
        <f t="shared" si="65"/>
        <v>1</v>
      </c>
      <c r="L482" s="69" t="str">
        <f t="shared" si="73"/>
        <v>0</v>
      </c>
      <c r="M482" s="74" t="str">
        <f t="shared" si="67"/>
        <v>1</v>
      </c>
      <c r="N482" s="29" t="str">
        <f t="shared" si="68"/>
        <v>0</v>
      </c>
      <c r="O482" s="61" t="str">
        <f t="shared" ca="1" si="71"/>
        <v>1</v>
      </c>
      <c r="P482" s="65" t="str">
        <f t="shared" si="72"/>
        <v>1</v>
      </c>
      <c r="Q482" s="46">
        <f t="shared" ca="1" si="69"/>
        <v>5</v>
      </c>
      <c r="R482" s="83" t="str">
        <f t="shared" ca="1" si="70"/>
        <v>ผ่าน</v>
      </c>
      <c r="S482" s="3" t="s">
        <v>28</v>
      </c>
    </row>
    <row r="483" spans="1:19" ht="24">
      <c r="A483" s="3">
        <v>482</v>
      </c>
      <c r="B483" s="105">
        <v>6410083104</v>
      </c>
      <c r="C483" s="4" t="s">
        <v>22</v>
      </c>
      <c r="D483" s="4" t="s">
        <v>429</v>
      </c>
      <c r="E483" s="4" t="s">
        <v>1284</v>
      </c>
      <c r="F483" s="4" t="s">
        <v>429</v>
      </c>
      <c r="G483" s="4" t="s">
        <v>999</v>
      </c>
      <c r="H483" s="4" t="s">
        <v>1273</v>
      </c>
      <c r="I483" s="3">
        <v>3</v>
      </c>
      <c r="J483" s="29" t="str">
        <f t="shared" si="64"/>
        <v>1</v>
      </c>
      <c r="K483" s="54" t="str">
        <f t="shared" si="65"/>
        <v>0</v>
      </c>
      <c r="L483" s="69" t="str">
        <f t="shared" si="73"/>
        <v>0</v>
      </c>
      <c r="M483" s="74" t="str">
        <f t="shared" si="67"/>
        <v>1</v>
      </c>
      <c r="N483" s="29" t="str">
        <f t="shared" si="68"/>
        <v>0</v>
      </c>
      <c r="O483" s="61" t="str">
        <f t="shared" ca="1" si="71"/>
        <v>1</v>
      </c>
      <c r="P483" s="65" t="str">
        <f t="shared" si="72"/>
        <v>1</v>
      </c>
      <c r="Q483" s="46">
        <f t="shared" ca="1" si="69"/>
        <v>4</v>
      </c>
      <c r="R483" s="83" t="str">
        <f t="shared" ca="1" si="70"/>
        <v>ผ่าน</v>
      </c>
      <c r="S483" s="3" t="s">
        <v>28</v>
      </c>
    </row>
    <row r="484" spans="1:19" ht="24">
      <c r="A484" s="3">
        <v>483</v>
      </c>
      <c r="B484" s="105">
        <v>6410083105</v>
      </c>
      <c r="C484" s="4" t="s">
        <v>22</v>
      </c>
      <c r="D484" s="4" t="s">
        <v>1285</v>
      </c>
      <c r="E484" s="4" t="s">
        <v>1286</v>
      </c>
      <c r="F484" s="4" t="s">
        <v>1287</v>
      </c>
      <c r="G484" s="4" t="s">
        <v>999</v>
      </c>
      <c r="H484" s="4" t="s">
        <v>1273</v>
      </c>
      <c r="I484" s="3">
        <v>3</v>
      </c>
      <c r="J484" s="29" t="str">
        <f t="shared" si="64"/>
        <v>1</v>
      </c>
      <c r="K484" s="54" t="str">
        <f t="shared" si="65"/>
        <v>0</v>
      </c>
      <c r="L484" s="69" t="str">
        <f t="shared" si="73"/>
        <v>0</v>
      </c>
      <c r="M484" s="74" t="str">
        <f t="shared" si="67"/>
        <v>1</v>
      </c>
      <c r="N484" s="29" t="str">
        <f t="shared" si="68"/>
        <v>0</v>
      </c>
      <c r="O484" s="61" t="str">
        <f t="shared" ca="1" si="71"/>
        <v>1</v>
      </c>
      <c r="P484" s="65" t="str">
        <f t="shared" si="72"/>
        <v>0</v>
      </c>
      <c r="Q484" s="46">
        <f t="shared" ca="1" si="69"/>
        <v>3</v>
      </c>
      <c r="R484" s="83" t="str">
        <f t="shared" ca="1" si="70"/>
        <v>ผ่าน</v>
      </c>
      <c r="S484" s="3" t="s">
        <v>28</v>
      </c>
    </row>
    <row r="485" spans="1:19" ht="24">
      <c r="A485" s="3">
        <v>484</v>
      </c>
      <c r="B485" s="105">
        <v>6410083106</v>
      </c>
      <c r="C485" s="4" t="s">
        <v>22</v>
      </c>
      <c r="D485" s="4" t="s">
        <v>1288</v>
      </c>
      <c r="E485" s="4" t="s">
        <v>1289</v>
      </c>
      <c r="F485" s="4" t="s">
        <v>1290</v>
      </c>
      <c r="G485" s="4" t="s">
        <v>999</v>
      </c>
      <c r="H485" s="4" t="s">
        <v>1273</v>
      </c>
      <c r="I485" s="3">
        <v>3</v>
      </c>
      <c r="J485" s="29" t="str">
        <f t="shared" si="64"/>
        <v>0</v>
      </c>
      <c r="K485" s="54" t="str">
        <f t="shared" si="65"/>
        <v>0</v>
      </c>
      <c r="L485" s="69" t="str">
        <f t="shared" si="73"/>
        <v>0</v>
      </c>
      <c r="M485" s="74" t="str">
        <f t="shared" si="67"/>
        <v>0</v>
      </c>
      <c r="N485" s="29" t="str">
        <f t="shared" si="68"/>
        <v>0</v>
      </c>
      <c r="O485" s="61" t="str">
        <f t="shared" ca="1" si="71"/>
        <v>0</v>
      </c>
      <c r="P485" s="65" t="str">
        <f t="shared" si="72"/>
        <v>0</v>
      </c>
      <c r="Q485" s="46">
        <f t="shared" ca="1" si="69"/>
        <v>0</v>
      </c>
      <c r="R485" s="3" t="str">
        <f t="shared" ca="1" si="70"/>
        <v>ไม่ผ่าน</v>
      </c>
      <c r="S485" s="3" t="s">
        <v>28</v>
      </c>
    </row>
    <row r="486" spans="1:19" ht="24">
      <c r="A486" s="3">
        <v>485</v>
      </c>
      <c r="B486" s="105">
        <v>6410083108</v>
      </c>
      <c r="C486" s="4" t="s">
        <v>22</v>
      </c>
      <c r="D486" s="4" t="s">
        <v>827</v>
      </c>
      <c r="E486" s="4" t="s">
        <v>1291</v>
      </c>
      <c r="F486" s="4" t="s">
        <v>140</v>
      </c>
      <c r="G486" s="4" t="s">
        <v>999</v>
      </c>
      <c r="H486" s="4" t="s">
        <v>1273</v>
      </c>
      <c r="I486" s="3">
        <v>3</v>
      </c>
      <c r="J486" s="29" t="str">
        <f t="shared" si="64"/>
        <v>1</v>
      </c>
      <c r="K486" s="54">
        <v>1</v>
      </c>
      <c r="L486" s="69" t="str">
        <f t="shared" si="73"/>
        <v>0</v>
      </c>
      <c r="M486" s="74" t="str">
        <f t="shared" si="67"/>
        <v>1</v>
      </c>
      <c r="N486" s="29" t="str">
        <f t="shared" si="68"/>
        <v>0</v>
      </c>
      <c r="O486" s="61" t="str">
        <f t="shared" ca="1" si="71"/>
        <v>1</v>
      </c>
      <c r="P486" s="65" t="str">
        <f t="shared" si="72"/>
        <v>1</v>
      </c>
      <c r="Q486" s="46">
        <f t="shared" ca="1" si="69"/>
        <v>5</v>
      </c>
      <c r="R486" s="83" t="str">
        <f t="shared" ca="1" si="70"/>
        <v>ผ่าน</v>
      </c>
      <c r="S486" s="3" t="s">
        <v>28</v>
      </c>
    </row>
    <row r="487" spans="1:19" ht="24">
      <c r="A487" s="3">
        <v>486</v>
      </c>
      <c r="B487" s="105">
        <v>6410083110</v>
      </c>
      <c r="C487" s="4" t="s">
        <v>29</v>
      </c>
      <c r="D487" s="4" t="s">
        <v>168</v>
      </c>
      <c r="E487" s="4" t="s">
        <v>1292</v>
      </c>
      <c r="F487" s="4" t="s">
        <v>535</v>
      </c>
      <c r="G487" s="4" t="s">
        <v>999</v>
      </c>
      <c r="H487" s="4" t="s">
        <v>1273</v>
      </c>
      <c r="I487" s="3">
        <v>3</v>
      </c>
      <c r="J487" s="29" t="str">
        <f t="shared" si="64"/>
        <v>1</v>
      </c>
      <c r="K487" s="54" t="str">
        <f t="shared" si="65"/>
        <v>1</v>
      </c>
      <c r="L487" s="69" t="str">
        <f t="shared" si="73"/>
        <v>0</v>
      </c>
      <c r="M487" s="74" t="str">
        <f t="shared" si="67"/>
        <v>1</v>
      </c>
      <c r="N487" s="29" t="str">
        <f t="shared" si="68"/>
        <v>0</v>
      </c>
      <c r="O487" s="61" t="str">
        <f t="shared" ca="1" si="71"/>
        <v>1</v>
      </c>
      <c r="P487" s="65" t="str">
        <f t="shared" si="72"/>
        <v>0</v>
      </c>
      <c r="Q487" s="46">
        <f t="shared" ca="1" si="69"/>
        <v>4</v>
      </c>
      <c r="R487" s="83" t="str">
        <f t="shared" ca="1" si="70"/>
        <v>ผ่าน</v>
      </c>
      <c r="S487" s="3" t="s">
        <v>28</v>
      </c>
    </row>
    <row r="488" spans="1:19" ht="24">
      <c r="A488" s="3">
        <v>487</v>
      </c>
      <c r="B488" s="105">
        <v>6410083111</v>
      </c>
      <c r="C488" s="4" t="s">
        <v>29</v>
      </c>
      <c r="D488" s="4" t="s">
        <v>1293</v>
      </c>
      <c r="E488" s="4" t="s">
        <v>1294</v>
      </c>
      <c r="F488" s="4" t="s">
        <v>1295</v>
      </c>
      <c r="G488" s="4" t="s">
        <v>999</v>
      </c>
      <c r="H488" s="4" t="s">
        <v>1273</v>
      </c>
      <c r="I488" s="3">
        <v>3</v>
      </c>
      <c r="J488" s="29" t="str">
        <f t="shared" si="64"/>
        <v>1</v>
      </c>
      <c r="K488" s="54" t="str">
        <f t="shared" si="65"/>
        <v>1</v>
      </c>
      <c r="L488" s="69" t="str">
        <f t="shared" si="73"/>
        <v>0</v>
      </c>
      <c r="M488" s="74" t="str">
        <f t="shared" si="67"/>
        <v>1</v>
      </c>
      <c r="N488" s="29" t="str">
        <f t="shared" si="68"/>
        <v>0</v>
      </c>
      <c r="O488" s="61" t="str">
        <f t="shared" ca="1" si="71"/>
        <v>1</v>
      </c>
      <c r="P488" s="65" t="str">
        <f t="shared" si="72"/>
        <v>1</v>
      </c>
      <c r="Q488" s="46">
        <f t="shared" ca="1" si="69"/>
        <v>5</v>
      </c>
      <c r="R488" s="83" t="str">
        <f t="shared" ca="1" si="70"/>
        <v>ผ่าน</v>
      </c>
      <c r="S488" s="3" t="s">
        <v>28</v>
      </c>
    </row>
    <row r="489" spans="1:19" ht="24">
      <c r="A489" s="3">
        <v>488</v>
      </c>
      <c r="B489" s="105">
        <v>6410083112</v>
      </c>
      <c r="C489" s="4" t="s">
        <v>29</v>
      </c>
      <c r="D489" s="4" t="s">
        <v>1296</v>
      </c>
      <c r="E489" s="4" t="s">
        <v>1297</v>
      </c>
      <c r="F489" s="4" t="s">
        <v>1078</v>
      </c>
      <c r="G489" s="4" t="s">
        <v>999</v>
      </c>
      <c r="H489" s="4" t="s">
        <v>1273</v>
      </c>
      <c r="I489" s="3">
        <v>3</v>
      </c>
      <c r="J489" s="29" t="str">
        <f t="shared" si="64"/>
        <v>1</v>
      </c>
      <c r="K489" s="54">
        <v>1</v>
      </c>
      <c r="L489" s="69" t="str">
        <f t="shared" si="73"/>
        <v>0</v>
      </c>
      <c r="M489" s="74" t="str">
        <f t="shared" si="67"/>
        <v>1</v>
      </c>
      <c r="N489" s="29" t="str">
        <f t="shared" si="68"/>
        <v>0</v>
      </c>
      <c r="O489" s="61" t="str">
        <f t="shared" ca="1" si="71"/>
        <v>0</v>
      </c>
      <c r="P489" s="65" t="str">
        <f t="shared" si="72"/>
        <v>1</v>
      </c>
      <c r="Q489" s="46">
        <f t="shared" ca="1" si="69"/>
        <v>4</v>
      </c>
      <c r="R489" s="83" t="str">
        <f t="shared" ca="1" si="70"/>
        <v>ผ่าน</v>
      </c>
      <c r="S489" s="3" t="s">
        <v>28</v>
      </c>
    </row>
    <row r="490" spans="1:19" ht="24">
      <c r="A490" s="3">
        <v>489</v>
      </c>
      <c r="B490" s="105">
        <v>6512888117</v>
      </c>
      <c r="C490" s="4" t="s">
        <v>29</v>
      </c>
      <c r="D490" s="4" t="s">
        <v>798</v>
      </c>
      <c r="E490" s="4" t="s">
        <v>1298</v>
      </c>
      <c r="F490" s="4" t="s">
        <v>644</v>
      </c>
      <c r="G490" s="4" t="s">
        <v>1299</v>
      </c>
      <c r="H490" s="4" t="s">
        <v>1300</v>
      </c>
      <c r="I490" s="3">
        <v>2</v>
      </c>
      <c r="J490" s="29" t="str">
        <f t="shared" si="64"/>
        <v>0</v>
      </c>
      <c r="K490" s="54" t="str">
        <f t="shared" si="65"/>
        <v>1</v>
      </c>
      <c r="L490" s="69" t="str">
        <f t="shared" si="73"/>
        <v>0</v>
      </c>
      <c r="M490" s="74" t="str">
        <f t="shared" si="67"/>
        <v>1</v>
      </c>
      <c r="N490" s="29" t="str">
        <f t="shared" si="68"/>
        <v>0</v>
      </c>
      <c r="O490" s="61" t="str">
        <f t="shared" ca="1" si="71"/>
        <v>1</v>
      </c>
      <c r="P490" s="65" t="str">
        <f t="shared" si="72"/>
        <v>0</v>
      </c>
      <c r="Q490" s="46">
        <f t="shared" ca="1" si="69"/>
        <v>3</v>
      </c>
      <c r="R490" s="83" t="str">
        <f t="shared" ca="1" si="70"/>
        <v>ผ่าน</v>
      </c>
      <c r="S490" s="3" t="s">
        <v>28</v>
      </c>
    </row>
    <row r="491" spans="1:19" ht="24">
      <c r="A491" s="3">
        <v>490</v>
      </c>
      <c r="B491" s="105">
        <v>6512888223</v>
      </c>
      <c r="C491" s="4" t="s">
        <v>29</v>
      </c>
      <c r="D491" s="4" t="s">
        <v>1239</v>
      </c>
      <c r="E491" s="4" t="s">
        <v>1301</v>
      </c>
      <c r="F491" s="4" t="s">
        <v>915</v>
      </c>
      <c r="G491" s="4" t="s">
        <v>1299</v>
      </c>
      <c r="H491" s="4" t="s">
        <v>1300</v>
      </c>
      <c r="I491" s="3">
        <v>2</v>
      </c>
      <c r="J491" s="29" t="str">
        <f t="shared" si="64"/>
        <v>1</v>
      </c>
      <c r="K491" s="54" t="str">
        <f t="shared" si="65"/>
        <v>1</v>
      </c>
      <c r="L491" s="69" t="str">
        <f t="shared" si="73"/>
        <v>0</v>
      </c>
      <c r="M491" s="74" t="str">
        <f t="shared" si="67"/>
        <v>0</v>
      </c>
      <c r="N491" s="29" t="str">
        <f t="shared" si="68"/>
        <v>0</v>
      </c>
      <c r="O491" s="61" t="str">
        <f t="shared" ca="1" si="71"/>
        <v>0</v>
      </c>
      <c r="P491" s="65" t="str">
        <f t="shared" si="72"/>
        <v>0</v>
      </c>
      <c r="Q491" s="46">
        <f t="shared" ca="1" si="69"/>
        <v>2</v>
      </c>
      <c r="R491" s="3" t="str">
        <f t="shared" ca="1" si="70"/>
        <v>ไม่ผ่าน</v>
      </c>
      <c r="S491" s="3" t="s">
        <v>28</v>
      </c>
    </row>
    <row r="492" spans="1:19" ht="24">
      <c r="A492" s="3">
        <v>491</v>
      </c>
      <c r="B492" s="105">
        <v>6512888231</v>
      </c>
      <c r="C492" s="4" t="s">
        <v>29</v>
      </c>
      <c r="D492" s="4" t="s">
        <v>1302</v>
      </c>
      <c r="E492" s="4" t="s">
        <v>1303</v>
      </c>
      <c r="F492" s="4" t="s">
        <v>1304</v>
      </c>
      <c r="G492" s="4" t="s">
        <v>1299</v>
      </c>
      <c r="H492" s="4" t="s">
        <v>1300</v>
      </c>
      <c r="I492" s="3">
        <v>2</v>
      </c>
      <c r="J492" s="29" t="str">
        <f t="shared" si="64"/>
        <v>0</v>
      </c>
      <c r="K492" s="54" t="str">
        <f t="shared" si="65"/>
        <v>0</v>
      </c>
      <c r="L492" s="69" t="str">
        <f t="shared" si="73"/>
        <v>0</v>
      </c>
      <c r="M492" s="74" t="str">
        <f t="shared" si="67"/>
        <v>0</v>
      </c>
      <c r="N492" s="29" t="str">
        <f t="shared" si="68"/>
        <v>0</v>
      </c>
      <c r="O492" s="61" t="str">
        <f t="shared" ca="1" si="71"/>
        <v>0</v>
      </c>
      <c r="P492" s="65" t="str">
        <f t="shared" si="72"/>
        <v>0</v>
      </c>
      <c r="Q492" s="46">
        <f t="shared" ca="1" si="69"/>
        <v>0</v>
      </c>
      <c r="R492" s="3" t="str">
        <f t="shared" ca="1" si="70"/>
        <v>ไม่ผ่าน</v>
      </c>
      <c r="S492" s="3" t="s">
        <v>28</v>
      </c>
    </row>
    <row r="493" spans="1:19" ht="24">
      <c r="A493" s="3">
        <v>492</v>
      </c>
      <c r="B493" s="105">
        <v>6412888103</v>
      </c>
      <c r="C493" s="4" t="s">
        <v>22</v>
      </c>
      <c r="D493" s="4" t="s">
        <v>1305</v>
      </c>
      <c r="E493" s="4" t="s">
        <v>1306</v>
      </c>
      <c r="F493" s="4" t="s">
        <v>1307</v>
      </c>
      <c r="G493" s="4" t="s">
        <v>1299</v>
      </c>
      <c r="H493" s="4" t="s">
        <v>1300</v>
      </c>
      <c r="I493" s="3">
        <v>3</v>
      </c>
      <c r="J493" s="29" t="str">
        <f t="shared" si="64"/>
        <v>1</v>
      </c>
      <c r="K493" s="54" t="str">
        <f t="shared" si="65"/>
        <v>1</v>
      </c>
      <c r="L493" s="69" t="str">
        <f t="shared" si="73"/>
        <v>0</v>
      </c>
      <c r="M493" s="74" t="str">
        <f t="shared" si="67"/>
        <v>1</v>
      </c>
      <c r="N493" s="29" t="str">
        <f t="shared" si="68"/>
        <v>0</v>
      </c>
      <c r="O493" s="61" t="str">
        <f t="shared" ca="1" si="71"/>
        <v>0</v>
      </c>
      <c r="P493" s="65" t="str">
        <f t="shared" si="72"/>
        <v>1</v>
      </c>
      <c r="Q493" s="46">
        <f t="shared" ca="1" si="69"/>
        <v>4</v>
      </c>
      <c r="R493" s="83" t="str">
        <f t="shared" ca="1" si="70"/>
        <v>ผ่าน</v>
      </c>
      <c r="S493" s="3" t="s">
        <v>28</v>
      </c>
    </row>
    <row r="494" spans="1:19" ht="24">
      <c r="A494" s="3">
        <v>493</v>
      </c>
      <c r="B494" s="105">
        <v>6312888222</v>
      </c>
      <c r="C494" s="4" t="s">
        <v>29</v>
      </c>
      <c r="D494" s="4" t="s">
        <v>1308</v>
      </c>
      <c r="E494" s="4" t="s">
        <v>1309</v>
      </c>
      <c r="F494" s="4" t="s">
        <v>1310</v>
      </c>
      <c r="G494" s="4" t="s">
        <v>1299</v>
      </c>
      <c r="H494" s="4" t="s">
        <v>1300</v>
      </c>
      <c r="I494" s="3">
        <v>4</v>
      </c>
      <c r="J494" s="29" t="str">
        <f t="shared" si="64"/>
        <v>0</v>
      </c>
      <c r="K494" s="54" t="str">
        <f t="shared" si="65"/>
        <v>0</v>
      </c>
      <c r="L494" s="69" t="str">
        <f t="shared" si="73"/>
        <v>0</v>
      </c>
      <c r="M494" s="74" t="str">
        <f t="shared" si="67"/>
        <v>0</v>
      </c>
      <c r="N494" s="29" t="str">
        <f t="shared" si="68"/>
        <v>0</v>
      </c>
      <c r="O494" s="61">
        <v>1</v>
      </c>
      <c r="P494" s="65">
        <v>1</v>
      </c>
      <c r="Q494" s="46">
        <f t="shared" si="69"/>
        <v>2</v>
      </c>
      <c r="R494" s="3" t="str">
        <f t="shared" si="70"/>
        <v>ไม่ผ่าน</v>
      </c>
      <c r="S494" s="3" t="s">
        <v>28</v>
      </c>
    </row>
    <row r="495" spans="1:19" ht="24">
      <c r="A495" s="3">
        <v>494</v>
      </c>
      <c r="B495" s="105">
        <v>6412866115</v>
      </c>
      <c r="C495" s="4" t="s">
        <v>29</v>
      </c>
      <c r="D495" s="4" t="s">
        <v>1311</v>
      </c>
      <c r="E495" s="4" t="s">
        <v>1312</v>
      </c>
      <c r="F495" s="4" t="s">
        <v>704</v>
      </c>
      <c r="G495" s="4" t="s">
        <v>1299</v>
      </c>
      <c r="H495" s="4" t="s">
        <v>1313</v>
      </c>
      <c r="I495" s="3">
        <v>3</v>
      </c>
      <c r="J495" s="29" t="str">
        <f t="shared" si="64"/>
        <v>1</v>
      </c>
      <c r="K495" s="54" t="str">
        <f t="shared" si="65"/>
        <v>1</v>
      </c>
      <c r="L495" s="69" t="str">
        <f t="shared" si="73"/>
        <v>0</v>
      </c>
      <c r="M495" s="74" t="str">
        <f t="shared" si="67"/>
        <v>1</v>
      </c>
      <c r="N495" s="29" t="str">
        <f t="shared" si="68"/>
        <v>0</v>
      </c>
      <c r="O495" s="61" t="str">
        <f t="shared" ca="1" si="71"/>
        <v>1</v>
      </c>
      <c r="P495" s="65" t="str">
        <f t="shared" si="72"/>
        <v>1</v>
      </c>
      <c r="Q495" s="46">
        <f t="shared" ca="1" si="69"/>
        <v>5</v>
      </c>
      <c r="R495" s="83" t="str">
        <f t="shared" ca="1" si="70"/>
        <v>ผ่าน</v>
      </c>
      <c r="S495" s="3" t="s">
        <v>28</v>
      </c>
    </row>
    <row r="496" spans="1:19" ht="24">
      <c r="A496" s="3">
        <v>495</v>
      </c>
      <c r="B496" s="105">
        <v>6412866119</v>
      </c>
      <c r="C496" s="4" t="s">
        <v>29</v>
      </c>
      <c r="D496" s="4" t="s">
        <v>1314</v>
      </c>
      <c r="E496" s="4" t="s">
        <v>1315</v>
      </c>
      <c r="F496" s="4" t="s">
        <v>453</v>
      </c>
      <c r="G496" s="4" t="s">
        <v>1299</v>
      </c>
      <c r="H496" s="4" t="s">
        <v>1313</v>
      </c>
      <c r="I496" s="3">
        <v>3</v>
      </c>
      <c r="J496" s="29" t="str">
        <f t="shared" si="64"/>
        <v>1</v>
      </c>
      <c r="K496" s="54" t="str">
        <f t="shared" si="65"/>
        <v>1</v>
      </c>
      <c r="L496" s="69" t="str">
        <f t="shared" si="73"/>
        <v>0</v>
      </c>
      <c r="M496" s="74" t="str">
        <f t="shared" si="67"/>
        <v>1</v>
      </c>
      <c r="N496" s="29" t="str">
        <f t="shared" si="68"/>
        <v>0</v>
      </c>
      <c r="O496" s="61" t="str">
        <f t="shared" ca="1" si="71"/>
        <v>1</v>
      </c>
      <c r="P496" s="65" t="str">
        <f t="shared" si="72"/>
        <v>1</v>
      </c>
      <c r="Q496" s="46">
        <f t="shared" ca="1" si="69"/>
        <v>5</v>
      </c>
      <c r="R496" s="83" t="str">
        <f t="shared" ca="1" si="70"/>
        <v>ผ่าน</v>
      </c>
      <c r="S496" s="3" t="s">
        <v>28</v>
      </c>
    </row>
    <row r="497" spans="1:19" ht="24">
      <c r="A497" s="3">
        <v>496</v>
      </c>
      <c r="B497" s="105">
        <v>6412866216</v>
      </c>
      <c r="C497" s="4" t="s">
        <v>29</v>
      </c>
      <c r="D497" s="4" t="s">
        <v>1316</v>
      </c>
      <c r="E497" s="4" t="s">
        <v>1317</v>
      </c>
      <c r="F497" s="4" t="s">
        <v>924</v>
      </c>
      <c r="G497" s="4" t="s">
        <v>1299</v>
      </c>
      <c r="H497" s="4" t="s">
        <v>1313</v>
      </c>
      <c r="I497" s="3">
        <v>3</v>
      </c>
      <c r="J497" s="29" t="str">
        <f t="shared" si="64"/>
        <v>1</v>
      </c>
      <c r="K497" s="54" t="str">
        <f t="shared" si="65"/>
        <v>1</v>
      </c>
      <c r="L497" s="69" t="str">
        <f t="shared" si="73"/>
        <v>0</v>
      </c>
      <c r="M497" s="74" t="str">
        <f t="shared" si="67"/>
        <v>1</v>
      </c>
      <c r="N497" s="29" t="str">
        <f t="shared" si="68"/>
        <v>0</v>
      </c>
      <c r="O497" s="61" t="str">
        <f t="shared" ca="1" si="71"/>
        <v>1</v>
      </c>
      <c r="P497" s="65" t="str">
        <f t="shared" si="72"/>
        <v>1</v>
      </c>
      <c r="Q497" s="46">
        <f t="shared" ca="1" si="69"/>
        <v>5</v>
      </c>
      <c r="R497" s="83" t="str">
        <f t="shared" ca="1" si="70"/>
        <v>ผ่าน</v>
      </c>
      <c r="S497" s="3" t="s">
        <v>28</v>
      </c>
    </row>
    <row r="498" spans="1:19" ht="24">
      <c r="A498" s="3">
        <v>497</v>
      </c>
      <c r="B498" s="105">
        <v>6412866221</v>
      </c>
      <c r="C498" s="4" t="s">
        <v>29</v>
      </c>
      <c r="D498" s="4" t="s">
        <v>1318</v>
      </c>
      <c r="E498" s="4" t="s">
        <v>766</v>
      </c>
      <c r="F498" s="4" t="s">
        <v>1250</v>
      </c>
      <c r="G498" s="4" t="s">
        <v>1299</v>
      </c>
      <c r="H498" s="4" t="s">
        <v>1313</v>
      </c>
      <c r="I498" s="3">
        <v>3</v>
      </c>
      <c r="J498" s="29" t="str">
        <f t="shared" si="64"/>
        <v>1</v>
      </c>
      <c r="K498" s="54" t="str">
        <f t="shared" si="65"/>
        <v>1</v>
      </c>
      <c r="L498" s="69" t="str">
        <f t="shared" si="73"/>
        <v>0</v>
      </c>
      <c r="M498" s="74" t="str">
        <f t="shared" si="67"/>
        <v>1</v>
      </c>
      <c r="N498" s="29" t="str">
        <f t="shared" si="68"/>
        <v>0</v>
      </c>
      <c r="O498" s="61" t="str">
        <f t="shared" ca="1" si="71"/>
        <v>1</v>
      </c>
      <c r="P498" s="65" t="str">
        <f t="shared" si="72"/>
        <v>1</v>
      </c>
      <c r="Q498" s="46">
        <f t="shared" ca="1" si="69"/>
        <v>5</v>
      </c>
      <c r="R498" s="83" t="str">
        <f t="shared" ca="1" si="70"/>
        <v>ผ่าน</v>
      </c>
      <c r="S498" s="3" t="s">
        <v>28</v>
      </c>
    </row>
    <row r="499" spans="1:19" ht="24">
      <c r="A499" s="3">
        <v>498</v>
      </c>
      <c r="B499" s="105">
        <v>6412866222</v>
      </c>
      <c r="C499" s="4" t="s">
        <v>29</v>
      </c>
      <c r="D499" s="4" t="s">
        <v>125</v>
      </c>
      <c r="E499" s="4" t="s">
        <v>1319</v>
      </c>
      <c r="F499" s="4" t="s">
        <v>233</v>
      </c>
      <c r="G499" s="4" t="s">
        <v>1299</v>
      </c>
      <c r="H499" s="4" t="s">
        <v>1313</v>
      </c>
      <c r="I499" s="3">
        <v>3</v>
      </c>
      <c r="J499" s="29" t="str">
        <f t="shared" si="64"/>
        <v>1</v>
      </c>
      <c r="K499" s="54" t="str">
        <f t="shared" si="65"/>
        <v>0</v>
      </c>
      <c r="L499" s="69" t="str">
        <f t="shared" si="73"/>
        <v>1</v>
      </c>
      <c r="M499" s="74" t="str">
        <f t="shared" si="67"/>
        <v>1</v>
      </c>
      <c r="N499" s="29" t="str">
        <f t="shared" si="68"/>
        <v>0</v>
      </c>
      <c r="O499" s="61" t="str">
        <f t="shared" ca="1" si="71"/>
        <v>1</v>
      </c>
      <c r="P499" s="65" t="str">
        <f t="shared" si="72"/>
        <v>1</v>
      </c>
      <c r="Q499" s="46">
        <f t="shared" ca="1" si="69"/>
        <v>5</v>
      </c>
      <c r="R499" s="83" t="str">
        <f t="shared" ca="1" si="70"/>
        <v>ผ่าน</v>
      </c>
      <c r="S499" s="3" t="s">
        <v>28</v>
      </c>
    </row>
    <row r="500" spans="1:19" ht="24">
      <c r="A500" s="3">
        <v>499</v>
      </c>
      <c r="B500" s="105">
        <v>6412866227</v>
      </c>
      <c r="C500" s="4" t="s">
        <v>29</v>
      </c>
      <c r="D500" s="4" t="s">
        <v>1320</v>
      </c>
      <c r="E500" s="4" t="s">
        <v>1321</v>
      </c>
      <c r="F500" s="4" t="s">
        <v>507</v>
      </c>
      <c r="G500" s="4" t="s">
        <v>1299</v>
      </c>
      <c r="H500" s="4" t="s">
        <v>1313</v>
      </c>
      <c r="I500" s="3">
        <v>3</v>
      </c>
      <c r="J500" s="29" t="str">
        <f t="shared" si="64"/>
        <v>1</v>
      </c>
      <c r="K500" s="54" t="str">
        <f t="shared" si="65"/>
        <v>1</v>
      </c>
      <c r="L500" s="69" t="str">
        <f t="shared" si="73"/>
        <v>0</v>
      </c>
      <c r="M500" s="74" t="str">
        <f t="shared" si="67"/>
        <v>1</v>
      </c>
      <c r="N500" s="29" t="str">
        <f t="shared" si="68"/>
        <v>0</v>
      </c>
      <c r="O500" s="61" t="str">
        <f t="shared" ca="1" si="71"/>
        <v>1</v>
      </c>
      <c r="P500" s="65" t="str">
        <f t="shared" si="72"/>
        <v>1</v>
      </c>
      <c r="Q500" s="46">
        <f t="shared" ca="1" si="69"/>
        <v>5</v>
      </c>
      <c r="R500" s="83" t="str">
        <f t="shared" ca="1" si="70"/>
        <v>ผ่าน</v>
      </c>
      <c r="S500" s="3" t="s">
        <v>28</v>
      </c>
    </row>
    <row r="501" spans="1:19" ht="24">
      <c r="A501" s="3">
        <v>500</v>
      </c>
      <c r="B501" s="105">
        <v>6312866130</v>
      </c>
      <c r="C501" s="4" t="s">
        <v>29</v>
      </c>
      <c r="D501" s="4" t="s">
        <v>1322</v>
      </c>
      <c r="E501" s="4" t="s">
        <v>1323</v>
      </c>
      <c r="F501" s="4" t="s">
        <v>1324</v>
      </c>
      <c r="G501" s="4" t="s">
        <v>1299</v>
      </c>
      <c r="H501" s="4" t="s">
        <v>1313</v>
      </c>
      <c r="I501" s="3">
        <v>4</v>
      </c>
      <c r="J501" s="29" t="str">
        <f t="shared" si="64"/>
        <v>1</v>
      </c>
      <c r="K501" s="54">
        <v>1</v>
      </c>
      <c r="L501" s="69" t="str">
        <f t="shared" si="73"/>
        <v>0</v>
      </c>
      <c r="M501" s="74" t="str">
        <f t="shared" si="67"/>
        <v>0</v>
      </c>
      <c r="N501" s="29" t="str">
        <f t="shared" si="68"/>
        <v>0</v>
      </c>
      <c r="O501" s="61">
        <v>1</v>
      </c>
      <c r="P501" s="65">
        <v>1</v>
      </c>
      <c r="Q501" s="46">
        <f t="shared" si="69"/>
        <v>4</v>
      </c>
      <c r="R501" s="83" t="str">
        <f t="shared" si="70"/>
        <v>ผ่าน</v>
      </c>
      <c r="S501" s="3" t="s">
        <v>28</v>
      </c>
    </row>
    <row r="502" spans="1:19" ht="24">
      <c r="A502" s="3">
        <v>501</v>
      </c>
      <c r="B502" s="105">
        <v>6312866135</v>
      </c>
      <c r="C502" s="4" t="s">
        <v>29</v>
      </c>
      <c r="D502" s="4" t="s">
        <v>186</v>
      </c>
      <c r="E502" s="4" t="s">
        <v>1325</v>
      </c>
      <c r="F502" s="4" t="s">
        <v>1326</v>
      </c>
      <c r="G502" s="4" t="s">
        <v>1299</v>
      </c>
      <c r="H502" s="4" t="s">
        <v>1313</v>
      </c>
      <c r="I502" s="3">
        <v>4</v>
      </c>
      <c r="J502" s="29" t="str">
        <f t="shared" si="64"/>
        <v>1</v>
      </c>
      <c r="K502" s="54">
        <v>1</v>
      </c>
      <c r="L502" s="69" t="str">
        <f t="shared" si="73"/>
        <v>0</v>
      </c>
      <c r="M502" s="74" t="str">
        <f t="shared" si="67"/>
        <v>0</v>
      </c>
      <c r="N502" s="29" t="str">
        <f t="shared" si="68"/>
        <v>0</v>
      </c>
      <c r="O502" s="61">
        <v>1</v>
      </c>
      <c r="P502" s="65">
        <v>1</v>
      </c>
      <c r="Q502" s="46">
        <f t="shared" si="69"/>
        <v>4</v>
      </c>
      <c r="R502" s="83" t="str">
        <f t="shared" si="70"/>
        <v>ผ่าน</v>
      </c>
      <c r="S502" s="3" t="s">
        <v>28</v>
      </c>
    </row>
    <row r="503" spans="1:19" ht="24">
      <c r="A503" s="3">
        <v>502</v>
      </c>
      <c r="B503" s="105">
        <v>6310226205</v>
      </c>
      <c r="C503" s="4" t="s">
        <v>22</v>
      </c>
      <c r="D503" s="4" t="s">
        <v>1327</v>
      </c>
      <c r="E503" s="4" t="s">
        <v>1328</v>
      </c>
      <c r="F503" s="4" t="s">
        <v>1329</v>
      </c>
      <c r="G503" s="4" t="s">
        <v>1299</v>
      </c>
      <c r="H503" s="4" t="s">
        <v>1330</v>
      </c>
      <c r="I503" s="3">
        <v>4</v>
      </c>
      <c r="J503" s="29" t="str">
        <f t="shared" si="64"/>
        <v>1</v>
      </c>
      <c r="K503" s="54">
        <v>1</v>
      </c>
      <c r="L503" s="69" t="str">
        <f t="shared" si="73"/>
        <v>0</v>
      </c>
      <c r="M503" s="74" t="str">
        <f t="shared" si="67"/>
        <v>1</v>
      </c>
      <c r="N503" s="29" t="str">
        <f t="shared" si="68"/>
        <v>0</v>
      </c>
      <c r="O503" s="61">
        <v>1</v>
      </c>
      <c r="P503" s="65">
        <v>1</v>
      </c>
      <c r="Q503" s="46">
        <f t="shared" si="69"/>
        <v>5</v>
      </c>
      <c r="R503" s="83" t="str">
        <f t="shared" si="70"/>
        <v>ผ่าน</v>
      </c>
      <c r="S503" s="3" t="s">
        <v>28</v>
      </c>
    </row>
    <row r="504" spans="1:19" ht="24">
      <c r="A504" s="3">
        <v>503</v>
      </c>
      <c r="B504" s="105">
        <v>6510059103</v>
      </c>
      <c r="C504" s="4" t="s">
        <v>29</v>
      </c>
      <c r="D504" s="4" t="s">
        <v>1331</v>
      </c>
      <c r="E504" s="4" t="s">
        <v>1332</v>
      </c>
      <c r="F504" s="4" t="s">
        <v>1333</v>
      </c>
      <c r="G504" s="4" t="s">
        <v>1334</v>
      </c>
      <c r="H504" s="4" t="s">
        <v>1335</v>
      </c>
      <c r="I504" s="3">
        <v>2</v>
      </c>
      <c r="J504" s="29" t="str">
        <f t="shared" si="64"/>
        <v>1</v>
      </c>
      <c r="K504" s="54" t="str">
        <f t="shared" si="65"/>
        <v>1</v>
      </c>
      <c r="L504" s="69" t="str">
        <f t="shared" si="73"/>
        <v>0</v>
      </c>
      <c r="M504" s="74" t="str">
        <f t="shared" si="67"/>
        <v>1</v>
      </c>
      <c r="N504" s="29" t="str">
        <f t="shared" si="68"/>
        <v>0</v>
      </c>
      <c r="O504" s="61" t="str">
        <f t="shared" ca="1" si="71"/>
        <v>1</v>
      </c>
      <c r="P504" s="65" t="str">
        <f t="shared" si="72"/>
        <v>1</v>
      </c>
      <c r="Q504" s="46">
        <f t="shared" ca="1" si="69"/>
        <v>5</v>
      </c>
      <c r="R504" s="83" t="str">
        <f t="shared" ca="1" si="70"/>
        <v>ผ่าน</v>
      </c>
      <c r="S504" s="3" t="s">
        <v>28</v>
      </c>
    </row>
    <row r="505" spans="1:19" ht="24">
      <c r="A505" s="3">
        <v>504</v>
      </c>
      <c r="B505" s="105">
        <v>6410059112</v>
      </c>
      <c r="C505" s="4" t="s">
        <v>29</v>
      </c>
      <c r="D505" s="4" t="s">
        <v>211</v>
      </c>
      <c r="E505" s="4" t="s">
        <v>1336</v>
      </c>
      <c r="F505" s="4" t="s">
        <v>1337</v>
      </c>
      <c r="G505" s="4" t="s">
        <v>1334</v>
      </c>
      <c r="H505" s="4" t="s">
        <v>1335</v>
      </c>
      <c r="I505" s="3">
        <v>3</v>
      </c>
      <c r="J505" s="29" t="str">
        <f t="shared" si="64"/>
        <v>0</v>
      </c>
      <c r="K505" s="54">
        <v>1</v>
      </c>
      <c r="L505" s="69" t="str">
        <f t="shared" si="73"/>
        <v>0</v>
      </c>
      <c r="M505" s="74" t="str">
        <f t="shared" si="67"/>
        <v>1</v>
      </c>
      <c r="N505" s="29" t="str">
        <f t="shared" si="68"/>
        <v>0</v>
      </c>
      <c r="O505" s="61" t="str">
        <f t="shared" ca="1" si="71"/>
        <v>1</v>
      </c>
      <c r="P505" s="65" t="str">
        <f t="shared" si="72"/>
        <v>1</v>
      </c>
      <c r="Q505" s="46">
        <f t="shared" ca="1" si="69"/>
        <v>4</v>
      </c>
      <c r="R505" s="83" t="str">
        <f t="shared" ca="1" si="70"/>
        <v>ผ่าน</v>
      </c>
      <c r="S505" s="3" t="s">
        <v>28</v>
      </c>
    </row>
    <row r="506" spans="1:19" ht="24">
      <c r="A506" s="3">
        <v>505</v>
      </c>
      <c r="B506" s="105">
        <v>6610073102</v>
      </c>
      <c r="C506" s="4" t="s">
        <v>22</v>
      </c>
      <c r="D506" s="4" t="s">
        <v>1338</v>
      </c>
      <c r="E506" s="4" t="s">
        <v>766</v>
      </c>
      <c r="F506" s="4" t="s">
        <v>1339</v>
      </c>
      <c r="G506" s="4" t="s">
        <v>1334</v>
      </c>
      <c r="H506" s="4" t="s">
        <v>1340</v>
      </c>
      <c r="I506" s="3">
        <v>1</v>
      </c>
      <c r="J506" s="29" t="str">
        <f t="shared" si="64"/>
        <v>0</v>
      </c>
      <c r="K506" s="54" t="str">
        <f t="shared" si="65"/>
        <v>1</v>
      </c>
      <c r="L506" s="69" t="str">
        <f t="shared" si="73"/>
        <v>0</v>
      </c>
      <c r="M506" s="74" t="str">
        <f t="shared" si="67"/>
        <v>1</v>
      </c>
      <c r="N506" s="29" t="str">
        <f t="shared" si="68"/>
        <v>0</v>
      </c>
      <c r="O506" s="61" t="str">
        <f t="shared" ca="1" si="71"/>
        <v>1</v>
      </c>
      <c r="P506" s="65" t="str">
        <f t="shared" si="72"/>
        <v>1</v>
      </c>
      <c r="Q506" s="46">
        <f t="shared" ca="1" si="69"/>
        <v>4</v>
      </c>
      <c r="R506" s="83" t="str">
        <f t="shared" ca="1" si="70"/>
        <v>ผ่าน</v>
      </c>
      <c r="S506" s="3" t="s">
        <v>28</v>
      </c>
    </row>
    <row r="507" spans="1:19" ht="24">
      <c r="A507" s="3">
        <v>506</v>
      </c>
      <c r="B507" s="105">
        <v>6610073103</v>
      </c>
      <c r="C507" s="4" t="s">
        <v>22</v>
      </c>
      <c r="D507" s="4" t="s">
        <v>845</v>
      </c>
      <c r="E507" s="4" t="s">
        <v>1341</v>
      </c>
      <c r="F507" s="4" t="s">
        <v>1342</v>
      </c>
      <c r="G507" s="4" t="s">
        <v>1334</v>
      </c>
      <c r="H507" s="4" t="s">
        <v>1340</v>
      </c>
      <c r="I507" s="3">
        <v>1</v>
      </c>
      <c r="J507" s="29" t="str">
        <f t="shared" si="64"/>
        <v>0</v>
      </c>
      <c r="K507" s="54" t="str">
        <f t="shared" si="65"/>
        <v>1</v>
      </c>
      <c r="L507" s="69" t="str">
        <f t="shared" si="73"/>
        <v>0</v>
      </c>
      <c r="M507" s="74" t="str">
        <f t="shared" si="67"/>
        <v>1</v>
      </c>
      <c r="N507" s="29" t="str">
        <f t="shared" si="68"/>
        <v>0</v>
      </c>
      <c r="O507" s="61" t="str">
        <f t="shared" ca="1" si="71"/>
        <v>1</v>
      </c>
      <c r="P507" s="65" t="str">
        <f t="shared" si="72"/>
        <v>0</v>
      </c>
      <c r="Q507" s="46">
        <f t="shared" ca="1" si="69"/>
        <v>3</v>
      </c>
      <c r="R507" s="83" t="str">
        <f t="shared" ca="1" si="70"/>
        <v>ผ่าน</v>
      </c>
      <c r="S507" s="3" t="s">
        <v>28</v>
      </c>
    </row>
    <row r="508" spans="1:19" ht="24">
      <c r="A508" s="3">
        <v>507</v>
      </c>
      <c r="B508" s="105">
        <v>6610073104</v>
      </c>
      <c r="C508" s="4" t="s">
        <v>22</v>
      </c>
      <c r="D508" s="4" t="s">
        <v>1343</v>
      </c>
      <c r="E508" s="4" t="s">
        <v>1344</v>
      </c>
      <c r="F508" s="4" t="s">
        <v>704</v>
      </c>
      <c r="G508" s="4" t="s">
        <v>1334</v>
      </c>
      <c r="H508" s="4" t="s">
        <v>1340</v>
      </c>
      <c r="I508" s="3">
        <v>1</v>
      </c>
      <c r="J508" s="29" t="str">
        <f t="shared" si="64"/>
        <v>0</v>
      </c>
      <c r="K508" s="54" t="str">
        <f t="shared" si="65"/>
        <v>1</v>
      </c>
      <c r="L508" s="69" t="str">
        <f t="shared" si="73"/>
        <v>0</v>
      </c>
      <c r="M508" s="74" t="str">
        <f t="shared" si="67"/>
        <v>1</v>
      </c>
      <c r="N508" s="29" t="str">
        <f t="shared" si="68"/>
        <v>0</v>
      </c>
      <c r="O508" s="61" t="str">
        <f t="shared" ca="1" si="71"/>
        <v>1</v>
      </c>
      <c r="P508" s="65" t="str">
        <f t="shared" si="72"/>
        <v>1</v>
      </c>
      <c r="Q508" s="46">
        <f t="shared" ca="1" si="69"/>
        <v>4</v>
      </c>
      <c r="R508" s="83" t="str">
        <f t="shared" ca="1" si="70"/>
        <v>ผ่าน</v>
      </c>
      <c r="S508" s="3" t="s">
        <v>28</v>
      </c>
    </row>
    <row r="509" spans="1:19" ht="24">
      <c r="A509" s="3">
        <v>508</v>
      </c>
      <c r="B509" s="105">
        <v>6610073105</v>
      </c>
      <c r="C509" s="4" t="s">
        <v>22</v>
      </c>
      <c r="D509" s="4" t="s">
        <v>1345</v>
      </c>
      <c r="E509" s="4" t="s">
        <v>1346</v>
      </c>
      <c r="F509" s="4" t="s">
        <v>687</v>
      </c>
      <c r="G509" s="4" t="s">
        <v>1334</v>
      </c>
      <c r="H509" s="4" t="s">
        <v>1340</v>
      </c>
      <c r="I509" s="3">
        <v>1</v>
      </c>
      <c r="J509" s="29" t="str">
        <f t="shared" si="64"/>
        <v>0</v>
      </c>
      <c r="K509" s="54" t="str">
        <f t="shared" si="65"/>
        <v>1</v>
      </c>
      <c r="L509" s="69" t="str">
        <f t="shared" si="73"/>
        <v>0</v>
      </c>
      <c r="M509" s="74" t="str">
        <f t="shared" si="67"/>
        <v>1</v>
      </c>
      <c r="N509" s="29" t="str">
        <f t="shared" si="68"/>
        <v>0</v>
      </c>
      <c r="O509" s="61" t="str">
        <f t="shared" ca="1" si="71"/>
        <v>1</v>
      </c>
      <c r="P509" s="65" t="str">
        <f t="shared" si="72"/>
        <v>1</v>
      </c>
      <c r="Q509" s="46">
        <f t="shared" ca="1" si="69"/>
        <v>4</v>
      </c>
      <c r="R509" s="83" t="str">
        <f t="shared" ca="1" si="70"/>
        <v>ผ่าน</v>
      </c>
      <c r="S509" s="3" t="s">
        <v>28</v>
      </c>
    </row>
    <row r="510" spans="1:19" ht="24">
      <c r="A510" s="3">
        <v>509</v>
      </c>
      <c r="B510" s="105">
        <v>6610073106</v>
      </c>
      <c r="C510" s="4" t="s">
        <v>22</v>
      </c>
      <c r="D510" s="4" t="s">
        <v>1347</v>
      </c>
      <c r="E510" s="4" t="s">
        <v>895</v>
      </c>
      <c r="F510" s="4" t="s">
        <v>1348</v>
      </c>
      <c r="G510" s="4" t="s">
        <v>1334</v>
      </c>
      <c r="H510" s="4" t="s">
        <v>1340</v>
      </c>
      <c r="I510" s="3">
        <v>1</v>
      </c>
      <c r="J510" s="29" t="str">
        <f t="shared" si="64"/>
        <v>0</v>
      </c>
      <c r="K510" s="54" t="str">
        <f t="shared" si="65"/>
        <v>1</v>
      </c>
      <c r="L510" s="69" t="str">
        <f t="shared" si="73"/>
        <v>0</v>
      </c>
      <c r="M510" s="74" t="str">
        <f t="shared" si="67"/>
        <v>1</v>
      </c>
      <c r="N510" s="29" t="str">
        <f t="shared" si="68"/>
        <v>0</v>
      </c>
      <c r="O510" s="61" t="str">
        <f t="shared" ca="1" si="71"/>
        <v>0</v>
      </c>
      <c r="P510" s="65" t="str">
        <f t="shared" si="72"/>
        <v>0</v>
      </c>
      <c r="Q510" s="46">
        <f t="shared" ca="1" si="69"/>
        <v>2</v>
      </c>
      <c r="R510" s="3" t="str">
        <f t="shared" ca="1" si="70"/>
        <v>ไม่ผ่าน</v>
      </c>
      <c r="S510" s="3" t="s">
        <v>28</v>
      </c>
    </row>
    <row r="511" spans="1:19" ht="24">
      <c r="A511" s="3">
        <v>510</v>
      </c>
      <c r="B511" s="105">
        <v>6610073107</v>
      </c>
      <c r="C511" s="4" t="s">
        <v>22</v>
      </c>
      <c r="D511" s="4" t="s">
        <v>676</v>
      </c>
      <c r="E511" s="4" t="s">
        <v>1174</v>
      </c>
      <c r="F511" s="4" t="s">
        <v>725</v>
      </c>
      <c r="G511" s="4" t="s">
        <v>1334</v>
      </c>
      <c r="H511" s="4" t="s">
        <v>1340</v>
      </c>
      <c r="I511" s="3">
        <v>1</v>
      </c>
      <c r="J511" s="29" t="str">
        <f t="shared" si="64"/>
        <v>0</v>
      </c>
      <c r="K511" s="54" t="str">
        <f t="shared" si="65"/>
        <v>1</v>
      </c>
      <c r="L511" s="69" t="str">
        <f t="shared" si="73"/>
        <v>0</v>
      </c>
      <c r="M511" s="74" t="str">
        <f t="shared" si="67"/>
        <v>1</v>
      </c>
      <c r="N511" s="29" t="str">
        <f t="shared" si="68"/>
        <v>0</v>
      </c>
      <c r="O511" s="61" t="str">
        <f t="shared" ca="1" si="71"/>
        <v>0</v>
      </c>
      <c r="P511" s="65" t="str">
        <f t="shared" si="72"/>
        <v>0</v>
      </c>
      <c r="Q511" s="46">
        <f t="shared" ca="1" si="69"/>
        <v>2</v>
      </c>
      <c r="R511" s="3" t="str">
        <f t="shared" ca="1" si="70"/>
        <v>ไม่ผ่าน</v>
      </c>
      <c r="S511" s="3" t="s">
        <v>28</v>
      </c>
    </row>
    <row r="512" spans="1:19" ht="24">
      <c r="A512" s="3">
        <v>511</v>
      </c>
      <c r="B512" s="105">
        <v>6610073108</v>
      </c>
      <c r="C512" s="4" t="s">
        <v>22</v>
      </c>
      <c r="D512" s="4" t="s">
        <v>1349</v>
      </c>
      <c r="E512" s="4" t="s">
        <v>1350</v>
      </c>
      <c r="F512" s="4" t="s">
        <v>1351</v>
      </c>
      <c r="G512" s="4" t="s">
        <v>1334</v>
      </c>
      <c r="H512" s="4" t="s">
        <v>1340</v>
      </c>
      <c r="I512" s="3">
        <v>1</v>
      </c>
      <c r="J512" s="29" t="str">
        <f t="shared" si="64"/>
        <v>0</v>
      </c>
      <c r="K512" s="54" t="str">
        <f t="shared" si="65"/>
        <v>1</v>
      </c>
      <c r="L512" s="69" t="str">
        <f t="shared" si="73"/>
        <v>0</v>
      </c>
      <c r="M512" s="74" t="str">
        <f t="shared" si="67"/>
        <v>1</v>
      </c>
      <c r="N512" s="29" t="str">
        <f t="shared" si="68"/>
        <v>0</v>
      </c>
      <c r="O512" s="61" t="str">
        <f t="shared" ca="1" si="71"/>
        <v>0</v>
      </c>
      <c r="P512" s="65" t="str">
        <f t="shared" si="72"/>
        <v>0</v>
      </c>
      <c r="Q512" s="46">
        <f t="shared" ca="1" si="69"/>
        <v>2</v>
      </c>
      <c r="R512" s="3" t="str">
        <f t="shared" ca="1" si="70"/>
        <v>ไม่ผ่าน</v>
      </c>
      <c r="S512" s="3" t="s">
        <v>28</v>
      </c>
    </row>
    <row r="513" spans="1:19" ht="24">
      <c r="A513" s="3">
        <v>512</v>
      </c>
      <c r="B513" s="105">
        <v>6610073109</v>
      </c>
      <c r="C513" s="4" t="s">
        <v>22</v>
      </c>
      <c r="D513" s="4" t="s">
        <v>1352</v>
      </c>
      <c r="E513" s="4" t="s">
        <v>1353</v>
      </c>
      <c r="F513" s="4" t="s">
        <v>704</v>
      </c>
      <c r="G513" s="4" t="s">
        <v>1334</v>
      </c>
      <c r="H513" s="4" t="s">
        <v>1340</v>
      </c>
      <c r="I513" s="3">
        <v>1</v>
      </c>
      <c r="J513" s="29" t="str">
        <f t="shared" si="64"/>
        <v>0</v>
      </c>
      <c r="K513" s="54" t="str">
        <f t="shared" si="65"/>
        <v>1</v>
      </c>
      <c r="L513" s="69" t="str">
        <f t="shared" si="73"/>
        <v>0</v>
      </c>
      <c r="M513" s="74" t="str">
        <f t="shared" si="67"/>
        <v>1</v>
      </c>
      <c r="N513" s="29" t="str">
        <f t="shared" si="68"/>
        <v>0</v>
      </c>
      <c r="O513" s="61" t="str">
        <f t="shared" ca="1" si="71"/>
        <v>1</v>
      </c>
      <c r="P513" s="65" t="str">
        <f t="shared" si="72"/>
        <v>1</v>
      </c>
      <c r="Q513" s="46">
        <f t="shared" ca="1" si="69"/>
        <v>4</v>
      </c>
      <c r="R513" s="83" t="str">
        <f t="shared" ca="1" si="70"/>
        <v>ผ่าน</v>
      </c>
      <c r="S513" s="3" t="s">
        <v>28</v>
      </c>
    </row>
    <row r="514" spans="1:19" ht="24">
      <c r="A514" s="3">
        <v>513</v>
      </c>
      <c r="B514" s="105">
        <v>6610073113</v>
      </c>
      <c r="C514" s="4" t="s">
        <v>29</v>
      </c>
      <c r="D514" s="4" t="s">
        <v>1354</v>
      </c>
      <c r="E514" s="4" t="s">
        <v>1355</v>
      </c>
      <c r="F514" s="4" t="s">
        <v>1356</v>
      </c>
      <c r="G514" s="4" t="s">
        <v>1334</v>
      </c>
      <c r="H514" s="4" t="s">
        <v>1340</v>
      </c>
      <c r="I514" s="3">
        <v>1</v>
      </c>
      <c r="J514" s="29" t="str">
        <f t="shared" ref="J514:J577" si="74">IF(IFERROR(VLOOKUP(B514,DATA,1,FALSE),),"1","0")</f>
        <v>0</v>
      </c>
      <c r="K514" s="54" t="str">
        <f t="shared" ref="K514:K577" si="75">IF(IFERROR(VLOOKUP(B514,DATA8,1,FALSE),),"1","0")</f>
        <v>1</v>
      </c>
      <c r="L514" s="69" t="str">
        <f t="shared" si="73"/>
        <v>0</v>
      </c>
      <c r="M514" s="74" t="str">
        <f t="shared" ref="M514:M577" si="76">IF(IFERROR(VLOOKUP(B514,DATA9,1,FALSE),),"1","0")</f>
        <v>1</v>
      </c>
      <c r="N514" s="29" t="str">
        <f t="shared" ref="N514:N577" si="77">IF(IFERROR(VLOOKUP(B514,DATA10,1,FALSE),),"1","0")</f>
        <v>0</v>
      </c>
      <c r="O514" s="61" t="str">
        <f t="shared" ca="1" si="71"/>
        <v>1</v>
      </c>
      <c r="P514" s="65" t="str">
        <f t="shared" si="72"/>
        <v>1</v>
      </c>
      <c r="Q514" s="46">
        <f t="shared" ca="1" si="69"/>
        <v>4</v>
      </c>
      <c r="R514" s="83" t="str">
        <f t="shared" ca="1" si="70"/>
        <v>ผ่าน</v>
      </c>
      <c r="S514" s="3" t="s">
        <v>28</v>
      </c>
    </row>
    <row r="515" spans="1:19" ht="24">
      <c r="A515" s="3">
        <v>514</v>
      </c>
      <c r="B515" s="105">
        <v>6610073114</v>
      </c>
      <c r="C515" s="4" t="s">
        <v>29</v>
      </c>
      <c r="D515" s="4" t="s">
        <v>1357</v>
      </c>
      <c r="E515" s="4" t="s">
        <v>1358</v>
      </c>
      <c r="F515" s="4" t="s">
        <v>1359</v>
      </c>
      <c r="G515" s="4" t="s">
        <v>1334</v>
      </c>
      <c r="H515" s="4" t="s">
        <v>1340</v>
      </c>
      <c r="I515" s="3">
        <v>1</v>
      </c>
      <c r="J515" s="29" t="str">
        <f t="shared" si="74"/>
        <v>0</v>
      </c>
      <c r="K515" s="54" t="str">
        <f t="shared" si="75"/>
        <v>1</v>
      </c>
      <c r="L515" s="69" t="str">
        <f t="shared" si="73"/>
        <v>0</v>
      </c>
      <c r="M515" s="74" t="str">
        <f t="shared" si="76"/>
        <v>1</v>
      </c>
      <c r="N515" s="29" t="str">
        <f t="shared" si="77"/>
        <v>0</v>
      </c>
      <c r="O515" s="61" t="str">
        <f t="shared" ca="1" si="71"/>
        <v>1</v>
      </c>
      <c r="P515" s="65" t="str">
        <f t="shared" si="72"/>
        <v>1</v>
      </c>
      <c r="Q515" s="46">
        <f t="shared" ref="Q515:Q578" ca="1" si="78">J515+K515+L515+M515+N515+O515+P515</f>
        <v>4</v>
      </c>
      <c r="R515" s="83" t="str">
        <f t="shared" ref="R515:R578" ca="1" si="79">IF(Q515&gt;=3,"ผ่าน",IF(Q515&lt;3,"ไม่ผ่าน"))</f>
        <v>ผ่าน</v>
      </c>
      <c r="S515" s="3" t="s">
        <v>28</v>
      </c>
    </row>
    <row r="516" spans="1:19" ht="24">
      <c r="A516" s="3">
        <v>515</v>
      </c>
      <c r="B516" s="105">
        <v>6610073115</v>
      </c>
      <c r="C516" s="4" t="s">
        <v>29</v>
      </c>
      <c r="D516" s="4" t="s">
        <v>1360</v>
      </c>
      <c r="E516" s="4" t="s">
        <v>1361</v>
      </c>
      <c r="F516" s="4" t="s">
        <v>1272</v>
      </c>
      <c r="G516" s="4" t="s">
        <v>1334</v>
      </c>
      <c r="H516" s="4" t="s">
        <v>1340</v>
      </c>
      <c r="I516" s="3">
        <v>1</v>
      </c>
      <c r="J516" s="29" t="str">
        <f t="shared" si="74"/>
        <v>0</v>
      </c>
      <c r="K516" s="54" t="str">
        <f t="shared" si="75"/>
        <v>1</v>
      </c>
      <c r="L516" s="69" t="str">
        <f t="shared" si="73"/>
        <v>0</v>
      </c>
      <c r="M516" s="74" t="str">
        <f t="shared" si="76"/>
        <v>1</v>
      </c>
      <c r="N516" s="29" t="str">
        <f t="shared" si="77"/>
        <v>0</v>
      </c>
      <c r="O516" s="61" t="str">
        <f t="shared" ca="1" si="71"/>
        <v>1</v>
      </c>
      <c r="P516" s="65" t="str">
        <f t="shared" si="72"/>
        <v>1</v>
      </c>
      <c r="Q516" s="46">
        <f t="shared" ca="1" si="78"/>
        <v>4</v>
      </c>
      <c r="R516" s="83" t="str">
        <f t="shared" ca="1" si="79"/>
        <v>ผ่าน</v>
      </c>
      <c r="S516" s="3" t="s">
        <v>28</v>
      </c>
    </row>
    <row r="517" spans="1:19" ht="24">
      <c r="A517" s="3">
        <v>516</v>
      </c>
      <c r="B517" s="105">
        <v>6610073116</v>
      </c>
      <c r="C517" s="4" t="s">
        <v>29</v>
      </c>
      <c r="D517" s="4" t="s">
        <v>1212</v>
      </c>
      <c r="E517" s="4" t="s">
        <v>1362</v>
      </c>
      <c r="F517" s="4" t="s">
        <v>869</v>
      </c>
      <c r="G517" s="4" t="s">
        <v>1334</v>
      </c>
      <c r="H517" s="4" t="s">
        <v>1340</v>
      </c>
      <c r="I517" s="3">
        <v>1</v>
      </c>
      <c r="J517" s="29" t="str">
        <f t="shared" si="74"/>
        <v>0</v>
      </c>
      <c r="K517" s="54" t="str">
        <f t="shared" si="75"/>
        <v>1</v>
      </c>
      <c r="L517" s="69" t="str">
        <f t="shared" si="73"/>
        <v>0</v>
      </c>
      <c r="M517" s="74" t="str">
        <f t="shared" si="76"/>
        <v>0</v>
      </c>
      <c r="N517" s="29" t="str">
        <f t="shared" si="77"/>
        <v>0</v>
      </c>
      <c r="O517" s="61" t="str">
        <f t="shared" ca="1" si="71"/>
        <v>0</v>
      </c>
      <c r="P517" s="65" t="str">
        <f t="shared" si="72"/>
        <v>0</v>
      </c>
      <c r="Q517" s="46">
        <f t="shared" ca="1" si="78"/>
        <v>1</v>
      </c>
      <c r="R517" s="3" t="str">
        <f t="shared" ca="1" si="79"/>
        <v>ไม่ผ่าน</v>
      </c>
      <c r="S517" s="3" t="s">
        <v>28</v>
      </c>
    </row>
    <row r="518" spans="1:19" ht="24">
      <c r="A518" s="3">
        <v>517</v>
      </c>
      <c r="B518" s="105">
        <v>6610073117</v>
      </c>
      <c r="C518" s="4" t="s">
        <v>22</v>
      </c>
      <c r="D518" s="4" t="s">
        <v>1363</v>
      </c>
      <c r="E518" s="4" t="s">
        <v>1364</v>
      </c>
      <c r="F518" s="4" t="s">
        <v>1365</v>
      </c>
      <c r="G518" s="4" t="s">
        <v>1334</v>
      </c>
      <c r="H518" s="4" t="s">
        <v>1340</v>
      </c>
      <c r="I518" s="3">
        <v>1</v>
      </c>
      <c r="J518" s="29" t="str">
        <f t="shared" si="74"/>
        <v>0</v>
      </c>
      <c r="K518" s="54" t="str">
        <f t="shared" si="75"/>
        <v>1</v>
      </c>
      <c r="L518" s="69" t="str">
        <f t="shared" si="73"/>
        <v>0</v>
      </c>
      <c r="M518" s="74" t="str">
        <f t="shared" si="76"/>
        <v>1</v>
      </c>
      <c r="N518" s="29" t="str">
        <f t="shared" si="77"/>
        <v>0</v>
      </c>
      <c r="O518" s="61" t="str">
        <f t="shared" ca="1" si="71"/>
        <v>0</v>
      </c>
      <c r="P518" s="65" t="str">
        <f t="shared" si="72"/>
        <v>0</v>
      </c>
      <c r="Q518" s="46">
        <f t="shared" ca="1" si="78"/>
        <v>2</v>
      </c>
      <c r="R518" s="3" t="str">
        <f t="shared" ca="1" si="79"/>
        <v>ไม่ผ่าน</v>
      </c>
      <c r="S518" s="3" t="s">
        <v>28</v>
      </c>
    </row>
    <row r="519" spans="1:19" ht="24">
      <c r="A519" s="3">
        <v>518</v>
      </c>
      <c r="B519" s="105">
        <v>6610073118</v>
      </c>
      <c r="C519" s="4" t="s">
        <v>29</v>
      </c>
      <c r="D519" s="4" t="s">
        <v>1366</v>
      </c>
      <c r="E519" s="4" t="s">
        <v>1367</v>
      </c>
      <c r="F519" s="4" t="s">
        <v>104</v>
      </c>
      <c r="G519" s="4" t="s">
        <v>1334</v>
      </c>
      <c r="H519" s="4" t="s">
        <v>1340</v>
      </c>
      <c r="I519" s="3">
        <v>1</v>
      </c>
      <c r="J519" s="29" t="str">
        <f t="shared" si="74"/>
        <v>0</v>
      </c>
      <c r="K519" s="54" t="str">
        <f t="shared" si="75"/>
        <v>1</v>
      </c>
      <c r="L519" s="69" t="str">
        <f t="shared" si="73"/>
        <v>0</v>
      </c>
      <c r="M519" s="74" t="str">
        <f t="shared" si="76"/>
        <v>0</v>
      </c>
      <c r="N519" s="29" t="str">
        <f t="shared" si="77"/>
        <v>0</v>
      </c>
      <c r="O519" s="61" t="str">
        <f t="shared" ca="1" si="71"/>
        <v>1</v>
      </c>
      <c r="P519" s="65" t="str">
        <f t="shared" si="72"/>
        <v>1</v>
      </c>
      <c r="Q519" s="46">
        <f t="shared" ca="1" si="78"/>
        <v>3</v>
      </c>
      <c r="R519" s="83" t="str">
        <f t="shared" ca="1" si="79"/>
        <v>ผ่าน</v>
      </c>
      <c r="S519" s="3" t="s">
        <v>28</v>
      </c>
    </row>
    <row r="520" spans="1:19" ht="24">
      <c r="A520" s="3">
        <v>519</v>
      </c>
      <c r="B520" s="105">
        <v>6410073101</v>
      </c>
      <c r="C520" s="4" t="s">
        <v>22</v>
      </c>
      <c r="D520" s="4" t="s">
        <v>1368</v>
      </c>
      <c r="E520" s="4" t="s">
        <v>1369</v>
      </c>
      <c r="F520" s="4" t="s">
        <v>107</v>
      </c>
      <c r="G520" s="4" t="s">
        <v>1334</v>
      </c>
      <c r="H520" s="4" t="s">
        <v>1340</v>
      </c>
      <c r="I520" s="3">
        <v>3</v>
      </c>
      <c r="J520" s="29" t="str">
        <f t="shared" si="74"/>
        <v>1</v>
      </c>
      <c r="K520" s="54">
        <v>1</v>
      </c>
      <c r="L520" s="69" t="str">
        <f t="shared" si="73"/>
        <v>0</v>
      </c>
      <c r="M520" s="74" t="str">
        <f t="shared" si="76"/>
        <v>1</v>
      </c>
      <c r="N520" s="29" t="str">
        <f t="shared" si="77"/>
        <v>0</v>
      </c>
      <c r="O520" s="61" t="str">
        <f t="shared" ca="1" si="71"/>
        <v>1</v>
      </c>
      <c r="P520" s="65" t="str">
        <f t="shared" si="72"/>
        <v>1</v>
      </c>
      <c r="Q520" s="46">
        <f t="shared" ca="1" si="78"/>
        <v>5</v>
      </c>
      <c r="R520" s="83" t="str">
        <f t="shared" ca="1" si="79"/>
        <v>ผ่าน</v>
      </c>
      <c r="S520" s="3" t="s">
        <v>28</v>
      </c>
    </row>
    <row r="521" spans="1:19" ht="24">
      <c r="A521" s="3">
        <v>520</v>
      </c>
      <c r="B521" s="105">
        <v>6410073104</v>
      </c>
      <c r="C521" s="4" t="s">
        <v>22</v>
      </c>
      <c r="D521" s="4" t="s">
        <v>1370</v>
      </c>
      <c r="E521" s="4" t="s">
        <v>1230</v>
      </c>
      <c r="F521" s="4" t="s">
        <v>764</v>
      </c>
      <c r="G521" s="4" t="s">
        <v>1334</v>
      </c>
      <c r="H521" s="4" t="s">
        <v>1340</v>
      </c>
      <c r="I521" s="3">
        <v>3</v>
      </c>
      <c r="J521" s="29" t="str">
        <f t="shared" si="74"/>
        <v>0</v>
      </c>
      <c r="K521" s="54">
        <v>1</v>
      </c>
      <c r="L521" s="69" t="str">
        <f t="shared" si="73"/>
        <v>0</v>
      </c>
      <c r="M521" s="74" t="str">
        <f t="shared" si="76"/>
        <v>1</v>
      </c>
      <c r="N521" s="29" t="str">
        <f t="shared" si="77"/>
        <v>0</v>
      </c>
      <c r="O521" s="61" t="str">
        <f t="shared" ref="O521:O584" ca="1" si="80">IF(IFERROR(VLOOKUP(B521,DATA11,1,FALSE),),"1","0")</f>
        <v>1</v>
      </c>
      <c r="P521" s="65" t="str">
        <f t="shared" ref="P521:P584" si="81">IF(IFERROR(VLOOKUP(B521,DATA12,1,FALSE),),"1","0")</f>
        <v>1</v>
      </c>
      <c r="Q521" s="46">
        <f t="shared" ca="1" si="78"/>
        <v>4</v>
      </c>
      <c r="R521" s="83" t="str">
        <f t="shared" ca="1" si="79"/>
        <v>ผ่าน</v>
      </c>
      <c r="S521" s="3" t="s">
        <v>28</v>
      </c>
    </row>
    <row r="522" spans="1:19" ht="24">
      <c r="A522" s="3">
        <v>521</v>
      </c>
      <c r="B522" s="105">
        <v>6410073106</v>
      </c>
      <c r="C522" s="4" t="s">
        <v>22</v>
      </c>
      <c r="D522" s="4" t="s">
        <v>1371</v>
      </c>
      <c r="E522" s="4" t="s">
        <v>1372</v>
      </c>
      <c r="F522" s="4" t="s">
        <v>543</v>
      </c>
      <c r="G522" s="4" t="s">
        <v>1334</v>
      </c>
      <c r="H522" s="4" t="s">
        <v>1340</v>
      </c>
      <c r="I522" s="3">
        <v>3</v>
      </c>
      <c r="J522" s="29" t="str">
        <f t="shared" si="74"/>
        <v>1</v>
      </c>
      <c r="K522" s="54" t="str">
        <f t="shared" si="75"/>
        <v>0</v>
      </c>
      <c r="L522" s="69" t="str">
        <f t="shared" si="73"/>
        <v>0</v>
      </c>
      <c r="M522" s="74" t="str">
        <f t="shared" si="76"/>
        <v>1</v>
      </c>
      <c r="N522" s="29" t="str">
        <f t="shared" si="77"/>
        <v>0</v>
      </c>
      <c r="O522" s="61" t="str">
        <f t="shared" ca="1" si="80"/>
        <v>0</v>
      </c>
      <c r="P522" s="65" t="str">
        <f t="shared" si="81"/>
        <v>0</v>
      </c>
      <c r="Q522" s="46">
        <f t="shared" ca="1" si="78"/>
        <v>2</v>
      </c>
      <c r="R522" s="3" t="str">
        <f t="shared" ca="1" si="79"/>
        <v>ไม่ผ่าน</v>
      </c>
      <c r="S522" s="3" t="s">
        <v>28</v>
      </c>
    </row>
    <row r="523" spans="1:19" ht="24">
      <c r="A523" s="3">
        <v>522</v>
      </c>
      <c r="B523" s="105">
        <v>6410073107</v>
      </c>
      <c r="C523" s="4" t="s">
        <v>22</v>
      </c>
      <c r="D523" s="4" t="s">
        <v>667</v>
      </c>
      <c r="E523" s="4" t="s">
        <v>1373</v>
      </c>
      <c r="F523" s="4" t="s">
        <v>1374</v>
      </c>
      <c r="G523" s="4" t="s">
        <v>1334</v>
      </c>
      <c r="H523" s="4" t="s">
        <v>1340</v>
      </c>
      <c r="I523" s="3">
        <v>3</v>
      </c>
      <c r="J523" s="29" t="str">
        <f t="shared" si="74"/>
        <v>1</v>
      </c>
      <c r="K523" s="54">
        <v>1</v>
      </c>
      <c r="L523" s="69" t="str">
        <f t="shared" si="73"/>
        <v>0</v>
      </c>
      <c r="M523" s="74" t="str">
        <f t="shared" si="76"/>
        <v>1</v>
      </c>
      <c r="N523" s="29" t="str">
        <f t="shared" si="77"/>
        <v>0</v>
      </c>
      <c r="O523" s="61" t="str">
        <f t="shared" ca="1" si="80"/>
        <v>1</v>
      </c>
      <c r="P523" s="65" t="str">
        <f t="shared" si="81"/>
        <v>0</v>
      </c>
      <c r="Q523" s="46">
        <f t="shared" ca="1" si="78"/>
        <v>4</v>
      </c>
      <c r="R523" s="83" t="str">
        <f t="shared" ca="1" si="79"/>
        <v>ผ่าน</v>
      </c>
      <c r="S523" s="3" t="s">
        <v>28</v>
      </c>
    </row>
    <row r="524" spans="1:19" ht="24">
      <c r="A524" s="3">
        <v>523</v>
      </c>
      <c r="B524" s="105">
        <v>6410073108</v>
      </c>
      <c r="C524" s="4" t="s">
        <v>22</v>
      </c>
      <c r="D524" s="4" t="s">
        <v>1375</v>
      </c>
      <c r="E524" s="4" t="s">
        <v>1376</v>
      </c>
      <c r="F524" s="4" t="s">
        <v>1377</v>
      </c>
      <c r="G524" s="4" t="s">
        <v>1334</v>
      </c>
      <c r="H524" s="4" t="s">
        <v>1340</v>
      </c>
      <c r="I524" s="3">
        <v>3</v>
      </c>
      <c r="J524" s="29" t="str">
        <f t="shared" si="74"/>
        <v>1</v>
      </c>
      <c r="K524" s="54">
        <v>1</v>
      </c>
      <c r="L524" s="69" t="str">
        <f t="shared" si="73"/>
        <v>0</v>
      </c>
      <c r="M524" s="74" t="str">
        <f t="shared" si="76"/>
        <v>1</v>
      </c>
      <c r="N524" s="29" t="str">
        <f t="shared" si="77"/>
        <v>0</v>
      </c>
      <c r="O524" s="61" t="str">
        <f t="shared" ca="1" si="80"/>
        <v>1</v>
      </c>
      <c r="P524" s="65" t="str">
        <f t="shared" si="81"/>
        <v>1</v>
      </c>
      <c r="Q524" s="46">
        <f t="shared" ca="1" si="78"/>
        <v>5</v>
      </c>
      <c r="R524" s="83" t="str">
        <f t="shared" ca="1" si="79"/>
        <v>ผ่าน</v>
      </c>
      <c r="S524" s="3" t="s">
        <v>28</v>
      </c>
    </row>
    <row r="525" spans="1:19" ht="24">
      <c r="A525" s="3">
        <v>524</v>
      </c>
      <c r="B525" s="105">
        <v>6410073109</v>
      </c>
      <c r="C525" s="4" t="s">
        <v>22</v>
      </c>
      <c r="D525" s="4" t="s">
        <v>1378</v>
      </c>
      <c r="E525" s="4" t="s">
        <v>94</v>
      </c>
      <c r="F525" s="4" t="s">
        <v>486</v>
      </c>
      <c r="G525" s="4" t="s">
        <v>1334</v>
      </c>
      <c r="H525" s="4" t="s">
        <v>1340</v>
      </c>
      <c r="I525" s="3">
        <v>3</v>
      </c>
      <c r="J525" s="29" t="str">
        <f t="shared" si="74"/>
        <v>1</v>
      </c>
      <c r="K525" s="54">
        <v>1</v>
      </c>
      <c r="L525" s="69" t="str">
        <f t="shared" si="73"/>
        <v>0</v>
      </c>
      <c r="M525" s="74" t="str">
        <f t="shared" si="76"/>
        <v>1</v>
      </c>
      <c r="N525" s="29" t="str">
        <f t="shared" si="77"/>
        <v>0</v>
      </c>
      <c r="O525" s="61" t="str">
        <f t="shared" ca="1" si="80"/>
        <v>1</v>
      </c>
      <c r="P525" s="65" t="str">
        <f t="shared" si="81"/>
        <v>1</v>
      </c>
      <c r="Q525" s="46">
        <f t="shared" ca="1" si="78"/>
        <v>5</v>
      </c>
      <c r="R525" s="83" t="str">
        <f t="shared" ca="1" si="79"/>
        <v>ผ่าน</v>
      </c>
      <c r="S525" s="3" t="s">
        <v>28</v>
      </c>
    </row>
    <row r="526" spans="1:19" ht="24">
      <c r="A526" s="3">
        <v>525</v>
      </c>
      <c r="B526" s="105">
        <v>6410073112</v>
      </c>
      <c r="C526" s="4" t="s">
        <v>22</v>
      </c>
      <c r="D526" s="4" t="s">
        <v>1379</v>
      </c>
      <c r="E526" s="4" t="s">
        <v>1380</v>
      </c>
      <c r="F526" s="4" t="s">
        <v>1381</v>
      </c>
      <c r="G526" s="4" t="s">
        <v>1334</v>
      </c>
      <c r="H526" s="4" t="s">
        <v>1340</v>
      </c>
      <c r="I526" s="3">
        <v>3</v>
      </c>
      <c r="J526" s="29" t="str">
        <f t="shared" si="74"/>
        <v>1</v>
      </c>
      <c r="K526" s="54">
        <v>1</v>
      </c>
      <c r="L526" s="69" t="str">
        <f t="shared" si="73"/>
        <v>0</v>
      </c>
      <c r="M526" s="74" t="str">
        <f t="shared" si="76"/>
        <v>1</v>
      </c>
      <c r="N526" s="29" t="str">
        <f t="shared" si="77"/>
        <v>0</v>
      </c>
      <c r="O526" s="61" t="str">
        <f t="shared" ca="1" si="80"/>
        <v>0</v>
      </c>
      <c r="P526" s="65" t="str">
        <f t="shared" si="81"/>
        <v>1</v>
      </c>
      <c r="Q526" s="46">
        <f t="shared" ca="1" si="78"/>
        <v>4</v>
      </c>
      <c r="R526" s="83" t="str">
        <f t="shared" ca="1" si="79"/>
        <v>ผ่าน</v>
      </c>
      <c r="S526" s="3" t="s">
        <v>28</v>
      </c>
    </row>
    <row r="527" spans="1:19" ht="24">
      <c r="A527" s="3">
        <v>526</v>
      </c>
      <c r="B527" s="105">
        <v>6410073113</v>
      </c>
      <c r="C527" s="4" t="s">
        <v>22</v>
      </c>
      <c r="D527" s="4" t="s">
        <v>280</v>
      </c>
      <c r="E527" s="4" t="s">
        <v>1382</v>
      </c>
      <c r="F527" s="4" t="s">
        <v>1383</v>
      </c>
      <c r="G527" s="4" t="s">
        <v>1334</v>
      </c>
      <c r="H527" s="4" t="s">
        <v>1340</v>
      </c>
      <c r="I527" s="3">
        <v>3</v>
      </c>
      <c r="J527" s="29" t="str">
        <f t="shared" si="74"/>
        <v>1</v>
      </c>
      <c r="K527" s="54">
        <v>1</v>
      </c>
      <c r="L527" s="69" t="str">
        <f t="shared" si="73"/>
        <v>0</v>
      </c>
      <c r="M527" s="74" t="str">
        <f t="shared" si="76"/>
        <v>1</v>
      </c>
      <c r="N527" s="29" t="str">
        <f t="shared" si="77"/>
        <v>0</v>
      </c>
      <c r="O527" s="61" t="str">
        <f t="shared" ca="1" si="80"/>
        <v>1</v>
      </c>
      <c r="P527" s="65" t="str">
        <f t="shared" si="81"/>
        <v>1</v>
      </c>
      <c r="Q527" s="46">
        <f t="shared" ca="1" si="78"/>
        <v>5</v>
      </c>
      <c r="R527" s="83" t="str">
        <f t="shared" ca="1" si="79"/>
        <v>ผ่าน</v>
      </c>
      <c r="S527" s="3" t="s">
        <v>28</v>
      </c>
    </row>
    <row r="528" spans="1:19" ht="24">
      <c r="A528" s="3">
        <v>527</v>
      </c>
      <c r="B528" s="105">
        <v>6410073114</v>
      </c>
      <c r="C528" s="4" t="s">
        <v>29</v>
      </c>
      <c r="D528" s="4" t="s">
        <v>1384</v>
      </c>
      <c r="E528" s="4" t="s">
        <v>1385</v>
      </c>
      <c r="F528" s="4" t="s">
        <v>1386</v>
      </c>
      <c r="G528" s="4" t="s">
        <v>1334</v>
      </c>
      <c r="H528" s="4" t="s">
        <v>1340</v>
      </c>
      <c r="I528" s="3">
        <v>3</v>
      </c>
      <c r="J528" s="29" t="str">
        <f t="shared" si="74"/>
        <v>1</v>
      </c>
      <c r="K528" s="54">
        <v>1</v>
      </c>
      <c r="L528" s="69" t="str">
        <f t="shared" ref="L528:L591" si="82">IF(IFERROR(VLOOKUP(B528,DATA7,1,FALSE),),"1","0")</f>
        <v>0</v>
      </c>
      <c r="M528" s="74" t="str">
        <f t="shared" si="76"/>
        <v>1</v>
      </c>
      <c r="N528" s="29" t="str">
        <f t="shared" si="77"/>
        <v>0</v>
      </c>
      <c r="O528" s="61" t="str">
        <f t="shared" ca="1" si="80"/>
        <v>1</v>
      </c>
      <c r="P528" s="65" t="str">
        <f t="shared" si="81"/>
        <v>1</v>
      </c>
      <c r="Q528" s="46">
        <f t="shared" ca="1" si="78"/>
        <v>5</v>
      </c>
      <c r="R528" s="83" t="str">
        <f t="shared" ca="1" si="79"/>
        <v>ผ่าน</v>
      </c>
      <c r="S528" s="3" t="s">
        <v>28</v>
      </c>
    </row>
    <row r="529" spans="1:19" ht="24">
      <c r="A529" s="3">
        <v>528</v>
      </c>
      <c r="B529" s="105">
        <v>6410073115</v>
      </c>
      <c r="C529" s="4" t="s">
        <v>29</v>
      </c>
      <c r="D529" s="4" t="s">
        <v>1387</v>
      </c>
      <c r="E529" s="4" t="s">
        <v>1388</v>
      </c>
      <c r="F529" s="4" t="s">
        <v>236</v>
      </c>
      <c r="G529" s="4" t="s">
        <v>1334</v>
      </c>
      <c r="H529" s="4" t="s">
        <v>1340</v>
      </c>
      <c r="I529" s="3">
        <v>3</v>
      </c>
      <c r="J529" s="29" t="str">
        <f t="shared" si="74"/>
        <v>1</v>
      </c>
      <c r="K529" s="54">
        <v>1</v>
      </c>
      <c r="L529" s="69" t="str">
        <f t="shared" si="82"/>
        <v>0</v>
      </c>
      <c r="M529" s="74" t="str">
        <f t="shared" si="76"/>
        <v>1</v>
      </c>
      <c r="N529" s="29" t="str">
        <f t="shared" si="77"/>
        <v>0</v>
      </c>
      <c r="O529" s="61" t="str">
        <f t="shared" ca="1" si="80"/>
        <v>1</v>
      </c>
      <c r="P529" s="65" t="str">
        <f t="shared" si="81"/>
        <v>1</v>
      </c>
      <c r="Q529" s="46">
        <f t="shared" ca="1" si="78"/>
        <v>5</v>
      </c>
      <c r="R529" s="83" t="str">
        <f t="shared" ca="1" si="79"/>
        <v>ผ่าน</v>
      </c>
      <c r="S529" s="3" t="s">
        <v>28</v>
      </c>
    </row>
    <row r="530" spans="1:19" ht="24">
      <c r="A530" s="3">
        <v>529</v>
      </c>
      <c r="B530" s="105">
        <v>6410073116</v>
      </c>
      <c r="C530" s="4" t="s">
        <v>29</v>
      </c>
      <c r="D530" s="4" t="s">
        <v>243</v>
      </c>
      <c r="E530" s="4" t="s">
        <v>1389</v>
      </c>
      <c r="F530" s="4" t="s">
        <v>1132</v>
      </c>
      <c r="G530" s="4" t="s">
        <v>1334</v>
      </c>
      <c r="H530" s="4" t="s">
        <v>1340</v>
      </c>
      <c r="I530" s="3">
        <v>3</v>
      </c>
      <c r="J530" s="29" t="str">
        <f t="shared" si="74"/>
        <v>1</v>
      </c>
      <c r="K530" s="54">
        <v>1</v>
      </c>
      <c r="L530" s="69" t="str">
        <f t="shared" si="82"/>
        <v>0</v>
      </c>
      <c r="M530" s="74" t="str">
        <f t="shared" si="76"/>
        <v>1</v>
      </c>
      <c r="N530" s="29" t="str">
        <f t="shared" si="77"/>
        <v>0</v>
      </c>
      <c r="O530" s="61" t="str">
        <f t="shared" ca="1" si="80"/>
        <v>1</v>
      </c>
      <c r="P530" s="65" t="str">
        <f t="shared" si="81"/>
        <v>1</v>
      </c>
      <c r="Q530" s="46">
        <f t="shared" ca="1" si="78"/>
        <v>5</v>
      </c>
      <c r="R530" s="83" t="str">
        <f t="shared" ca="1" si="79"/>
        <v>ผ่าน</v>
      </c>
      <c r="S530" s="3" t="s">
        <v>28</v>
      </c>
    </row>
    <row r="531" spans="1:19" ht="24">
      <c r="A531" s="3">
        <v>530</v>
      </c>
      <c r="B531" s="105">
        <v>6410073117</v>
      </c>
      <c r="C531" s="4" t="s">
        <v>29</v>
      </c>
      <c r="D531" s="4" t="s">
        <v>968</v>
      </c>
      <c r="E531" s="4" t="s">
        <v>1390</v>
      </c>
      <c r="F531" s="4" t="s">
        <v>213</v>
      </c>
      <c r="G531" s="4" t="s">
        <v>1334</v>
      </c>
      <c r="H531" s="4" t="s">
        <v>1340</v>
      </c>
      <c r="I531" s="3">
        <v>3</v>
      </c>
      <c r="J531" s="29" t="str">
        <f t="shared" si="74"/>
        <v>1</v>
      </c>
      <c r="K531" s="54">
        <v>1</v>
      </c>
      <c r="L531" s="69" t="str">
        <f t="shared" si="82"/>
        <v>0</v>
      </c>
      <c r="M531" s="74" t="str">
        <f t="shared" si="76"/>
        <v>1</v>
      </c>
      <c r="N531" s="29" t="str">
        <f t="shared" si="77"/>
        <v>0</v>
      </c>
      <c r="O531" s="61" t="str">
        <f t="shared" ca="1" si="80"/>
        <v>1</v>
      </c>
      <c r="P531" s="65" t="str">
        <f t="shared" si="81"/>
        <v>1</v>
      </c>
      <c r="Q531" s="46">
        <f t="shared" ca="1" si="78"/>
        <v>5</v>
      </c>
      <c r="R531" s="83" t="str">
        <f t="shared" ca="1" si="79"/>
        <v>ผ่าน</v>
      </c>
      <c r="S531" s="3" t="s">
        <v>28</v>
      </c>
    </row>
    <row r="532" spans="1:19" ht="24">
      <c r="A532" s="3">
        <v>531</v>
      </c>
      <c r="B532" s="105">
        <v>6410073119</v>
      </c>
      <c r="C532" s="4" t="s">
        <v>29</v>
      </c>
      <c r="D532" s="4" t="s">
        <v>1391</v>
      </c>
      <c r="E532" s="4" t="s">
        <v>1392</v>
      </c>
      <c r="F532" s="4" t="s">
        <v>755</v>
      </c>
      <c r="G532" s="4" t="s">
        <v>1334</v>
      </c>
      <c r="H532" s="4" t="s">
        <v>1340</v>
      </c>
      <c r="I532" s="3">
        <v>3</v>
      </c>
      <c r="J532" s="29" t="str">
        <f t="shared" si="74"/>
        <v>1</v>
      </c>
      <c r="K532" s="54">
        <v>1</v>
      </c>
      <c r="L532" s="69" t="str">
        <f t="shared" si="82"/>
        <v>0</v>
      </c>
      <c r="M532" s="74" t="str">
        <f t="shared" si="76"/>
        <v>1</v>
      </c>
      <c r="N532" s="29" t="str">
        <f t="shared" si="77"/>
        <v>0</v>
      </c>
      <c r="O532" s="61" t="str">
        <f t="shared" ca="1" si="80"/>
        <v>1</v>
      </c>
      <c r="P532" s="65" t="str">
        <f t="shared" si="81"/>
        <v>1</v>
      </c>
      <c r="Q532" s="46">
        <f t="shared" ca="1" si="78"/>
        <v>5</v>
      </c>
      <c r="R532" s="83" t="str">
        <f t="shared" ca="1" si="79"/>
        <v>ผ่าน</v>
      </c>
      <c r="S532" s="3" t="s">
        <v>28</v>
      </c>
    </row>
    <row r="533" spans="1:19" ht="24">
      <c r="A533" s="3">
        <v>532</v>
      </c>
      <c r="B533" s="105">
        <v>6410073121</v>
      </c>
      <c r="C533" s="4" t="s">
        <v>29</v>
      </c>
      <c r="D533" s="4" t="s">
        <v>1393</v>
      </c>
      <c r="E533" s="4" t="s">
        <v>1394</v>
      </c>
      <c r="F533" s="4" t="s">
        <v>199</v>
      </c>
      <c r="G533" s="4" t="s">
        <v>1334</v>
      </c>
      <c r="H533" s="4" t="s">
        <v>1340</v>
      </c>
      <c r="I533" s="3">
        <v>3</v>
      </c>
      <c r="J533" s="29" t="str">
        <f t="shared" si="74"/>
        <v>1</v>
      </c>
      <c r="K533" s="54">
        <v>1</v>
      </c>
      <c r="L533" s="69" t="str">
        <f t="shared" si="82"/>
        <v>0</v>
      </c>
      <c r="M533" s="74" t="str">
        <f t="shared" si="76"/>
        <v>1</v>
      </c>
      <c r="N533" s="29" t="str">
        <f t="shared" si="77"/>
        <v>0</v>
      </c>
      <c r="O533" s="61" t="str">
        <f t="shared" ca="1" si="80"/>
        <v>0</v>
      </c>
      <c r="P533" s="65" t="str">
        <f t="shared" si="81"/>
        <v>1</v>
      </c>
      <c r="Q533" s="46">
        <f t="shared" ca="1" si="78"/>
        <v>4</v>
      </c>
      <c r="R533" s="83" t="str">
        <f t="shared" ca="1" si="79"/>
        <v>ผ่าน</v>
      </c>
      <c r="S533" s="3" t="s">
        <v>28</v>
      </c>
    </row>
    <row r="534" spans="1:19" ht="24">
      <c r="A534" s="3">
        <v>533</v>
      </c>
      <c r="B534" s="105">
        <v>6410073124</v>
      </c>
      <c r="C534" s="4" t="s">
        <v>29</v>
      </c>
      <c r="D534" s="4" t="s">
        <v>1395</v>
      </c>
      <c r="E534" s="4" t="s">
        <v>1396</v>
      </c>
      <c r="F534" s="4" t="s">
        <v>1397</v>
      </c>
      <c r="G534" s="4" t="s">
        <v>1334</v>
      </c>
      <c r="H534" s="4" t="s">
        <v>1340</v>
      </c>
      <c r="I534" s="3">
        <v>3</v>
      </c>
      <c r="J534" s="29" t="str">
        <f t="shared" si="74"/>
        <v>1</v>
      </c>
      <c r="K534" s="54">
        <v>1</v>
      </c>
      <c r="L534" s="69" t="str">
        <f t="shared" si="82"/>
        <v>0</v>
      </c>
      <c r="M534" s="74" t="str">
        <f t="shared" si="76"/>
        <v>1</v>
      </c>
      <c r="N534" s="29" t="str">
        <f t="shared" si="77"/>
        <v>0</v>
      </c>
      <c r="O534" s="61" t="str">
        <f t="shared" ca="1" si="80"/>
        <v>1</v>
      </c>
      <c r="P534" s="65" t="str">
        <f t="shared" si="81"/>
        <v>1</v>
      </c>
      <c r="Q534" s="46">
        <f t="shared" ca="1" si="78"/>
        <v>5</v>
      </c>
      <c r="R534" s="83" t="str">
        <f t="shared" ca="1" si="79"/>
        <v>ผ่าน</v>
      </c>
      <c r="S534" s="3" t="s">
        <v>28</v>
      </c>
    </row>
    <row r="535" spans="1:19" ht="24">
      <c r="A535" s="3">
        <v>534</v>
      </c>
      <c r="B535" s="105">
        <v>6410073125</v>
      </c>
      <c r="C535" s="4" t="s">
        <v>29</v>
      </c>
      <c r="D535" s="4" t="s">
        <v>149</v>
      </c>
      <c r="E535" s="4" t="s">
        <v>1398</v>
      </c>
      <c r="F535" s="4" t="s">
        <v>41</v>
      </c>
      <c r="G535" s="4" t="s">
        <v>1334</v>
      </c>
      <c r="H535" s="4" t="s">
        <v>1340</v>
      </c>
      <c r="I535" s="3">
        <v>3</v>
      </c>
      <c r="J535" s="29" t="str">
        <f t="shared" si="74"/>
        <v>1</v>
      </c>
      <c r="K535" s="54">
        <v>1</v>
      </c>
      <c r="L535" s="69" t="str">
        <f t="shared" si="82"/>
        <v>0</v>
      </c>
      <c r="M535" s="74" t="str">
        <f t="shared" si="76"/>
        <v>1</v>
      </c>
      <c r="N535" s="29" t="str">
        <f t="shared" si="77"/>
        <v>0</v>
      </c>
      <c r="O535" s="61" t="str">
        <f t="shared" ca="1" si="80"/>
        <v>0</v>
      </c>
      <c r="P535" s="65" t="str">
        <f t="shared" si="81"/>
        <v>0</v>
      </c>
      <c r="Q535" s="46">
        <f t="shared" ca="1" si="78"/>
        <v>3</v>
      </c>
      <c r="R535" s="83" t="str">
        <f t="shared" ca="1" si="79"/>
        <v>ผ่าน</v>
      </c>
      <c r="S535" s="3" t="s">
        <v>28</v>
      </c>
    </row>
    <row r="536" spans="1:19" ht="24">
      <c r="A536" s="3">
        <v>535</v>
      </c>
      <c r="B536" s="105">
        <v>6410073126</v>
      </c>
      <c r="C536" s="4" t="s">
        <v>22</v>
      </c>
      <c r="D536" s="4" t="s">
        <v>1399</v>
      </c>
      <c r="E536" s="4" t="s">
        <v>1400</v>
      </c>
      <c r="F536" s="4" t="s">
        <v>432</v>
      </c>
      <c r="G536" s="4" t="s">
        <v>1334</v>
      </c>
      <c r="H536" s="4" t="s">
        <v>1340</v>
      </c>
      <c r="I536" s="3">
        <v>3</v>
      </c>
      <c r="J536" s="29" t="str">
        <f t="shared" si="74"/>
        <v>1</v>
      </c>
      <c r="K536" s="54">
        <v>1</v>
      </c>
      <c r="L536" s="69" t="str">
        <f t="shared" si="82"/>
        <v>0</v>
      </c>
      <c r="M536" s="74" t="str">
        <f t="shared" si="76"/>
        <v>1</v>
      </c>
      <c r="N536" s="29" t="str">
        <f t="shared" si="77"/>
        <v>0</v>
      </c>
      <c r="O536" s="61" t="str">
        <f t="shared" ca="1" si="80"/>
        <v>0</v>
      </c>
      <c r="P536" s="65" t="str">
        <f t="shared" si="81"/>
        <v>0</v>
      </c>
      <c r="Q536" s="46">
        <f t="shared" ca="1" si="78"/>
        <v>3</v>
      </c>
      <c r="R536" s="83" t="str">
        <f t="shared" ca="1" si="79"/>
        <v>ผ่าน</v>
      </c>
      <c r="S536" s="3" t="s">
        <v>28</v>
      </c>
    </row>
    <row r="537" spans="1:19" ht="24">
      <c r="A537" s="3">
        <v>536</v>
      </c>
      <c r="B537" s="105">
        <v>6310073101</v>
      </c>
      <c r="C537" s="4" t="s">
        <v>22</v>
      </c>
      <c r="D537" s="4" t="s">
        <v>1401</v>
      </c>
      <c r="E537" s="4" t="s">
        <v>1402</v>
      </c>
      <c r="F537" s="4" t="s">
        <v>1403</v>
      </c>
      <c r="G537" s="4" t="s">
        <v>1334</v>
      </c>
      <c r="H537" s="4" t="s">
        <v>1340</v>
      </c>
      <c r="I537" s="3">
        <v>4</v>
      </c>
      <c r="J537" s="29" t="str">
        <f t="shared" si="74"/>
        <v>0</v>
      </c>
      <c r="K537" s="54" t="str">
        <f t="shared" si="75"/>
        <v>1</v>
      </c>
      <c r="L537" s="69" t="str">
        <f t="shared" si="82"/>
        <v>0</v>
      </c>
      <c r="M537" s="74" t="str">
        <f t="shared" si="76"/>
        <v>1</v>
      </c>
      <c r="N537" s="29" t="str">
        <f t="shared" si="77"/>
        <v>0</v>
      </c>
      <c r="O537" s="61" t="str">
        <f t="shared" ca="1" si="80"/>
        <v>1</v>
      </c>
      <c r="P537" s="65">
        <v>1</v>
      </c>
      <c r="Q537" s="46">
        <f t="shared" ca="1" si="78"/>
        <v>4</v>
      </c>
      <c r="R537" s="83" t="str">
        <f t="shared" ca="1" si="79"/>
        <v>ผ่าน</v>
      </c>
      <c r="S537" s="3" t="s">
        <v>28</v>
      </c>
    </row>
    <row r="538" spans="1:19" ht="24">
      <c r="A538" s="3">
        <v>537</v>
      </c>
      <c r="B538" s="105">
        <v>6310073102</v>
      </c>
      <c r="C538" s="4" t="s">
        <v>22</v>
      </c>
      <c r="D538" s="4" t="s">
        <v>1404</v>
      </c>
      <c r="E538" s="4" t="s">
        <v>1405</v>
      </c>
      <c r="F538" s="4" t="s">
        <v>115</v>
      </c>
      <c r="G538" s="4" t="s">
        <v>1334</v>
      </c>
      <c r="H538" s="4" t="s">
        <v>1340</v>
      </c>
      <c r="I538" s="3">
        <v>4</v>
      </c>
      <c r="J538" s="29" t="str">
        <f t="shared" si="74"/>
        <v>1</v>
      </c>
      <c r="K538" s="54">
        <v>1</v>
      </c>
      <c r="L538" s="69" t="str">
        <f t="shared" si="82"/>
        <v>0</v>
      </c>
      <c r="M538" s="74" t="str">
        <f t="shared" si="76"/>
        <v>1</v>
      </c>
      <c r="N538" s="29" t="str">
        <f t="shared" si="77"/>
        <v>0</v>
      </c>
      <c r="O538" s="61" t="str">
        <f t="shared" ca="1" si="80"/>
        <v>1</v>
      </c>
      <c r="P538" s="65">
        <v>1</v>
      </c>
      <c r="Q538" s="46">
        <f t="shared" ca="1" si="78"/>
        <v>5</v>
      </c>
      <c r="R538" s="83" t="str">
        <f t="shared" ca="1" si="79"/>
        <v>ผ่าน</v>
      </c>
      <c r="S538" s="3" t="s">
        <v>28</v>
      </c>
    </row>
    <row r="539" spans="1:19" ht="24">
      <c r="A539" s="3">
        <v>538</v>
      </c>
      <c r="B539" s="105">
        <v>6310073105</v>
      </c>
      <c r="C539" s="4" t="s">
        <v>29</v>
      </c>
      <c r="D539" s="4" t="s">
        <v>774</v>
      </c>
      <c r="E539" s="4" t="s">
        <v>1406</v>
      </c>
      <c r="F539" s="4" t="s">
        <v>1407</v>
      </c>
      <c r="G539" s="4" t="s">
        <v>1334</v>
      </c>
      <c r="H539" s="4" t="s">
        <v>1340</v>
      </c>
      <c r="I539" s="3">
        <v>4</v>
      </c>
      <c r="J539" s="29" t="str">
        <f t="shared" si="74"/>
        <v>0</v>
      </c>
      <c r="K539" s="54">
        <v>1</v>
      </c>
      <c r="L539" s="69" t="str">
        <f t="shared" si="82"/>
        <v>0</v>
      </c>
      <c r="M539" s="74" t="str">
        <f t="shared" si="76"/>
        <v>1</v>
      </c>
      <c r="N539" s="29" t="str">
        <f t="shared" si="77"/>
        <v>0</v>
      </c>
      <c r="O539" s="61" t="str">
        <f t="shared" ca="1" si="80"/>
        <v>1</v>
      </c>
      <c r="P539" s="65">
        <v>1</v>
      </c>
      <c r="Q539" s="46">
        <f t="shared" ca="1" si="78"/>
        <v>4</v>
      </c>
      <c r="R539" s="83" t="str">
        <f t="shared" ca="1" si="79"/>
        <v>ผ่าน</v>
      </c>
      <c r="S539" s="3" t="s">
        <v>28</v>
      </c>
    </row>
    <row r="540" spans="1:19" ht="24">
      <c r="A540" s="3">
        <v>539</v>
      </c>
      <c r="B540" s="105">
        <v>6310073106</v>
      </c>
      <c r="C540" s="4" t="s">
        <v>29</v>
      </c>
      <c r="D540" s="4" t="s">
        <v>1408</v>
      </c>
      <c r="E540" s="4" t="s">
        <v>1409</v>
      </c>
      <c r="F540" s="4" t="s">
        <v>199</v>
      </c>
      <c r="G540" s="4" t="s">
        <v>1334</v>
      </c>
      <c r="H540" s="4" t="s">
        <v>1340</v>
      </c>
      <c r="I540" s="3">
        <v>4</v>
      </c>
      <c r="J540" s="29" t="str">
        <f t="shared" si="74"/>
        <v>1</v>
      </c>
      <c r="K540" s="54">
        <v>1</v>
      </c>
      <c r="L540" s="69" t="str">
        <f t="shared" si="82"/>
        <v>0</v>
      </c>
      <c r="M540" s="74" t="str">
        <f t="shared" si="76"/>
        <v>1</v>
      </c>
      <c r="N540" s="29" t="str">
        <f t="shared" si="77"/>
        <v>0</v>
      </c>
      <c r="O540" s="61" t="str">
        <f t="shared" ca="1" si="80"/>
        <v>1</v>
      </c>
      <c r="P540" s="65">
        <v>1</v>
      </c>
      <c r="Q540" s="46">
        <f t="shared" ca="1" si="78"/>
        <v>5</v>
      </c>
      <c r="R540" s="83" t="str">
        <f t="shared" ca="1" si="79"/>
        <v>ผ่าน</v>
      </c>
      <c r="S540" s="3" t="s">
        <v>28</v>
      </c>
    </row>
    <row r="541" spans="1:19" ht="24">
      <c r="A541" s="3">
        <v>540</v>
      </c>
      <c r="B541" s="105">
        <v>6310073107</v>
      </c>
      <c r="C541" s="4" t="s">
        <v>29</v>
      </c>
      <c r="D541" s="4" t="s">
        <v>557</v>
      </c>
      <c r="E541" s="4" t="s">
        <v>1286</v>
      </c>
      <c r="F541" s="4" t="s">
        <v>1252</v>
      </c>
      <c r="G541" s="4" t="s">
        <v>1334</v>
      </c>
      <c r="H541" s="4" t="s">
        <v>1340</v>
      </c>
      <c r="I541" s="3">
        <v>4</v>
      </c>
      <c r="J541" s="29" t="str">
        <f t="shared" si="74"/>
        <v>1</v>
      </c>
      <c r="K541" s="54">
        <v>1</v>
      </c>
      <c r="L541" s="69" t="str">
        <f t="shared" si="82"/>
        <v>0</v>
      </c>
      <c r="M541" s="74" t="str">
        <f t="shared" si="76"/>
        <v>0</v>
      </c>
      <c r="N541" s="29" t="str">
        <f t="shared" si="77"/>
        <v>0</v>
      </c>
      <c r="O541" s="61" t="str">
        <f t="shared" ca="1" si="80"/>
        <v>1</v>
      </c>
      <c r="P541" s="65">
        <v>1</v>
      </c>
      <c r="Q541" s="46">
        <f t="shared" ca="1" si="78"/>
        <v>4</v>
      </c>
      <c r="R541" s="83" t="str">
        <f t="shared" ca="1" si="79"/>
        <v>ผ่าน</v>
      </c>
      <c r="S541" s="3" t="s">
        <v>28</v>
      </c>
    </row>
    <row r="542" spans="1:19" ht="24">
      <c r="A542" s="3">
        <v>541</v>
      </c>
      <c r="B542" s="105">
        <v>6310073108</v>
      </c>
      <c r="C542" s="4" t="s">
        <v>22</v>
      </c>
      <c r="D542" s="4" t="s">
        <v>1410</v>
      </c>
      <c r="E542" s="4" t="s">
        <v>1411</v>
      </c>
      <c r="F542" s="4" t="s">
        <v>1412</v>
      </c>
      <c r="G542" s="4" t="s">
        <v>1334</v>
      </c>
      <c r="H542" s="4" t="s">
        <v>1340</v>
      </c>
      <c r="I542" s="3">
        <v>4</v>
      </c>
      <c r="J542" s="29" t="str">
        <f t="shared" si="74"/>
        <v>1</v>
      </c>
      <c r="K542" s="54" t="str">
        <f t="shared" si="75"/>
        <v>0</v>
      </c>
      <c r="L542" s="69" t="str">
        <f t="shared" si="82"/>
        <v>0</v>
      </c>
      <c r="M542" s="74" t="str">
        <f t="shared" si="76"/>
        <v>1</v>
      </c>
      <c r="N542" s="29" t="str">
        <f t="shared" si="77"/>
        <v>0</v>
      </c>
      <c r="O542" s="61" t="str">
        <f t="shared" ca="1" si="80"/>
        <v>1</v>
      </c>
      <c r="P542" s="65">
        <v>1</v>
      </c>
      <c r="Q542" s="46">
        <f t="shared" ca="1" si="78"/>
        <v>4</v>
      </c>
      <c r="R542" s="83" t="str">
        <f t="shared" ca="1" si="79"/>
        <v>ผ่าน</v>
      </c>
      <c r="S542" s="3" t="s">
        <v>28</v>
      </c>
    </row>
    <row r="543" spans="1:19" ht="24">
      <c r="A543" s="3">
        <v>542</v>
      </c>
      <c r="B543" s="105">
        <v>6310073109</v>
      </c>
      <c r="C543" s="4" t="s">
        <v>29</v>
      </c>
      <c r="D543" s="4" t="s">
        <v>1413</v>
      </c>
      <c r="E543" s="4" t="s">
        <v>1414</v>
      </c>
      <c r="F543" s="4" t="s">
        <v>373</v>
      </c>
      <c r="G543" s="4" t="s">
        <v>1334</v>
      </c>
      <c r="H543" s="4" t="s">
        <v>1340</v>
      </c>
      <c r="I543" s="3">
        <v>4</v>
      </c>
      <c r="J543" s="29" t="str">
        <f t="shared" si="74"/>
        <v>1</v>
      </c>
      <c r="K543" s="54">
        <v>1</v>
      </c>
      <c r="L543" s="69" t="str">
        <f t="shared" si="82"/>
        <v>0</v>
      </c>
      <c r="M543" s="74" t="str">
        <f t="shared" si="76"/>
        <v>1</v>
      </c>
      <c r="N543" s="29" t="str">
        <f t="shared" si="77"/>
        <v>0</v>
      </c>
      <c r="O543" s="61" t="str">
        <f t="shared" ca="1" si="80"/>
        <v>1</v>
      </c>
      <c r="P543" s="65">
        <v>1</v>
      </c>
      <c r="Q543" s="46">
        <f t="shared" ca="1" si="78"/>
        <v>5</v>
      </c>
      <c r="R543" s="83" t="str">
        <f t="shared" ca="1" si="79"/>
        <v>ผ่าน</v>
      </c>
      <c r="S543" s="3" t="s">
        <v>28</v>
      </c>
    </row>
    <row r="544" spans="1:19" ht="24">
      <c r="A544" s="3">
        <v>543</v>
      </c>
      <c r="B544" s="105">
        <v>6310073110</v>
      </c>
      <c r="C544" s="4" t="s">
        <v>29</v>
      </c>
      <c r="D544" s="4" t="s">
        <v>1415</v>
      </c>
      <c r="E544" s="4" t="s">
        <v>1416</v>
      </c>
      <c r="F544" s="4" t="s">
        <v>1417</v>
      </c>
      <c r="G544" s="4" t="s">
        <v>1334</v>
      </c>
      <c r="H544" s="4" t="s">
        <v>1340</v>
      </c>
      <c r="I544" s="3">
        <v>4</v>
      </c>
      <c r="J544" s="29" t="str">
        <f t="shared" si="74"/>
        <v>1</v>
      </c>
      <c r="K544" s="54" t="str">
        <f t="shared" si="75"/>
        <v>1</v>
      </c>
      <c r="L544" s="69" t="str">
        <f t="shared" si="82"/>
        <v>0</v>
      </c>
      <c r="M544" s="74" t="str">
        <f t="shared" si="76"/>
        <v>1</v>
      </c>
      <c r="N544" s="29" t="str">
        <f t="shared" si="77"/>
        <v>0</v>
      </c>
      <c r="O544" s="61" t="str">
        <f t="shared" ca="1" si="80"/>
        <v>1</v>
      </c>
      <c r="P544" s="65">
        <v>1</v>
      </c>
      <c r="Q544" s="46">
        <f t="shared" ca="1" si="78"/>
        <v>5</v>
      </c>
      <c r="R544" s="83" t="str">
        <f t="shared" ca="1" si="79"/>
        <v>ผ่าน</v>
      </c>
      <c r="S544" s="3" t="s">
        <v>28</v>
      </c>
    </row>
    <row r="545" spans="1:19" ht="24">
      <c r="A545" s="3">
        <v>544</v>
      </c>
      <c r="B545" s="105">
        <v>6412269106</v>
      </c>
      <c r="C545" s="4" t="s">
        <v>22</v>
      </c>
      <c r="D545" s="4"/>
      <c r="E545" s="4" t="s">
        <v>726</v>
      </c>
      <c r="F545" s="4" t="s">
        <v>1342</v>
      </c>
      <c r="G545" s="4" t="s">
        <v>1334</v>
      </c>
      <c r="H545" s="4" t="s">
        <v>1418</v>
      </c>
      <c r="I545" s="3">
        <v>3</v>
      </c>
      <c r="J545" s="29" t="str">
        <f t="shared" si="74"/>
        <v>1</v>
      </c>
      <c r="K545" s="54">
        <v>1</v>
      </c>
      <c r="L545" s="69" t="str">
        <f t="shared" si="82"/>
        <v>0</v>
      </c>
      <c r="M545" s="74" t="str">
        <f t="shared" si="76"/>
        <v>1</v>
      </c>
      <c r="N545" s="29" t="str">
        <f t="shared" si="77"/>
        <v>0</v>
      </c>
      <c r="O545" s="61" t="str">
        <f t="shared" ca="1" si="80"/>
        <v>1</v>
      </c>
      <c r="P545" s="65" t="str">
        <f t="shared" si="81"/>
        <v>1</v>
      </c>
      <c r="Q545" s="46">
        <f t="shared" ca="1" si="78"/>
        <v>5</v>
      </c>
      <c r="R545" s="83" t="str">
        <f t="shared" ca="1" si="79"/>
        <v>ผ่าน</v>
      </c>
      <c r="S545" s="3" t="s">
        <v>28</v>
      </c>
    </row>
    <row r="546" spans="1:19" ht="24">
      <c r="A546" s="3">
        <v>545</v>
      </c>
      <c r="B546" s="105">
        <v>6412269118</v>
      </c>
      <c r="C546" s="4" t="s">
        <v>22</v>
      </c>
      <c r="D546" s="4" t="s">
        <v>1419</v>
      </c>
      <c r="E546" s="4" t="s">
        <v>511</v>
      </c>
      <c r="F546" s="4" t="s">
        <v>1120</v>
      </c>
      <c r="G546" s="4" t="s">
        <v>1334</v>
      </c>
      <c r="H546" s="4" t="s">
        <v>1418</v>
      </c>
      <c r="I546" s="3">
        <v>3</v>
      </c>
      <c r="J546" s="29" t="str">
        <f t="shared" si="74"/>
        <v>1</v>
      </c>
      <c r="K546" s="54" t="str">
        <f t="shared" si="75"/>
        <v>0</v>
      </c>
      <c r="L546" s="69" t="str">
        <f t="shared" si="82"/>
        <v>0</v>
      </c>
      <c r="M546" s="74" t="str">
        <f t="shared" si="76"/>
        <v>1</v>
      </c>
      <c r="N546" s="29" t="str">
        <f t="shared" si="77"/>
        <v>0</v>
      </c>
      <c r="O546" s="61" t="str">
        <f t="shared" ca="1" si="80"/>
        <v>0</v>
      </c>
      <c r="P546" s="65" t="str">
        <f t="shared" si="81"/>
        <v>1</v>
      </c>
      <c r="Q546" s="46">
        <f t="shared" ca="1" si="78"/>
        <v>3</v>
      </c>
      <c r="R546" s="83" t="str">
        <f t="shared" ca="1" si="79"/>
        <v>ผ่าน</v>
      </c>
      <c r="S546" s="3" t="s">
        <v>28</v>
      </c>
    </row>
    <row r="547" spans="1:19" ht="24">
      <c r="A547" s="3">
        <v>546</v>
      </c>
      <c r="B547" s="105">
        <v>6412269121</v>
      </c>
      <c r="C547" s="4" t="s">
        <v>22</v>
      </c>
      <c r="D547" s="4" t="s">
        <v>1420</v>
      </c>
      <c r="E547" s="4" t="s">
        <v>1421</v>
      </c>
      <c r="F547" s="4" t="s">
        <v>1422</v>
      </c>
      <c r="G547" s="4" t="s">
        <v>1334</v>
      </c>
      <c r="H547" s="4" t="s">
        <v>1418</v>
      </c>
      <c r="I547" s="3">
        <v>3</v>
      </c>
      <c r="J547" s="29" t="str">
        <f t="shared" si="74"/>
        <v>1</v>
      </c>
      <c r="K547" s="54" t="str">
        <f t="shared" si="75"/>
        <v>1</v>
      </c>
      <c r="L547" s="69" t="str">
        <f t="shared" si="82"/>
        <v>0</v>
      </c>
      <c r="M547" s="74" t="str">
        <f t="shared" si="76"/>
        <v>0</v>
      </c>
      <c r="N547" s="29" t="str">
        <f t="shared" si="77"/>
        <v>1</v>
      </c>
      <c r="O547" s="61" t="str">
        <f t="shared" ca="1" si="80"/>
        <v>1</v>
      </c>
      <c r="P547" s="65" t="str">
        <f t="shared" si="81"/>
        <v>1</v>
      </c>
      <c r="Q547" s="46">
        <f t="shared" ca="1" si="78"/>
        <v>5</v>
      </c>
      <c r="R547" s="83" t="str">
        <f t="shared" ca="1" si="79"/>
        <v>ผ่าน</v>
      </c>
      <c r="S547" s="3" t="s">
        <v>28</v>
      </c>
    </row>
    <row r="548" spans="1:19" ht="24">
      <c r="A548" s="3">
        <v>547</v>
      </c>
      <c r="B548" s="105">
        <v>6412269122</v>
      </c>
      <c r="C548" s="4" t="s">
        <v>22</v>
      </c>
      <c r="D548" s="4" t="s">
        <v>1423</v>
      </c>
      <c r="E548" s="4" t="s">
        <v>1424</v>
      </c>
      <c r="F548" s="4" t="s">
        <v>1425</v>
      </c>
      <c r="G548" s="4" t="s">
        <v>1334</v>
      </c>
      <c r="H548" s="4" t="s">
        <v>1418</v>
      </c>
      <c r="I548" s="3">
        <v>3</v>
      </c>
      <c r="J548" s="29" t="str">
        <f t="shared" si="74"/>
        <v>0</v>
      </c>
      <c r="K548" s="54">
        <v>1</v>
      </c>
      <c r="L548" s="69" t="str">
        <f t="shared" si="82"/>
        <v>0</v>
      </c>
      <c r="M548" s="74" t="str">
        <f t="shared" si="76"/>
        <v>0</v>
      </c>
      <c r="N548" s="29" t="str">
        <f t="shared" si="77"/>
        <v>0</v>
      </c>
      <c r="O548" s="61" t="str">
        <f t="shared" ca="1" si="80"/>
        <v>0</v>
      </c>
      <c r="P548" s="65" t="str">
        <f t="shared" si="81"/>
        <v>0</v>
      </c>
      <c r="Q548" s="46">
        <f t="shared" ca="1" si="78"/>
        <v>1</v>
      </c>
      <c r="R548" s="3" t="str">
        <f t="shared" ca="1" si="79"/>
        <v>ไม่ผ่าน</v>
      </c>
      <c r="S548" s="3" t="s">
        <v>28</v>
      </c>
    </row>
    <row r="549" spans="1:19" ht="24">
      <c r="A549" s="3">
        <v>548</v>
      </c>
      <c r="B549" s="105">
        <v>6412269124</v>
      </c>
      <c r="C549" s="4" t="s">
        <v>22</v>
      </c>
      <c r="D549" s="4" t="s">
        <v>1426</v>
      </c>
      <c r="E549" s="4" t="s">
        <v>1427</v>
      </c>
      <c r="F549" s="4" t="s">
        <v>1428</v>
      </c>
      <c r="G549" s="4" t="s">
        <v>1334</v>
      </c>
      <c r="H549" s="4" t="s">
        <v>1418</v>
      </c>
      <c r="I549" s="3">
        <v>3</v>
      </c>
      <c r="J549" s="29" t="str">
        <f t="shared" si="74"/>
        <v>1</v>
      </c>
      <c r="K549" s="54" t="str">
        <f t="shared" si="75"/>
        <v>0</v>
      </c>
      <c r="L549" s="69" t="str">
        <f t="shared" si="82"/>
        <v>0</v>
      </c>
      <c r="M549" s="74" t="str">
        <f t="shared" si="76"/>
        <v>0</v>
      </c>
      <c r="N549" s="29" t="str">
        <f t="shared" si="77"/>
        <v>1</v>
      </c>
      <c r="O549" s="61" t="str">
        <f t="shared" ca="1" si="80"/>
        <v>1</v>
      </c>
      <c r="P549" s="65" t="str">
        <f t="shared" si="81"/>
        <v>1</v>
      </c>
      <c r="Q549" s="46">
        <f t="shared" ca="1" si="78"/>
        <v>4</v>
      </c>
      <c r="R549" s="83" t="str">
        <f t="shared" ca="1" si="79"/>
        <v>ผ่าน</v>
      </c>
      <c r="S549" s="3" t="s">
        <v>28</v>
      </c>
    </row>
    <row r="550" spans="1:19" ht="24">
      <c r="A550" s="3">
        <v>549</v>
      </c>
      <c r="B550" s="105">
        <v>6412269125</v>
      </c>
      <c r="C550" s="4" t="s">
        <v>22</v>
      </c>
      <c r="D550" s="4" t="s">
        <v>1429</v>
      </c>
      <c r="E550" s="4" t="s">
        <v>1430</v>
      </c>
      <c r="F550" s="4" t="s">
        <v>210</v>
      </c>
      <c r="G550" s="4" t="s">
        <v>1334</v>
      </c>
      <c r="H550" s="4" t="s">
        <v>1418</v>
      </c>
      <c r="I550" s="3">
        <v>3</v>
      </c>
      <c r="J550" s="29" t="str">
        <f t="shared" si="74"/>
        <v>1</v>
      </c>
      <c r="K550" s="54">
        <v>1</v>
      </c>
      <c r="L550" s="69" t="str">
        <f t="shared" si="82"/>
        <v>0</v>
      </c>
      <c r="M550" s="74" t="str">
        <f t="shared" si="76"/>
        <v>0</v>
      </c>
      <c r="N550" s="29" t="str">
        <f t="shared" si="77"/>
        <v>1</v>
      </c>
      <c r="O550" s="61" t="str">
        <f t="shared" ca="1" si="80"/>
        <v>1</v>
      </c>
      <c r="P550" s="65" t="str">
        <f t="shared" si="81"/>
        <v>1</v>
      </c>
      <c r="Q550" s="46">
        <f t="shared" ca="1" si="78"/>
        <v>5</v>
      </c>
      <c r="R550" s="83" t="str">
        <f t="shared" ca="1" si="79"/>
        <v>ผ่าน</v>
      </c>
      <c r="S550" s="3" t="s">
        <v>28</v>
      </c>
    </row>
    <row r="551" spans="1:19" ht="24">
      <c r="A551" s="3">
        <v>550</v>
      </c>
      <c r="B551" s="105">
        <v>6412269126</v>
      </c>
      <c r="C551" s="4" t="s">
        <v>22</v>
      </c>
      <c r="D551" s="4" t="s">
        <v>1431</v>
      </c>
      <c r="E551" s="4" t="s">
        <v>1105</v>
      </c>
      <c r="F551" s="4" t="s">
        <v>1432</v>
      </c>
      <c r="G551" s="4" t="s">
        <v>1334</v>
      </c>
      <c r="H551" s="4" t="s">
        <v>1418</v>
      </c>
      <c r="I551" s="3">
        <v>3</v>
      </c>
      <c r="J551" s="29" t="str">
        <f t="shared" si="74"/>
        <v>1</v>
      </c>
      <c r="K551" s="54">
        <v>1</v>
      </c>
      <c r="L551" s="69" t="str">
        <f t="shared" si="82"/>
        <v>0</v>
      </c>
      <c r="M551" s="74" t="str">
        <f t="shared" si="76"/>
        <v>0</v>
      </c>
      <c r="N551" s="29" t="str">
        <f t="shared" si="77"/>
        <v>1</v>
      </c>
      <c r="O551" s="61" t="str">
        <f t="shared" ca="1" si="80"/>
        <v>1</v>
      </c>
      <c r="P551" s="65" t="str">
        <f t="shared" si="81"/>
        <v>1</v>
      </c>
      <c r="Q551" s="46">
        <f t="shared" ca="1" si="78"/>
        <v>5</v>
      </c>
      <c r="R551" s="83" t="str">
        <f t="shared" ca="1" si="79"/>
        <v>ผ่าน</v>
      </c>
      <c r="S551" s="3" t="s">
        <v>28</v>
      </c>
    </row>
    <row r="552" spans="1:19" ht="24">
      <c r="A552" s="3">
        <v>551</v>
      </c>
      <c r="B552" s="105">
        <v>6412269134</v>
      </c>
      <c r="C552" s="4" t="s">
        <v>22</v>
      </c>
      <c r="D552" s="4" t="s">
        <v>1433</v>
      </c>
      <c r="E552" s="4" t="s">
        <v>1434</v>
      </c>
      <c r="F552" s="4" t="s">
        <v>1435</v>
      </c>
      <c r="G552" s="4" t="s">
        <v>1334</v>
      </c>
      <c r="H552" s="4" t="s">
        <v>1418</v>
      </c>
      <c r="I552" s="3">
        <v>3</v>
      </c>
      <c r="J552" s="29" t="str">
        <f t="shared" si="74"/>
        <v>0</v>
      </c>
      <c r="K552" s="54" t="str">
        <f t="shared" si="75"/>
        <v>0</v>
      </c>
      <c r="L552" s="69" t="str">
        <f t="shared" si="82"/>
        <v>0</v>
      </c>
      <c r="M552" s="74" t="str">
        <f t="shared" si="76"/>
        <v>0</v>
      </c>
      <c r="N552" s="29" t="str">
        <f t="shared" si="77"/>
        <v>0</v>
      </c>
      <c r="O552" s="61" t="str">
        <f t="shared" ca="1" si="80"/>
        <v>0</v>
      </c>
      <c r="P552" s="65" t="str">
        <f t="shared" si="81"/>
        <v>0</v>
      </c>
      <c r="Q552" s="46">
        <f t="shared" ca="1" si="78"/>
        <v>0</v>
      </c>
      <c r="R552" s="3" t="str">
        <f t="shared" ca="1" si="79"/>
        <v>ไม่ผ่าน</v>
      </c>
      <c r="S552" s="3" t="s">
        <v>28</v>
      </c>
    </row>
    <row r="553" spans="1:19" ht="24">
      <c r="A553" s="3">
        <v>552</v>
      </c>
      <c r="B553" s="105">
        <v>6312269101</v>
      </c>
      <c r="C553" s="4" t="s">
        <v>22</v>
      </c>
      <c r="D553" s="4" t="s">
        <v>1436</v>
      </c>
      <c r="E553" s="4" t="s">
        <v>1437</v>
      </c>
      <c r="F553" s="4" t="s">
        <v>530</v>
      </c>
      <c r="G553" s="4" t="s">
        <v>1334</v>
      </c>
      <c r="H553" s="4" t="s">
        <v>1418</v>
      </c>
      <c r="I553" s="3">
        <v>4</v>
      </c>
      <c r="J553" s="29" t="str">
        <f t="shared" si="74"/>
        <v>1</v>
      </c>
      <c r="K553" s="54" t="str">
        <f t="shared" si="75"/>
        <v>1</v>
      </c>
      <c r="L553" s="69" t="str">
        <f t="shared" si="82"/>
        <v>0</v>
      </c>
      <c r="M553" s="74" t="str">
        <f t="shared" si="76"/>
        <v>1</v>
      </c>
      <c r="N553" s="29" t="str">
        <f t="shared" si="77"/>
        <v>0</v>
      </c>
      <c r="O553" s="61">
        <v>1</v>
      </c>
      <c r="P553" s="65">
        <v>1</v>
      </c>
      <c r="Q553" s="46">
        <f t="shared" si="78"/>
        <v>5</v>
      </c>
      <c r="R553" s="83" t="str">
        <f t="shared" si="79"/>
        <v>ผ่าน</v>
      </c>
      <c r="S553" s="3" t="s">
        <v>28</v>
      </c>
    </row>
    <row r="554" spans="1:19" ht="24">
      <c r="A554" s="3">
        <v>553</v>
      </c>
      <c r="B554" s="105">
        <v>6312269106</v>
      </c>
      <c r="C554" s="4" t="s">
        <v>22</v>
      </c>
      <c r="D554" s="4" t="s">
        <v>1438</v>
      </c>
      <c r="E554" s="4" t="s">
        <v>1439</v>
      </c>
      <c r="F554" s="4" t="s">
        <v>687</v>
      </c>
      <c r="G554" s="4" t="s">
        <v>1334</v>
      </c>
      <c r="H554" s="4" t="s">
        <v>1418</v>
      </c>
      <c r="I554" s="3">
        <v>4</v>
      </c>
      <c r="J554" s="29" t="str">
        <f t="shared" si="74"/>
        <v>1</v>
      </c>
      <c r="K554" s="54" t="str">
        <f t="shared" si="75"/>
        <v>1</v>
      </c>
      <c r="L554" s="69" t="str">
        <f t="shared" si="82"/>
        <v>0</v>
      </c>
      <c r="M554" s="74" t="str">
        <f t="shared" si="76"/>
        <v>1</v>
      </c>
      <c r="N554" s="29" t="str">
        <f t="shared" si="77"/>
        <v>0</v>
      </c>
      <c r="O554" s="61">
        <v>1</v>
      </c>
      <c r="P554" s="65">
        <v>1</v>
      </c>
      <c r="Q554" s="46">
        <f t="shared" si="78"/>
        <v>5</v>
      </c>
      <c r="R554" s="83" t="str">
        <f t="shared" si="79"/>
        <v>ผ่าน</v>
      </c>
      <c r="S554" s="3" t="s">
        <v>28</v>
      </c>
    </row>
    <row r="555" spans="1:19" ht="24">
      <c r="A555" s="3">
        <v>554</v>
      </c>
      <c r="B555" s="105">
        <v>6312269112</v>
      </c>
      <c r="C555" s="4" t="s">
        <v>22</v>
      </c>
      <c r="D555" s="4" t="s">
        <v>1440</v>
      </c>
      <c r="E555" s="4" t="s">
        <v>1441</v>
      </c>
      <c r="F555" s="4" t="s">
        <v>1442</v>
      </c>
      <c r="G555" s="4" t="s">
        <v>1334</v>
      </c>
      <c r="H555" s="4" t="s">
        <v>1418</v>
      </c>
      <c r="I555" s="3">
        <v>4</v>
      </c>
      <c r="J555" s="29" t="str">
        <f t="shared" si="74"/>
        <v>1</v>
      </c>
      <c r="K555" s="54" t="str">
        <f t="shared" si="75"/>
        <v>1</v>
      </c>
      <c r="L555" s="69" t="str">
        <f t="shared" si="82"/>
        <v>0</v>
      </c>
      <c r="M555" s="74" t="str">
        <f t="shared" si="76"/>
        <v>1</v>
      </c>
      <c r="N555" s="29" t="str">
        <f t="shared" si="77"/>
        <v>0</v>
      </c>
      <c r="O555" s="61">
        <v>1</v>
      </c>
      <c r="P555" s="65">
        <v>1</v>
      </c>
      <c r="Q555" s="46">
        <f t="shared" si="78"/>
        <v>5</v>
      </c>
      <c r="R555" s="83" t="str">
        <f t="shared" si="79"/>
        <v>ผ่าน</v>
      </c>
      <c r="S555" s="3" t="s">
        <v>28</v>
      </c>
    </row>
    <row r="556" spans="1:19" ht="24">
      <c r="A556" s="3">
        <v>555</v>
      </c>
      <c r="B556" s="105">
        <v>6312269125</v>
      </c>
      <c r="C556" s="4" t="s">
        <v>22</v>
      </c>
      <c r="D556" s="4" t="s">
        <v>280</v>
      </c>
      <c r="E556" s="4" t="s">
        <v>1443</v>
      </c>
      <c r="F556" s="4" t="s">
        <v>1432</v>
      </c>
      <c r="G556" s="4" t="s">
        <v>1334</v>
      </c>
      <c r="H556" s="4" t="s">
        <v>1418</v>
      </c>
      <c r="I556" s="3">
        <v>4</v>
      </c>
      <c r="J556" s="29" t="str">
        <f t="shared" si="74"/>
        <v>1</v>
      </c>
      <c r="K556" s="54" t="str">
        <f t="shared" si="75"/>
        <v>1</v>
      </c>
      <c r="L556" s="69" t="str">
        <f t="shared" si="82"/>
        <v>0</v>
      </c>
      <c r="M556" s="74" t="str">
        <f t="shared" si="76"/>
        <v>1</v>
      </c>
      <c r="N556" s="29" t="str">
        <f t="shared" si="77"/>
        <v>0</v>
      </c>
      <c r="O556" s="61">
        <v>1</v>
      </c>
      <c r="P556" s="65">
        <v>1</v>
      </c>
      <c r="Q556" s="46">
        <f t="shared" si="78"/>
        <v>5</v>
      </c>
      <c r="R556" s="83" t="str">
        <f t="shared" si="79"/>
        <v>ผ่าน</v>
      </c>
      <c r="S556" s="3" t="s">
        <v>28</v>
      </c>
    </row>
    <row r="557" spans="1:19" ht="24">
      <c r="A557" s="3">
        <v>556</v>
      </c>
      <c r="B557" s="105">
        <v>6312269126</v>
      </c>
      <c r="C557" s="4" t="s">
        <v>22</v>
      </c>
      <c r="D557" s="4" t="s">
        <v>1444</v>
      </c>
      <c r="E557" s="4" t="s">
        <v>1445</v>
      </c>
      <c r="F557" s="4" t="s">
        <v>1446</v>
      </c>
      <c r="G557" s="4" t="s">
        <v>1334</v>
      </c>
      <c r="H557" s="4" t="s">
        <v>1418</v>
      </c>
      <c r="I557" s="3">
        <v>4</v>
      </c>
      <c r="J557" s="29" t="str">
        <f t="shared" si="74"/>
        <v>1</v>
      </c>
      <c r="K557" s="54" t="str">
        <f t="shared" si="75"/>
        <v>1</v>
      </c>
      <c r="L557" s="69" t="str">
        <f t="shared" si="82"/>
        <v>0</v>
      </c>
      <c r="M557" s="74" t="str">
        <f t="shared" si="76"/>
        <v>1</v>
      </c>
      <c r="N557" s="29" t="str">
        <f t="shared" si="77"/>
        <v>0</v>
      </c>
      <c r="O557" s="61">
        <v>1</v>
      </c>
      <c r="P557" s="65">
        <v>1</v>
      </c>
      <c r="Q557" s="46">
        <f t="shared" si="78"/>
        <v>5</v>
      </c>
      <c r="R557" s="83" t="str">
        <f t="shared" si="79"/>
        <v>ผ่าน</v>
      </c>
      <c r="S557" s="3" t="s">
        <v>28</v>
      </c>
    </row>
    <row r="558" spans="1:19" ht="24">
      <c r="A558" s="3">
        <v>557</v>
      </c>
      <c r="B558" s="105">
        <v>6615964116</v>
      </c>
      <c r="C558" s="4" t="s">
        <v>22</v>
      </c>
      <c r="D558" s="4" t="s">
        <v>1447</v>
      </c>
      <c r="E558" s="4" t="s">
        <v>1448</v>
      </c>
      <c r="F558" s="4" t="s">
        <v>1432</v>
      </c>
      <c r="G558" s="4" t="s">
        <v>1334</v>
      </c>
      <c r="H558" s="4" t="s">
        <v>1449</v>
      </c>
      <c r="I558" s="3">
        <v>1</v>
      </c>
      <c r="J558" s="29" t="str">
        <f t="shared" si="74"/>
        <v>0</v>
      </c>
      <c r="K558" s="54" t="str">
        <f t="shared" si="75"/>
        <v>0</v>
      </c>
      <c r="L558" s="69" t="str">
        <f t="shared" si="82"/>
        <v>0</v>
      </c>
      <c r="M558" s="74" t="str">
        <f t="shared" si="76"/>
        <v>0</v>
      </c>
      <c r="N558" s="29" t="str">
        <f t="shared" si="77"/>
        <v>0</v>
      </c>
      <c r="O558" s="61" t="str">
        <f t="shared" ca="1" si="80"/>
        <v>0</v>
      </c>
      <c r="P558" s="65" t="str">
        <f t="shared" si="81"/>
        <v>0</v>
      </c>
      <c r="Q558" s="46">
        <f t="shared" ca="1" si="78"/>
        <v>0</v>
      </c>
      <c r="R558" s="3" t="str">
        <f t="shared" ca="1" si="79"/>
        <v>ไม่ผ่าน</v>
      </c>
      <c r="S558" s="3" t="s">
        <v>28</v>
      </c>
    </row>
    <row r="559" spans="1:19" ht="24">
      <c r="A559" s="3">
        <v>558</v>
      </c>
      <c r="B559" s="105">
        <v>6515944125</v>
      </c>
      <c r="C559" s="4" t="s">
        <v>22</v>
      </c>
      <c r="D559" s="4" t="s">
        <v>429</v>
      </c>
      <c r="E559" s="4" t="s">
        <v>1450</v>
      </c>
      <c r="F559" s="4" t="s">
        <v>1451</v>
      </c>
      <c r="G559" s="4" t="s">
        <v>1334</v>
      </c>
      <c r="H559" s="4" t="s">
        <v>1449</v>
      </c>
      <c r="I559" s="3">
        <v>2</v>
      </c>
      <c r="J559" s="29" t="str">
        <f t="shared" si="74"/>
        <v>0</v>
      </c>
      <c r="K559" s="54" t="str">
        <f t="shared" si="75"/>
        <v>0</v>
      </c>
      <c r="L559" s="69" t="str">
        <f t="shared" si="82"/>
        <v>0</v>
      </c>
      <c r="M559" s="74" t="str">
        <f t="shared" si="76"/>
        <v>0</v>
      </c>
      <c r="N559" s="29" t="str">
        <f t="shared" si="77"/>
        <v>0</v>
      </c>
      <c r="O559" s="61" t="str">
        <f t="shared" ca="1" si="80"/>
        <v>0</v>
      </c>
      <c r="P559" s="65" t="str">
        <f t="shared" si="81"/>
        <v>0</v>
      </c>
      <c r="Q559" s="46">
        <f t="shared" ca="1" si="78"/>
        <v>0</v>
      </c>
      <c r="R559" s="3" t="str">
        <f t="shared" ca="1" si="79"/>
        <v>ไม่ผ่าน</v>
      </c>
      <c r="S559" s="3" t="s">
        <v>28</v>
      </c>
    </row>
    <row r="560" spans="1:19" ht="24">
      <c r="A560" s="3">
        <v>559</v>
      </c>
      <c r="B560" s="105">
        <v>6515964105</v>
      </c>
      <c r="C560" s="4" t="s">
        <v>22</v>
      </c>
      <c r="D560" s="4" t="s">
        <v>1452</v>
      </c>
      <c r="E560" s="4" t="s">
        <v>1453</v>
      </c>
      <c r="F560" s="4" t="s">
        <v>1454</v>
      </c>
      <c r="G560" s="4" t="s">
        <v>1334</v>
      </c>
      <c r="H560" s="4" t="s">
        <v>1449</v>
      </c>
      <c r="I560" s="3">
        <v>2</v>
      </c>
      <c r="J560" s="29" t="str">
        <f t="shared" si="74"/>
        <v>1</v>
      </c>
      <c r="K560" s="54" t="str">
        <f t="shared" si="75"/>
        <v>1</v>
      </c>
      <c r="L560" s="69" t="str">
        <f t="shared" si="82"/>
        <v>0</v>
      </c>
      <c r="M560" s="74" t="str">
        <f t="shared" si="76"/>
        <v>0</v>
      </c>
      <c r="N560" s="29" t="str">
        <f t="shared" si="77"/>
        <v>0</v>
      </c>
      <c r="O560" s="61" t="str">
        <f t="shared" ca="1" si="80"/>
        <v>1</v>
      </c>
      <c r="P560" s="65" t="str">
        <f t="shared" si="81"/>
        <v>1</v>
      </c>
      <c r="Q560" s="46">
        <f t="shared" ca="1" si="78"/>
        <v>4</v>
      </c>
      <c r="R560" s="83" t="str">
        <f t="shared" ca="1" si="79"/>
        <v>ผ่าน</v>
      </c>
      <c r="S560" s="3" t="s">
        <v>28</v>
      </c>
    </row>
    <row r="561" spans="1:19" ht="24">
      <c r="A561" s="3">
        <v>560</v>
      </c>
      <c r="B561" s="105">
        <v>6515964107</v>
      </c>
      <c r="C561" s="4" t="s">
        <v>22</v>
      </c>
      <c r="D561" s="4" t="s">
        <v>1455</v>
      </c>
      <c r="E561" s="4" t="s">
        <v>1456</v>
      </c>
      <c r="F561" s="4" t="s">
        <v>1457</v>
      </c>
      <c r="G561" s="4" t="s">
        <v>1334</v>
      </c>
      <c r="H561" s="4" t="s">
        <v>1449</v>
      </c>
      <c r="I561" s="3">
        <v>2</v>
      </c>
      <c r="J561" s="29" t="str">
        <f t="shared" si="74"/>
        <v>1</v>
      </c>
      <c r="K561" s="54" t="str">
        <f t="shared" si="75"/>
        <v>1</v>
      </c>
      <c r="L561" s="69" t="str">
        <f t="shared" si="82"/>
        <v>0</v>
      </c>
      <c r="M561" s="74" t="str">
        <f t="shared" si="76"/>
        <v>0</v>
      </c>
      <c r="N561" s="29" t="str">
        <f t="shared" si="77"/>
        <v>0</v>
      </c>
      <c r="O561" s="61" t="str">
        <f t="shared" ca="1" si="80"/>
        <v>1</v>
      </c>
      <c r="P561" s="65" t="str">
        <f t="shared" si="81"/>
        <v>1</v>
      </c>
      <c r="Q561" s="46">
        <f t="shared" ca="1" si="78"/>
        <v>4</v>
      </c>
      <c r="R561" s="83" t="str">
        <f t="shared" ca="1" si="79"/>
        <v>ผ่าน</v>
      </c>
      <c r="S561" s="3" t="s">
        <v>28</v>
      </c>
    </row>
    <row r="562" spans="1:19" ht="24">
      <c r="A562" s="3">
        <v>561</v>
      </c>
      <c r="B562" s="105">
        <v>6515964109</v>
      </c>
      <c r="C562" s="4" t="s">
        <v>22</v>
      </c>
      <c r="D562" s="4" t="s">
        <v>1458</v>
      </c>
      <c r="E562" s="4" t="s">
        <v>1459</v>
      </c>
      <c r="F562" s="4" t="s">
        <v>1460</v>
      </c>
      <c r="G562" s="4" t="s">
        <v>1334</v>
      </c>
      <c r="H562" s="4" t="s">
        <v>1449</v>
      </c>
      <c r="I562" s="3">
        <v>2</v>
      </c>
      <c r="J562" s="29" t="str">
        <f t="shared" si="74"/>
        <v>1</v>
      </c>
      <c r="K562" s="54" t="str">
        <f t="shared" si="75"/>
        <v>0</v>
      </c>
      <c r="L562" s="69" t="str">
        <f t="shared" si="82"/>
        <v>0</v>
      </c>
      <c r="M562" s="74" t="str">
        <f t="shared" si="76"/>
        <v>0</v>
      </c>
      <c r="N562" s="29" t="str">
        <f t="shared" si="77"/>
        <v>0</v>
      </c>
      <c r="O562" s="61" t="str">
        <f t="shared" ca="1" si="80"/>
        <v>1</v>
      </c>
      <c r="P562" s="65" t="str">
        <f t="shared" si="81"/>
        <v>1</v>
      </c>
      <c r="Q562" s="46">
        <f t="shared" ca="1" si="78"/>
        <v>3</v>
      </c>
      <c r="R562" s="83" t="str">
        <f t="shared" ca="1" si="79"/>
        <v>ผ่าน</v>
      </c>
      <c r="S562" s="3" t="s">
        <v>28</v>
      </c>
    </row>
    <row r="563" spans="1:19" ht="24">
      <c r="A563" s="3">
        <v>562</v>
      </c>
      <c r="B563" s="105">
        <v>6515964112</v>
      </c>
      <c r="C563" s="4" t="s">
        <v>22</v>
      </c>
      <c r="D563" s="4" t="s">
        <v>1461</v>
      </c>
      <c r="E563" s="4" t="s">
        <v>1462</v>
      </c>
      <c r="F563" s="4" t="s">
        <v>812</v>
      </c>
      <c r="G563" s="4" t="s">
        <v>1334</v>
      </c>
      <c r="H563" s="4" t="s">
        <v>1449</v>
      </c>
      <c r="I563" s="3">
        <v>2</v>
      </c>
      <c r="J563" s="29" t="str">
        <f t="shared" si="74"/>
        <v>1</v>
      </c>
      <c r="K563" s="54" t="str">
        <f t="shared" si="75"/>
        <v>1</v>
      </c>
      <c r="L563" s="69" t="str">
        <f t="shared" si="82"/>
        <v>0</v>
      </c>
      <c r="M563" s="74" t="str">
        <f t="shared" si="76"/>
        <v>1</v>
      </c>
      <c r="N563" s="29" t="str">
        <f t="shared" si="77"/>
        <v>0</v>
      </c>
      <c r="O563" s="61" t="str">
        <f t="shared" ca="1" si="80"/>
        <v>1</v>
      </c>
      <c r="P563" s="65" t="str">
        <f t="shared" si="81"/>
        <v>1</v>
      </c>
      <c r="Q563" s="46">
        <f t="shared" ca="1" si="78"/>
        <v>5</v>
      </c>
      <c r="R563" s="83" t="str">
        <f t="shared" ca="1" si="79"/>
        <v>ผ่าน</v>
      </c>
      <c r="S563" s="3" t="s">
        <v>28</v>
      </c>
    </row>
    <row r="564" spans="1:19" ht="24">
      <c r="A564" s="3">
        <v>563</v>
      </c>
      <c r="B564" s="105">
        <v>6415964119</v>
      </c>
      <c r="C564" s="4" t="s">
        <v>29</v>
      </c>
      <c r="D564" s="4" t="s">
        <v>1463</v>
      </c>
      <c r="E564" s="4" t="s">
        <v>1464</v>
      </c>
      <c r="F564" s="4" t="s">
        <v>1465</v>
      </c>
      <c r="G564" s="4" t="s">
        <v>1334</v>
      </c>
      <c r="H564" s="4" t="s">
        <v>1449</v>
      </c>
      <c r="I564" s="3">
        <v>3</v>
      </c>
      <c r="J564" s="29" t="str">
        <f t="shared" si="74"/>
        <v>1</v>
      </c>
      <c r="K564" s="54" t="str">
        <f t="shared" si="75"/>
        <v>1</v>
      </c>
      <c r="L564" s="69" t="str">
        <f t="shared" si="82"/>
        <v>0</v>
      </c>
      <c r="M564" s="74" t="str">
        <f t="shared" si="76"/>
        <v>1</v>
      </c>
      <c r="N564" s="29" t="str">
        <f t="shared" si="77"/>
        <v>0</v>
      </c>
      <c r="O564" s="61" t="str">
        <f t="shared" ca="1" si="80"/>
        <v>1</v>
      </c>
      <c r="P564" s="65" t="str">
        <f t="shared" si="81"/>
        <v>1</v>
      </c>
      <c r="Q564" s="46">
        <f t="shared" ca="1" si="78"/>
        <v>5</v>
      </c>
      <c r="R564" s="83" t="str">
        <f t="shared" ca="1" si="79"/>
        <v>ผ่าน</v>
      </c>
      <c r="S564" s="3" t="s">
        <v>28</v>
      </c>
    </row>
    <row r="565" spans="1:19" ht="24">
      <c r="A565" s="3">
        <v>564</v>
      </c>
      <c r="B565" s="105">
        <v>6415964122</v>
      </c>
      <c r="C565" s="4" t="s">
        <v>29</v>
      </c>
      <c r="D565" s="4" t="s">
        <v>1466</v>
      </c>
      <c r="E565" s="4" t="s">
        <v>1467</v>
      </c>
      <c r="F565" s="4" t="s">
        <v>230</v>
      </c>
      <c r="G565" s="4" t="s">
        <v>1334</v>
      </c>
      <c r="H565" s="4" t="s">
        <v>1449</v>
      </c>
      <c r="I565" s="3">
        <v>3</v>
      </c>
      <c r="J565" s="29" t="str">
        <f t="shared" si="74"/>
        <v>0</v>
      </c>
      <c r="K565" s="54" t="str">
        <f t="shared" si="75"/>
        <v>1</v>
      </c>
      <c r="L565" s="69" t="str">
        <f t="shared" si="82"/>
        <v>0</v>
      </c>
      <c r="M565" s="74" t="str">
        <f t="shared" si="76"/>
        <v>1</v>
      </c>
      <c r="N565" s="29" t="str">
        <f t="shared" si="77"/>
        <v>0</v>
      </c>
      <c r="O565" s="61" t="str">
        <f t="shared" ca="1" si="80"/>
        <v>1</v>
      </c>
      <c r="P565" s="65" t="str">
        <f t="shared" si="81"/>
        <v>1</v>
      </c>
      <c r="Q565" s="46">
        <f t="shared" ca="1" si="78"/>
        <v>4</v>
      </c>
      <c r="R565" s="83" t="str">
        <f t="shared" ca="1" si="79"/>
        <v>ผ่าน</v>
      </c>
      <c r="S565" s="3" t="s">
        <v>28</v>
      </c>
    </row>
    <row r="566" spans="1:19" ht="24">
      <c r="A566" s="3">
        <v>565</v>
      </c>
      <c r="B566" s="105">
        <v>6415964123</v>
      </c>
      <c r="C566" s="4" t="s">
        <v>29</v>
      </c>
      <c r="D566" s="4" t="s">
        <v>1468</v>
      </c>
      <c r="E566" s="4" t="s">
        <v>1469</v>
      </c>
      <c r="F566" s="4" t="s">
        <v>453</v>
      </c>
      <c r="G566" s="4" t="s">
        <v>1334</v>
      </c>
      <c r="H566" s="4" t="s">
        <v>1449</v>
      </c>
      <c r="I566" s="3">
        <v>3</v>
      </c>
      <c r="J566" s="29" t="str">
        <f t="shared" si="74"/>
        <v>1</v>
      </c>
      <c r="K566" s="54" t="str">
        <f t="shared" si="75"/>
        <v>1</v>
      </c>
      <c r="L566" s="69" t="str">
        <f t="shared" si="82"/>
        <v>0</v>
      </c>
      <c r="M566" s="74" t="str">
        <f t="shared" si="76"/>
        <v>1</v>
      </c>
      <c r="N566" s="29" t="str">
        <f t="shared" si="77"/>
        <v>0</v>
      </c>
      <c r="O566" s="61" t="str">
        <f t="shared" ca="1" si="80"/>
        <v>1</v>
      </c>
      <c r="P566" s="65" t="str">
        <f t="shared" si="81"/>
        <v>1</v>
      </c>
      <c r="Q566" s="46">
        <f t="shared" ca="1" si="78"/>
        <v>5</v>
      </c>
      <c r="R566" s="83" t="str">
        <f t="shared" ca="1" si="79"/>
        <v>ผ่าน</v>
      </c>
      <c r="S566" s="3" t="s">
        <v>28</v>
      </c>
    </row>
    <row r="567" spans="1:19" ht="24">
      <c r="A567" s="3">
        <v>566</v>
      </c>
      <c r="B567" s="105">
        <v>6315964101</v>
      </c>
      <c r="C567" s="4" t="s">
        <v>22</v>
      </c>
      <c r="D567" s="4" t="s">
        <v>1470</v>
      </c>
      <c r="E567" s="4" t="s">
        <v>1471</v>
      </c>
      <c r="F567" s="4" t="s">
        <v>1472</v>
      </c>
      <c r="G567" s="4" t="s">
        <v>1334</v>
      </c>
      <c r="H567" s="4" t="s">
        <v>1449</v>
      </c>
      <c r="I567" s="3">
        <v>4</v>
      </c>
      <c r="J567" s="29" t="str">
        <f t="shared" si="74"/>
        <v>0</v>
      </c>
      <c r="K567" s="54" t="str">
        <f t="shared" si="75"/>
        <v>0</v>
      </c>
      <c r="L567" s="69" t="str">
        <f t="shared" si="82"/>
        <v>0</v>
      </c>
      <c r="M567" s="74" t="str">
        <f t="shared" si="76"/>
        <v>1</v>
      </c>
      <c r="N567" s="29" t="str">
        <f t="shared" si="77"/>
        <v>0</v>
      </c>
      <c r="O567" s="61">
        <v>1</v>
      </c>
      <c r="P567" s="65">
        <v>1</v>
      </c>
      <c r="Q567" s="46">
        <f t="shared" si="78"/>
        <v>3</v>
      </c>
      <c r="R567" s="83" t="str">
        <f t="shared" si="79"/>
        <v>ผ่าน</v>
      </c>
      <c r="S567" s="3" t="s">
        <v>28</v>
      </c>
    </row>
    <row r="568" spans="1:19" ht="24">
      <c r="A568" s="3">
        <v>567</v>
      </c>
      <c r="B568" s="105">
        <v>6315964102</v>
      </c>
      <c r="C568" s="4" t="s">
        <v>22</v>
      </c>
      <c r="D568" s="4" t="s">
        <v>1473</v>
      </c>
      <c r="E568" s="4" t="s">
        <v>1474</v>
      </c>
      <c r="F568" s="4" t="s">
        <v>22</v>
      </c>
      <c r="G568" s="4" t="s">
        <v>1334</v>
      </c>
      <c r="H568" s="4" t="s">
        <v>1449</v>
      </c>
      <c r="I568" s="3">
        <v>4</v>
      </c>
      <c r="J568" s="29" t="str">
        <f t="shared" si="74"/>
        <v>1</v>
      </c>
      <c r="K568" s="54" t="str">
        <f t="shared" si="75"/>
        <v>1</v>
      </c>
      <c r="L568" s="69" t="str">
        <f t="shared" si="82"/>
        <v>0</v>
      </c>
      <c r="M568" s="74" t="str">
        <f t="shared" si="76"/>
        <v>1</v>
      </c>
      <c r="N568" s="29" t="str">
        <f t="shared" si="77"/>
        <v>0</v>
      </c>
      <c r="O568" s="61">
        <v>1</v>
      </c>
      <c r="P568" s="65">
        <v>1</v>
      </c>
      <c r="Q568" s="46">
        <f t="shared" si="78"/>
        <v>5</v>
      </c>
      <c r="R568" s="83" t="str">
        <f t="shared" si="79"/>
        <v>ผ่าน</v>
      </c>
      <c r="S568" s="3" t="s">
        <v>28</v>
      </c>
    </row>
    <row r="569" spans="1:19" ht="24">
      <c r="A569" s="3">
        <v>568</v>
      </c>
      <c r="B569" s="105">
        <v>6315964103</v>
      </c>
      <c r="C569" s="4" t="s">
        <v>22</v>
      </c>
      <c r="D569" s="4" t="s">
        <v>1475</v>
      </c>
      <c r="E569" s="4" t="s">
        <v>1476</v>
      </c>
      <c r="F569" s="4" t="s">
        <v>1477</v>
      </c>
      <c r="G569" s="4" t="s">
        <v>1334</v>
      </c>
      <c r="H569" s="4" t="s">
        <v>1449</v>
      </c>
      <c r="I569" s="3">
        <v>4</v>
      </c>
      <c r="J569" s="29" t="str">
        <f t="shared" si="74"/>
        <v>1</v>
      </c>
      <c r="K569" s="54" t="str">
        <f t="shared" si="75"/>
        <v>1</v>
      </c>
      <c r="L569" s="69" t="str">
        <f t="shared" si="82"/>
        <v>0</v>
      </c>
      <c r="M569" s="74" t="str">
        <f t="shared" si="76"/>
        <v>1</v>
      </c>
      <c r="N569" s="29" t="str">
        <f t="shared" si="77"/>
        <v>0</v>
      </c>
      <c r="O569" s="61">
        <v>1</v>
      </c>
      <c r="P569" s="65">
        <v>1</v>
      </c>
      <c r="Q569" s="46">
        <f t="shared" si="78"/>
        <v>5</v>
      </c>
      <c r="R569" s="83" t="str">
        <f t="shared" si="79"/>
        <v>ผ่าน</v>
      </c>
      <c r="S569" s="3" t="s">
        <v>28</v>
      </c>
    </row>
    <row r="570" spans="1:19" ht="24">
      <c r="A570" s="3">
        <v>569</v>
      </c>
      <c r="B570" s="105">
        <v>6315964104</v>
      </c>
      <c r="C570" s="4" t="s">
        <v>22</v>
      </c>
      <c r="D570" s="4" t="s">
        <v>1478</v>
      </c>
      <c r="E570" s="4" t="s">
        <v>1479</v>
      </c>
      <c r="F570" s="4" t="s">
        <v>1480</v>
      </c>
      <c r="G570" s="4" t="s">
        <v>1334</v>
      </c>
      <c r="H570" s="4" t="s">
        <v>1449</v>
      </c>
      <c r="I570" s="3">
        <v>4</v>
      </c>
      <c r="J570" s="29" t="str">
        <f t="shared" si="74"/>
        <v>1</v>
      </c>
      <c r="K570" s="54">
        <v>1</v>
      </c>
      <c r="L570" s="69" t="str">
        <f t="shared" si="82"/>
        <v>0</v>
      </c>
      <c r="M570" s="74" t="str">
        <f t="shared" si="76"/>
        <v>1</v>
      </c>
      <c r="N570" s="29" t="str">
        <f t="shared" si="77"/>
        <v>0</v>
      </c>
      <c r="O570" s="61">
        <v>1</v>
      </c>
      <c r="P570" s="65">
        <v>1</v>
      </c>
      <c r="Q570" s="46">
        <f t="shared" si="78"/>
        <v>5</v>
      </c>
      <c r="R570" s="83" t="str">
        <f t="shared" si="79"/>
        <v>ผ่าน</v>
      </c>
      <c r="S570" s="3" t="s">
        <v>28</v>
      </c>
    </row>
    <row r="571" spans="1:19" ht="24">
      <c r="A571" s="3">
        <v>570</v>
      </c>
      <c r="B571" s="105">
        <v>6315964106</v>
      </c>
      <c r="C571" s="4" t="s">
        <v>22</v>
      </c>
      <c r="D571" s="4" t="s">
        <v>1481</v>
      </c>
      <c r="E571" s="4" t="s">
        <v>1482</v>
      </c>
      <c r="F571" s="4" t="s">
        <v>1483</v>
      </c>
      <c r="G571" s="4" t="s">
        <v>1334</v>
      </c>
      <c r="H571" s="4" t="s">
        <v>1449</v>
      </c>
      <c r="I571" s="3">
        <v>4</v>
      </c>
      <c r="J571" s="29" t="str">
        <f t="shared" si="74"/>
        <v>1</v>
      </c>
      <c r="K571" s="54">
        <v>1</v>
      </c>
      <c r="L571" s="69" t="str">
        <f t="shared" si="82"/>
        <v>0</v>
      </c>
      <c r="M571" s="74" t="str">
        <f t="shared" si="76"/>
        <v>1</v>
      </c>
      <c r="N571" s="29" t="str">
        <f t="shared" si="77"/>
        <v>0</v>
      </c>
      <c r="O571" s="61">
        <v>1</v>
      </c>
      <c r="P571" s="65">
        <v>1</v>
      </c>
      <c r="Q571" s="46">
        <f t="shared" si="78"/>
        <v>5</v>
      </c>
      <c r="R571" s="83" t="str">
        <f t="shared" si="79"/>
        <v>ผ่าน</v>
      </c>
      <c r="S571" s="3" t="s">
        <v>28</v>
      </c>
    </row>
    <row r="572" spans="1:19" ht="24">
      <c r="A572" s="3">
        <v>571</v>
      </c>
      <c r="B572" s="105">
        <v>6315964107</v>
      </c>
      <c r="C572" s="4" t="s">
        <v>22</v>
      </c>
      <c r="D572" s="4" t="s">
        <v>1484</v>
      </c>
      <c r="E572" s="4" t="s">
        <v>1485</v>
      </c>
      <c r="F572" s="4" t="s">
        <v>952</v>
      </c>
      <c r="G572" s="4" t="s">
        <v>1334</v>
      </c>
      <c r="H572" s="4" t="s">
        <v>1449</v>
      </c>
      <c r="I572" s="3">
        <v>4</v>
      </c>
      <c r="J572" s="29" t="str">
        <f t="shared" si="74"/>
        <v>1</v>
      </c>
      <c r="K572" s="54" t="str">
        <f t="shared" si="75"/>
        <v>1</v>
      </c>
      <c r="L572" s="69" t="str">
        <f t="shared" si="82"/>
        <v>0</v>
      </c>
      <c r="M572" s="74" t="str">
        <f t="shared" si="76"/>
        <v>1</v>
      </c>
      <c r="N572" s="29" t="str">
        <f t="shared" si="77"/>
        <v>0</v>
      </c>
      <c r="O572" s="61">
        <v>1</v>
      </c>
      <c r="P572" s="65">
        <v>1</v>
      </c>
      <c r="Q572" s="46">
        <f t="shared" si="78"/>
        <v>5</v>
      </c>
      <c r="R572" s="83" t="str">
        <f t="shared" si="79"/>
        <v>ผ่าน</v>
      </c>
      <c r="S572" s="3" t="s">
        <v>28</v>
      </c>
    </row>
    <row r="573" spans="1:19" ht="24">
      <c r="A573" s="3">
        <v>572</v>
      </c>
      <c r="B573" s="105">
        <v>6315964110</v>
      </c>
      <c r="C573" s="4" t="s">
        <v>22</v>
      </c>
      <c r="D573" s="4" t="s">
        <v>585</v>
      </c>
      <c r="E573" s="4" t="s">
        <v>668</v>
      </c>
      <c r="F573" s="4" t="s">
        <v>1486</v>
      </c>
      <c r="G573" s="4" t="s">
        <v>1334</v>
      </c>
      <c r="H573" s="4" t="s">
        <v>1449</v>
      </c>
      <c r="I573" s="3">
        <v>4</v>
      </c>
      <c r="J573" s="29" t="str">
        <f t="shared" si="74"/>
        <v>1</v>
      </c>
      <c r="K573" s="54" t="str">
        <f t="shared" si="75"/>
        <v>0</v>
      </c>
      <c r="L573" s="69" t="str">
        <f t="shared" si="82"/>
        <v>0</v>
      </c>
      <c r="M573" s="74" t="str">
        <f t="shared" si="76"/>
        <v>0</v>
      </c>
      <c r="N573" s="29" t="str">
        <f t="shared" si="77"/>
        <v>0</v>
      </c>
      <c r="O573" s="61">
        <v>1</v>
      </c>
      <c r="P573" s="65">
        <v>1</v>
      </c>
      <c r="Q573" s="46">
        <f t="shared" si="78"/>
        <v>3</v>
      </c>
      <c r="R573" s="83" t="str">
        <f t="shared" si="79"/>
        <v>ผ่าน</v>
      </c>
      <c r="S573" s="3" t="s">
        <v>28</v>
      </c>
    </row>
    <row r="574" spans="1:19" ht="24">
      <c r="A574" s="3">
        <v>573</v>
      </c>
      <c r="B574" s="105">
        <v>6315964111</v>
      </c>
      <c r="C574" s="4" t="s">
        <v>22</v>
      </c>
      <c r="D574" s="4" t="s">
        <v>1487</v>
      </c>
      <c r="E574" s="4" t="s">
        <v>1488</v>
      </c>
      <c r="F574" s="4" t="s">
        <v>1489</v>
      </c>
      <c r="G574" s="4" t="s">
        <v>1334</v>
      </c>
      <c r="H574" s="4" t="s">
        <v>1449</v>
      </c>
      <c r="I574" s="3">
        <v>4</v>
      </c>
      <c r="J574" s="29" t="str">
        <f t="shared" si="74"/>
        <v>1</v>
      </c>
      <c r="K574" s="54" t="str">
        <f t="shared" si="75"/>
        <v>1</v>
      </c>
      <c r="L574" s="69" t="str">
        <f t="shared" si="82"/>
        <v>0</v>
      </c>
      <c r="M574" s="74" t="str">
        <f t="shared" si="76"/>
        <v>1</v>
      </c>
      <c r="N574" s="29" t="str">
        <f t="shared" si="77"/>
        <v>0</v>
      </c>
      <c r="O574" s="61">
        <v>1</v>
      </c>
      <c r="P574" s="65">
        <v>1</v>
      </c>
      <c r="Q574" s="46">
        <f t="shared" si="78"/>
        <v>5</v>
      </c>
      <c r="R574" s="83" t="str">
        <f t="shared" si="79"/>
        <v>ผ่าน</v>
      </c>
      <c r="S574" s="3" t="s">
        <v>28</v>
      </c>
    </row>
    <row r="575" spans="1:19" ht="24">
      <c r="A575" s="3">
        <v>574</v>
      </c>
      <c r="B575" s="105">
        <v>6315964112</v>
      </c>
      <c r="C575" s="4" t="s">
        <v>22</v>
      </c>
      <c r="D575" s="4" t="s">
        <v>1490</v>
      </c>
      <c r="E575" s="4" t="s">
        <v>1491</v>
      </c>
      <c r="F575" s="4" t="s">
        <v>1492</v>
      </c>
      <c r="G575" s="4" t="s">
        <v>1334</v>
      </c>
      <c r="H575" s="4" t="s">
        <v>1449</v>
      </c>
      <c r="I575" s="3">
        <v>4</v>
      </c>
      <c r="J575" s="29" t="str">
        <f t="shared" si="74"/>
        <v>1</v>
      </c>
      <c r="K575" s="54" t="str">
        <f t="shared" si="75"/>
        <v>1</v>
      </c>
      <c r="L575" s="69" t="str">
        <f t="shared" si="82"/>
        <v>0</v>
      </c>
      <c r="M575" s="74" t="str">
        <f t="shared" si="76"/>
        <v>1</v>
      </c>
      <c r="N575" s="29" t="str">
        <f t="shared" si="77"/>
        <v>0</v>
      </c>
      <c r="O575" s="61">
        <v>1</v>
      </c>
      <c r="P575" s="65">
        <v>1</v>
      </c>
      <c r="Q575" s="46">
        <f t="shared" si="78"/>
        <v>5</v>
      </c>
      <c r="R575" s="83" t="str">
        <f t="shared" si="79"/>
        <v>ผ่าน</v>
      </c>
      <c r="S575" s="3" t="s">
        <v>28</v>
      </c>
    </row>
    <row r="576" spans="1:19" ht="24">
      <c r="A576" s="3">
        <v>575</v>
      </c>
      <c r="B576" s="105">
        <v>6315964113</v>
      </c>
      <c r="C576" s="4" t="s">
        <v>22</v>
      </c>
      <c r="D576" s="4" t="s">
        <v>1493</v>
      </c>
      <c r="E576" s="4" t="s">
        <v>1494</v>
      </c>
      <c r="F576" s="4" t="s">
        <v>1290</v>
      </c>
      <c r="G576" s="4" t="s">
        <v>1334</v>
      </c>
      <c r="H576" s="4" t="s">
        <v>1449</v>
      </c>
      <c r="I576" s="3">
        <v>4</v>
      </c>
      <c r="J576" s="29" t="str">
        <f t="shared" si="74"/>
        <v>0</v>
      </c>
      <c r="K576" s="54" t="str">
        <f t="shared" si="75"/>
        <v>0</v>
      </c>
      <c r="L576" s="69" t="str">
        <f t="shared" si="82"/>
        <v>0</v>
      </c>
      <c r="M576" s="74" t="str">
        <f t="shared" si="76"/>
        <v>0</v>
      </c>
      <c r="N576" s="29" t="str">
        <f t="shared" si="77"/>
        <v>0</v>
      </c>
      <c r="O576" s="61">
        <v>1</v>
      </c>
      <c r="P576" s="65">
        <v>1</v>
      </c>
      <c r="Q576" s="46">
        <f t="shared" si="78"/>
        <v>2</v>
      </c>
      <c r="R576" s="3" t="str">
        <f t="shared" si="79"/>
        <v>ไม่ผ่าน</v>
      </c>
      <c r="S576" s="3" t="s">
        <v>28</v>
      </c>
    </row>
    <row r="577" spans="1:19" ht="24">
      <c r="A577" s="3">
        <v>576</v>
      </c>
      <c r="B577" s="105">
        <v>6315964117</v>
      </c>
      <c r="C577" s="4" t="s">
        <v>29</v>
      </c>
      <c r="D577" s="4" t="s">
        <v>1495</v>
      </c>
      <c r="E577" s="4" t="s">
        <v>1496</v>
      </c>
      <c r="F577" s="4" t="s">
        <v>924</v>
      </c>
      <c r="G577" s="4" t="s">
        <v>1334</v>
      </c>
      <c r="H577" s="4" t="s">
        <v>1449</v>
      </c>
      <c r="I577" s="3">
        <v>4</v>
      </c>
      <c r="J577" s="29" t="str">
        <f t="shared" si="74"/>
        <v>1</v>
      </c>
      <c r="K577" s="54" t="str">
        <f t="shared" si="75"/>
        <v>1</v>
      </c>
      <c r="L577" s="69" t="str">
        <f t="shared" si="82"/>
        <v>0</v>
      </c>
      <c r="M577" s="74" t="str">
        <f t="shared" si="76"/>
        <v>1</v>
      </c>
      <c r="N577" s="29" t="str">
        <f t="shared" si="77"/>
        <v>0</v>
      </c>
      <c r="O577" s="61">
        <v>1</v>
      </c>
      <c r="P577" s="65">
        <v>1</v>
      </c>
      <c r="Q577" s="46">
        <f t="shared" si="78"/>
        <v>5</v>
      </c>
      <c r="R577" s="83" t="str">
        <f t="shared" si="79"/>
        <v>ผ่าน</v>
      </c>
      <c r="S577" s="3" t="s">
        <v>28</v>
      </c>
    </row>
    <row r="578" spans="1:19" ht="24">
      <c r="A578" s="3">
        <v>577</v>
      </c>
      <c r="B578" s="105">
        <v>6315964118</v>
      </c>
      <c r="C578" s="4" t="s">
        <v>29</v>
      </c>
      <c r="D578" s="4" t="s">
        <v>782</v>
      </c>
      <c r="E578" s="4" t="s">
        <v>1497</v>
      </c>
      <c r="F578" s="4" t="s">
        <v>127</v>
      </c>
      <c r="G578" s="4" t="s">
        <v>1334</v>
      </c>
      <c r="H578" s="4" t="s">
        <v>1449</v>
      </c>
      <c r="I578" s="3">
        <v>4</v>
      </c>
      <c r="J578" s="29" t="str">
        <f t="shared" ref="J578:J641" si="83">IF(IFERROR(VLOOKUP(B578,DATA,1,FALSE),),"1","0")</f>
        <v>1</v>
      </c>
      <c r="K578" s="54" t="str">
        <f t="shared" ref="K578:K641" si="84">IF(IFERROR(VLOOKUP(B578,DATA8,1,FALSE),),"1","0")</f>
        <v>0</v>
      </c>
      <c r="L578" s="69" t="str">
        <f t="shared" si="82"/>
        <v>0</v>
      </c>
      <c r="M578" s="74" t="str">
        <f t="shared" ref="M578:M641" si="85">IF(IFERROR(VLOOKUP(B578,DATA9,1,FALSE),),"1","0")</f>
        <v>1</v>
      </c>
      <c r="N578" s="29" t="str">
        <f t="shared" ref="N578:N641" si="86">IF(IFERROR(VLOOKUP(B578,DATA10,1,FALSE),),"1","0")</f>
        <v>0</v>
      </c>
      <c r="O578" s="61">
        <v>1</v>
      </c>
      <c r="P578" s="65">
        <v>1</v>
      </c>
      <c r="Q578" s="46">
        <f t="shared" si="78"/>
        <v>4</v>
      </c>
      <c r="R578" s="83" t="str">
        <f t="shared" si="79"/>
        <v>ผ่าน</v>
      </c>
      <c r="S578" s="3" t="s">
        <v>28</v>
      </c>
    </row>
    <row r="579" spans="1:19" ht="24">
      <c r="A579" s="3">
        <v>578</v>
      </c>
      <c r="B579" s="105">
        <v>6315964119</v>
      </c>
      <c r="C579" s="4" t="s">
        <v>29</v>
      </c>
      <c r="D579" s="4" t="s">
        <v>295</v>
      </c>
      <c r="E579" s="4" t="s">
        <v>106</v>
      </c>
      <c r="F579" s="4" t="s">
        <v>421</v>
      </c>
      <c r="G579" s="4" t="s">
        <v>1334</v>
      </c>
      <c r="H579" s="4" t="s">
        <v>1449</v>
      </c>
      <c r="I579" s="3">
        <v>4</v>
      </c>
      <c r="J579" s="29" t="str">
        <f t="shared" si="83"/>
        <v>1</v>
      </c>
      <c r="K579" s="54" t="str">
        <f t="shared" si="84"/>
        <v>1</v>
      </c>
      <c r="L579" s="69" t="str">
        <f t="shared" si="82"/>
        <v>0</v>
      </c>
      <c r="M579" s="74" t="str">
        <f t="shared" si="85"/>
        <v>1</v>
      </c>
      <c r="N579" s="29" t="str">
        <f t="shared" si="86"/>
        <v>0</v>
      </c>
      <c r="O579" s="61">
        <v>1</v>
      </c>
      <c r="P579" s="65">
        <v>1</v>
      </c>
      <c r="Q579" s="46">
        <f t="shared" ref="Q579:Q642" si="87">J579+K579+L579+M579+N579+O579+P579</f>
        <v>5</v>
      </c>
      <c r="R579" s="83" t="str">
        <f t="shared" ref="R579:R642" si="88">IF(Q579&gt;=3,"ผ่าน",IF(Q579&lt;3,"ไม่ผ่าน"))</f>
        <v>ผ่าน</v>
      </c>
      <c r="S579" s="3" t="s">
        <v>28</v>
      </c>
    </row>
    <row r="580" spans="1:19" ht="24">
      <c r="A580" s="3">
        <v>579</v>
      </c>
      <c r="B580" s="105">
        <v>6315964127</v>
      </c>
      <c r="C580" s="4" t="s">
        <v>22</v>
      </c>
      <c r="D580" s="4" t="s">
        <v>1498</v>
      </c>
      <c r="E580" s="4" t="s">
        <v>1499</v>
      </c>
      <c r="F580" s="4" t="s">
        <v>850</v>
      </c>
      <c r="G580" s="4" t="s">
        <v>1334</v>
      </c>
      <c r="H580" s="4" t="s">
        <v>1449</v>
      </c>
      <c r="I580" s="3">
        <v>4</v>
      </c>
      <c r="J580" s="29" t="str">
        <f t="shared" si="83"/>
        <v>1</v>
      </c>
      <c r="K580" s="54">
        <v>1</v>
      </c>
      <c r="L580" s="69" t="str">
        <f t="shared" si="82"/>
        <v>0</v>
      </c>
      <c r="M580" s="74" t="str">
        <f t="shared" si="85"/>
        <v>1</v>
      </c>
      <c r="N580" s="29" t="str">
        <f t="shared" si="86"/>
        <v>0</v>
      </c>
      <c r="O580" s="61">
        <v>1</v>
      </c>
      <c r="P580" s="65">
        <v>1</v>
      </c>
      <c r="Q580" s="46">
        <f t="shared" si="87"/>
        <v>5</v>
      </c>
      <c r="R580" s="83" t="str">
        <f t="shared" si="88"/>
        <v>ผ่าน</v>
      </c>
      <c r="S580" s="3" t="s">
        <v>28</v>
      </c>
    </row>
    <row r="581" spans="1:19" ht="24">
      <c r="A581" s="3">
        <v>580</v>
      </c>
      <c r="B581" s="105">
        <v>6612732108</v>
      </c>
      <c r="C581" s="4" t="s">
        <v>22</v>
      </c>
      <c r="D581" s="4" t="s">
        <v>1500</v>
      </c>
      <c r="E581" s="4" t="s">
        <v>1501</v>
      </c>
      <c r="F581" s="4" t="s">
        <v>1046</v>
      </c>
      <c r="G581" s="4" t="s">
        <v>1334</v>
      </c>
      <c r="H581" s="4" t="s">
        <v>1502</v>
      </c>
      <c r="I581" s="3">
        <v>1</v>
      </c>
      <c r="J581" s="29" t="str">
        <f t="shared" si="83"/>
        <v>1</v>
      </c>
      <c r="K581" s="54" t="str">
        <f t="shared" si="84"/>
        <v>1</v>
      </c>
      <c r="L581" s="69" t="str">
        <f t="shared" si="82"/>
        <v>0</v>
      </c>
      <c r="M581" s="74" t="str">
        <f t="shared" si="85"/>
        <v>1</v>
      </c>
      <c r="N581" s="29" t="str">
        <f t="shared" si="86"/>
        <v>0</v>
      </c>
      <c r="O581" s="61" t="str">
        <f t="shared" ref="O581:O644" ca="1" si="89">IF(IFERROR(VLOOKUP(B581,DATA11,1,FALSE),),"1","0")</f>
        <v>1</v>
      </c>
      <c r="P581" s="65" t="str">
        <f t="shared" ref="P581:P644" si="90">IF(IFERROR(VLOOKUP(B581,DATA12,1,FALSE),),"1","0")</f>
        <v>1</v>
      </c>
      <c r="Q581" s="46">
        <f t="shared" ca="1" si="87"/>
        <v>5</v>
      </c>
      <c r="R581" s="83" t="str">
        <f t="shared" ca="1" si="88"/>
        <v>ผ่าน</v>
      </c>
      <c r="S581" s="3" t="s">
        <v>28</v>
      </c>
    </row>
    <row r="582" spans="1:19" ht="24">
      <c r="A582" s="3">
        <v>581</v>
      </c>
      <c r="B582" s="105">
        <v>6612732118</v>
      </c>
      <c r="C582" s="4" t="s">
        <v>22</v>
      </c>
      <c r="D582" s="4" t="s">
        <v>1503</v>
      </c>
      <c r="E582" s="4" t="s">
        <v>1504</v>
      </c>
      <c r="F582" s="4" t="s">
        <v>616</v>
      </c>
      <c r="G582" s="4" t="s">
        <v>1334</v>
      </c>
      <c r="H582" s="4" t="s">
        <v>1502</v>
      </c>
      <c r="I582" s="3">
        <v>1</v>
      </c>
      <c r="J582" s="29" t="str">
        <f t="shared" si="83"/>
        <v>1</v>
      </c>
      <c r="K582" s="54" t="str">
        <f t="shared" si="84"/>
        <v>1</v>
      </c>
      <c r="L582" s="69" t="str">
        <f t="shared" si="82"/>
        <v>0</v>
      </c>
      <c r="M582" s="74" t="str">
        <f t="shared" si="85"/>
        <v>1</v>
      </c>
      <c r="N582" s="29" t="str">
        <f t="shared" si="86"/>
        <v>0</v>
      </c>
      <c r="O582" s="61" t="str">
        <f t="shared" ca="1" si="89"/>
        <v>1</v>
      </c>
      <c r="P582" s="65" t="str">
        <f t="shared" si="90"/>
        <v>1</v>
      </c>
      <c r="Q582" s="46">
        <f t="shared" ca="1" si="87"/>
        <v>5</v>
      </c>
      <c r="R582" s="83" t="str">
        <f t="shared" ca="1" si="88"/>
        <v>ผ่าน</v>
      </c>
      <c r="S582" s="3" t="s">
        <v>28</v>
      </c>
    </row>
    <row r="583" spans="1:19" ht="24">
      <c r="A583" s="3">
        <v>582</v>
      </c>
      <c r="B583" s="105">
        <v>6612732121</v>
      </c>
      <c r="C583" s="4" t="s">
        <v>22</v>
      </c>
      <c r="D583" s="4" t="s">
        <v>1505</v>
      </c>
      <c r="E583" s="4" t="s">
        <v>1506</v>
      </c>
      <c r="F583" s="4" t="s">
        <v>616</v>
      </c>
      <c r="G583" s="4" t="s">
        <v>1334</v>
      </c>
      <c r="H583" s="4" t="s">
        <v>1502</v>
      </c>
      <c r="I583" s="3">
        <v>1</v>
      </c>
      <c r="J583" s="29" t="str">
        <f t="shared" si="83"/>
        <v>0</v>
      </c>
      <c r="K583" s="54" t="str">
        <f t="shared" si="84"/>
        <v>1</v>
      </c>
      <c r="L583" s="69" t="str">
        <f t="shared" si="82"/>
        <v>0</v>
      </c>
      <c r="M583" s="74" t="str">
        <f t="shared" si="85"/>
        <v>1</v>
      </c>
      <c r="N583" s="29" t="str">
        <f t="shared" si="86"/>
        <v>0</v>
      </c>
      <c r="O583" s="61" t="str">
        <f t="shared" ca="1" si="89"/>
        <v>1</v>
      </c>
      <c r="P583" s="65" t="str">
        <f t="shared" si="90"/>
        <v>1</v>
      </c>
      <c r="Q583" s="46">
        <f t="shared" ca="1" si="87"/>
        <v>4</v>
      </c>
      <c r="R583" s="83" t="str">
        <f t="shared" ca="1" si="88"/>
        <v>ผ่าน</v>
      </c>
      <c r="S583" s="3" t="s">
        <v>28</v>
      </c>
    </row>
    <row r="584" spans="1:19" ht="24">
      <c r="A584" s="3">
        <v>583</v>
      </c>
      <c r="B584" s="105">
        <v>6512732101</v>
      </c>
      <c r="C584" s="4" t="s">
        <v>22</v>
      </c>
      <c r="D584" s="4" t="s">
        <v>429</v>
      </c>
      <c r="E584" s="4" t="s">
        <v>1507</v>
      </c>
      <c r="F584" s="4" t="s">
        <v>431</v>
      </c>
      <c r="G584" s="4" t="s">
        <v>1334</v>
      </c>
      <c r="H584" s="4" t="s">
        <v>1502</v>
      </c>
      <c r="I584" s="3">
        <v>2</v>
      </c>
      <c r="J584" s="29" t="str">
        <f t="shared" si="83"/>
        <v>0</v>
      </c>
      <c r="K584" s="54" t="str">
        <f t="shared" si="84"/>
        <v>0</v>
      </c>
      <c r="L584" s="69" t="str">
        <f t="shared" si="82"/>
        <v>0</v>
      </c>
      <c r="M584" s="74" t="str">
        <f t="shared" si="85"/>
        <v>0</v>
      </c>
      <c r="N584" s="29" t="str">
        <f t="shared" si="86"/>
        <v>0</v>
      </c>
      <c r="O584" s="61" t="str">
        <f t="shared" ca="1" si="89"/>
        <v>0</v>
      </c>
      <c r="P584" s="65" t="str">
        <f t="shared" si="90"/>
        <v>0</v>
      </c>
      <c r="Q584" s="46">
        <f t="shared" ca="1" si="87"/>
        <v>0</v>
      </c>
      <c r="R584" s="3" t="str">
        <f t="shared" ca="1" si="88"/>
        <v>ไม่ผ่าน</v>
      </c>
      <c r="S584" s="3" t="s">
        <v>28</v>
      </c>
    </row>
    <row r="585" spans="1:19" ht="24">
      <c r="A585" s="3">
        <v>584</v>
      </c>
      <c r="B585" s="105">
        <v>6512732102</v>
      </c>
      <c r="C585" s="4" t="s">
        <v>22</v>
      </c>
      <c r="D585" s="4" t="s">
        <v>1508</v>
      </c>
      <c r="E585" s="4" t="s">
        <v>1509</v>
      </c>
      <c r="F585" s="4" t="s">
        <v>383</v>
      </c>
      <c r="G585" s="4" t="s">
        <v>1334</v>
      </c>
      <c r="H585" s="4" t="s">
        <v>1502</v>
      </c>
      <c r="I585" s="3">
        <v>2</v>
      </c>
      <c r="J585" s="29" t="str">
        <f t="shared" si="83"/>
        <v>1</v>
      </c>
      <c r="K585" s="54" t="str">
        <f t="shared" si="84"/>
        <v>0</v>
      </c>
      <c r="L585" s="69" t="str">
        <f t="shared" si="82"/>
        <v>0</v>
      </c>
      <c r="M585" s="74" t="str">
        <f t="shared" si="85"/>
        <v>0</v>
      </c>
      <c r="N585" s="29" t="str">
        <f t="shared" si="86"/>
        <v>0</v>
      </c>
      <c r="O585" s="61" t="str">
        <f t="shared" ca="1" si="89"/>
        <v>0</v>
      </c>
      <c r="P585" s="65" t="str">
        <f t="shared" si="90"/>
        <v>0</v>
      </c>
      <c r="Q585" s="46">
        <f t="shared" ca="1" si="87"/>
        <v>1</v>
      </c>
      <c r="R585" s="3" t="str">
        <f t="shared" ca="1" si="88"/>
        <v>ไม่ผ่าน</v>
      </c>
      <c r="S585" s="3" t="s">
        <v>28</v>
      </c>
    </row>
    <row r="586" spans="1:19" ht="24">
      <c r="A586" s="3">
        <v>585</v>
      </c>
      <c r="B586" s="105">
        <v>6512732111</v>
      </c>
      <c r="C586" s="4" t="s">
        <v>22</v>
      </c>
      <c r="D586" s="4" t="s">
        <v>280</v>
      </c>
      <c r="E586" s="4" t="s">
        <v>1510</v>
      </c>
      <c r="F586" s="4" t="s">
        <v>1511</v>
      </c>
      <c r="G586" s="4" t="s">
        <v>1334</v>
      </c>
      <c r="H586" s="4" t="s">
        <v>1502</v>
      </c>
      <c r="I586" s="3">
        <v>2</v>
      </c>
      <c r="J586" s="29">
        <v>1</v>
      </c>
      <c r="K586" s="54" t="str">
        <f t="shared" si="84"/>
        <v>0</v>
      </c>
      <c r="L586" s="69" t="str">
        <f t="shared" si="82"/>
        <v>1</v>
      </c>
      <c r="M586" s="74" t="str">
        <f t="shared" si="85"/>
        <v>0</v>
      </c>
      <c r="N586" s="29" t="str">
        <f t="shared" si="86"/>
        <v>0</v>
      </c>
      <c r="O586" s="61" t="str">
        <f t="shared" ca="1" si="89"/>
        <v>0</v>
      </c>
      <c r="P586" s="65" t="str">
        <f t="shared" si="90"/>
        <v>0</v>
      </c>
      <c r="Q586" s="46">
        <f t="shared" ca="1" si="87"/>
        <v>2</v>
      </c>
      <c r="R586" s="84" t="s">
        <v>395</v>
      </c>
      <c r="S586" s="3" t="s">
        <v>28</v>
      </c>
    </row>
    <row r="587" spans="1:19" ht="24">
      <c r="A587" s="3">
        <v>586</v>
      </c>
      <c r="B587" s="105">
        <v>6610048243</v>
      </c>
      <c r="C587" s="4" t="s">
        <v>22</v>
      </c>
      <c r="D587" s="4" t="s">
        <v>1512</v>
      </c>
      <c r="E587" s="4" t="s">
        <v>1513</v>
      </c>
      <c r="F587" s="4" t="s">
        <v>1514</v>
      </c>
      <c r="G587" s="4" t="s">
        <v>1334</v>
      </c>
      <c r="H587" s="4" t="s">
        <v>1515</v>
      </c>
      <c r="I587" s="3">
        <v>1</v>
      </c>
      <c r="J587" s="29" t="str">
        <f t="shared" si="83"/>
        <v>1</v>
      </c>
      <c r="K587" s="54" t="str">
        <f t="shared" si="84"/>
        <v>0</v>
      </c>
      <c r="L587" s="69" t="str">
        <f t="shared" si="82"/>
        <v>0</v>
      </c>
      <c r="M587" s="74" t="str">
        <f t="shared" si="85"/>
        <v>0</v>
      </c>
      <c r="N587" s="29" t="str">
        <f t="shared" si="86"/>
        <v>0</v>
      </c>
      <c r="O587" s="61" t="str">
        <f t="shared" ca="1" si="89"/>
        <v>0</v>
      </c>
      <c r="P587" s="65" t="str">
        <f t="shared" si="90"/>
        <v>0</v>
      </c>
      <c r="Q587" s="46">
        <f t="shared" ca="1" si="87"/>
        <v>1</v>
      </c>
      <c r="R587" s="3" t="str">
        <f t="shared" ca="1" si="88"/>
        <v>ไม่ผ่าน</v>
      </c>
      <c r="S587" s="3" t="s">
        <v>28</v>
      </c>
    </row>
    <row r="588" spans="1:19" ht="24">
      <c r="A588" s="3">
        <v>587</v>
      </c>
      <c r="B588" s="105">
        <v>6410048102</v>
      </c>
      <c r="C588" s="4" t="s">
        <v>22</v>
      </c>
      <c r="D588" s="4" t="s">
        <v>1516</v>
      </c>
      <c r="E588" s="4" t="s">
        <v>1517</v>
      </c>
      <c r="F588" s="4" t="s">
        <v>401</v>
      </c>
      <c r="G588" s="4" t="s">
        <v>1334</v>
      </c>
      <c r="H588" s="4" t="s">
        <v>1515</v>
      </c>
      <c r="I588" s="3">
        <v>3</v>
      </c>
      <c r="J588" s="29" t="str">
        <f t="shared" si="83"/>
        <v>1</v>
      </c>
      <c r="K588" s="54">
        <v>1</v>
      </c>
      <c r="L588" s="69" t="str">
        <f t="shared" si="82"/>
        <v>0</v>
      </c>
      <c r="M588" s="74" t="str">
        <f t="shared" si="85"/>
        <v>0</v>
      </c>
      <c r="N588" s="29" t="str">
        <f t="shared" si="86"/>
        <v>0</v>
      </c>
      <c r="O588" s="61" t="str">
        <f t="shared" ca="1" si="89"/>
        <v>1</v>
      </c>
      <c r="P588" s="65" t="str">
        <f t="shared" si="90"/>
        <v>1</v>
      </c>
      <c r="Q588" s="46">
        <f t="shared" ca="1" si="87"/>
        <v>4</v>
      </c>
      <c r="R588" s="83" t="str">
        <f t="shared" ca="1" si="88"/>
        <v>ผ่าน</v>
      </c>
      <c r="S588" s="3" t="s">
        <v>28</v>
      </c>
    </row>
    <row r="589" spans="1:19" ht="24">
      <c r="A589" s="3">
        <v>588</v>
      </c>
      <c r="B589" s="105">
        <v>6410048103</v>
      </c>
      <c r="C589" s="4" t="s">
        <v>22</v>
      </c>
      <c r="D589" s="4" t="s">
        <v>1518</v>
      </c>
      <c r="E589" s="4" t="s">
        <v>1519</v>
      </c>
      <c r="F589" s="4" t="s">
        <v>1520</v>
      </c>
      <c r="G589" s="4" t="s">
        <v>1334</v>
      </c>
      <c r="H589" s="4" t="s">
        <v>1515</v>
      </c>
      <c r="I589" s="3">
        <v>3</v>
      </c>
      <c r="J589" s="29" t="str">
        <f t="shared" si="83"/>
        <v>1</v>
      </c>
      <c r="K589" s="54" t="str">
        <f t="shared" si="84"/>
        <v>1</v>
      </c>
      <c r="L589" s="69" t="str">
        <f t="shared" si="82"/>
        <v>0</v>
      </c>
      <c r="M589" s="74" t="str">
        <f t="shared" si="85"/>
        <v>0</v>
      </c>
      <c r="N589" s="29" t="str">
        <f t="shared" si="86"/>
        <v>1</v>
      </c>
      <c r="O589" s="61" t="str">
        <f t="shared" ca="1" si="89"/>
        <v>1</v>
      </c>
      <c r="P589" s="65" t="str">
        <f t="shared" si="90"/>
        <v>1</v>
      </c>
      <c r="Q589" s="46">
        <f t="shared" ca="1" si="87"/>
        <v>5</v>
      </c>
      <c r="R589" s="83" t="str">
        <f t="shared" ca="1" si="88"/>
        <v>ผ่าน</v>
      </c>
      <c r="S589" s="3" t="s">
        <v>28</v>
      </c>
    </row>
    <row r="590" spans="1:19" ht="24">
      <c r="A590" s="3">
        <v>589</v>
      </c>
      <c r="B590" s="105">
        <v>6410048104</v>
      </c>
      <c r="C590" s="4" t="s">
        <v>22</v>
      </c>
      <c r="D590" s="4" t="s">
        <v>1521</v>
      </c>
      <c r="E590" s="4" t="s">
        <v>1522</v>
      </c>
      <c r="F590" s="4" t="s">
        <v>1432</v>
      </c>
      <c r="G590" s="4" t="s">
        <v>1334</v>
      </c>
      <c r="H590" s="4" t="s">
        <v>1515</v>
      </c>
      <c r="I590" s="3">
        <v>3</v>
      </c>
      <c r="J590" s="29" t="str">
        <f t="shared" si="83"/>
        <v>1</v>
      </c>
      <c r="K590" s="54" t="str">
        <f t="shared" si="84"/>
        <v>1</v>
      </c>
      <c r="L590" s="69" t="str">
        <f t="shared" si="82"/>
        <v>0</v>
      </c>
      <c r="M590" s="74" t="str">
        <f t="shared" si="85"/>
        <v>0</v>
      </c>
      <c r="N590" s="29" t="str">
        <f t="shared" si="86"/>
        <v>1</v>
      </c>
      <c r="O590" s="61" t="str">
        <f t="shared" ca="1" si="89"/>
        <v>1</v>
      </c>
      <c r="P590" s="65" t="str">
        <f t="shared" si="90"/>
        <v>1</v>
      </c>
      <c r="Q590" s="46">
        <f t="shared" ca="1" si="87"/>
        <v>5</v>
      </c>
      <c r="R590" s="83" t="str">
        <f t="shared" ca="1" si="88"/>
        <v>ผ่าน</v>
      </c>
      <c r="S590" s="3" t="s">
        <v>28</v>
      </c>
    </row>
    <row r="591" spans="1:19" ht="24">
      <c r="A591" s="3">
        <v>590</v>
      </c>
      <c r="B591" s="105">
        <v>6410048108</v>
      </c>
      <c r="C591" s="4" t="s">
        <v>22</v>
      </c>
      <c r="D591" s="4" t="s">
        <v>1523</v>
      </c>
      <c r="E591" s="4" t="s">
        <v>1524</v>
      </c>
      <c r="F591" s="4" t="s">
        <v>1525</v>
      </c>
      <c r="G591" s="4" t="s">
        <v>1334</v>
      </c>
      <c r="H591" s="4" t="s">
        <v>1515</v>
      </c>
      <c r="I591" s="3">
        <v>3</v>
      </c>
      <c r="J591" s="29" t="str">
        <f t="shared" si="83"/>
        <v>1</v>
      </c>
      <c r="K591" s="54" t="str">
        <f t="shared" si="84"/>
        <v>1</v>
      </c>
      <c r="L591" s="69" t="str">
        <f t="shared" si="82"/>
        <v>0</v>
      </c>
      <c r="M591" s="74" t="str">
        <f t="shared" si="85"/>
        <v>0</v>
      </c>
      <c r="N591" s="29" t="str">
        <f t="shared" si="86"/>
        <v>0</v>
      </c>
      <c r="O591" s="61" t="str">
        <f t="shared" ca="1" si="89"/>
        <v>1</v>
      </c>
      <c r="P591" s="65" t="str">
        <f t="shared" si="90"/>
        <v>0</v>
      </c>
      <c r="Q591" s="46">
        <f t="shared" ca="1" si="87"/>
        <v>3</v>
      </c>
      <c r="R591" s="83" t="str">
        <f t="shared" ca="1" si="88"/>
        <v>ผ่าน</v>
      </c>
      <c r="S591" s="3" t="s">
        <v>28</v>
      </c>
    </row>
    <row r="592" spans="1:19" ht="24">
      <c r="A592" s="3">
        <v>591</v>
      </c>
      <c r="B592" s="105">
        <v>6410048111</v>
      </c>
      <c r="C592" s="4" t="s">
        <v>22</v>
      </c>
      <c r="D592" s="4" t="s">
        <v>1526</v>
      </c>
      <c r="E592" s="4" t="s">
        <v>1527</v>
      </c>
      <c r="F592" s="4" t="s">
        <v>1528</v>
      </c>
      <c r="G592" s="4" t="s">
        <v>1334</v>
      </c>
      <c r="H592" s="4" t="s">
        <v>1515</v>
      </c>
      <c r="I592" s="3">
        <v>3</v>
      </c>
      <c r="J592" s="29" t="str">
        <f t="shared" si="83"/>
        <v>1</v>
      </c>
      <c r="K592" s="54">
        <v>1</v>
      </c>
      <c r="L592" s="69" t="str">
        <f t="shared" ref="L592:L655" si="91">IF(IFERROR(VLOOKUP(B592,DATA7,1,FALSE),),"1","0")</f>
        <v>0</v>
      </c>
      <c r="M592" s="74" t="str">
        <f t="shared" si="85"/>
        <v>1</v>
      </c>
      <c r="N592" s="29" t="str">
        <f t="shared" si="86"/>
        <v>0</v>
      </c>
      <c r="O592" s="61" t="str">
        <f t="shared" ca="1" si="89"/>
        <v>1</v>
      </c>
      <c r="P592" s="65" t="str">
        <f t="shared" si="90"/>
        <v>0</v>
      </c>
      <c r="Q592" s="46">
        <f t="shared" ca="1" si="87"/>
        <v>4</v>
      </c>
      <c r="R592" s="83" t="str">
        <f t="shared" ca="1" si="88"/>
        <v>ผ่าน</v>
      </c>
      <c r="S592" s="3" t="s">
        <v>28</v>
      </c>
    </row>
    <row r="593" spans="1:19" ht="24">
      <c r="A593" s="3">
        <v>592</v>
      </c>
      <c r="B593" s="105">
        <v>6410048116</v>
      </c>
      <c r="C593" s="4" t="s">
        <v>22</v>
      </c>
      <c r="D593" s="4" t="s">
        <v>22</v>
      </c>
      <c r="E593" s="4" t="s">
        <v>1529</v>
      </c>
      <c r="F593" s="4" t="s">
        <v>1530</v>
      </c>
      <c r="G593" s="4" t="s">
        <v>1334</v>
      </c>
      <c r="H593" s="4" t="s">
        <v>1515</v>
      </c>
      <c r="I593" s="3">
        <v>3</v>
      </c>
      <c r="J593" s="29" t="str">
        <f t="shared" si="83"/>
        <v>1</v>
      </c>
      <c r="K593" s="54" t="str">
        <f t="shared" si="84"/>
        <v>1</v>
      </c>
      <c r="L593" s="69" t="str">
        <f t="shared" si="91"/>
        <v>0</v>
      </c>
      <c r="M593" s="74" t="str">
        <f t="shared" si="85"/>
        <v>1</v>
      </c>
      <c r="N593" s="29" t="str">
        <f t="shared" si="86"/>
        <v>0</v>
      </c>
      <c r="O593" s="61" t="str">
        <f t="shared" ca="1" si="89"/>
        <v>1</v>
      </c>
      <c r="P593" s="65" t="str">
        <f t="shared" si="90"/>
        <v>1</v>
      </c>
      <c r="Q593" s="46">
        <f t="shared" ca="1" si="87"/>
        <v>5</v>
      </c>
      <c r="R593" s="83" t="str">
        <f t="shared" ca="1" si="88"/>
        <v>ผ่าน</v>
      </c>
      <c r="S593" s="3" t="s">
        <v>28</v>
      </c>
    </row>
    <row r="594" spans="1:19" ht="24">
      <c r="A594" s="3">
        <v>593</v>
      </c>
      <c r="B594" s="105">
        <v>6410048122</v>
      </c>
      <c r="C594" s="4" t="s">
        <v>22</v>
      </c>
      <c r="D594" s="4" t="s">
        <v>1531</v>
      </c>
      <c r="E594" s="4" t="s">
        <v>1532</v>
      </c>
      <c r="F594" s="4" t="s">
        <v>616</v>
      </c>
      <c r="G594" s="4" t="s">
        <v>1334</v>
      </c>
      <c r="H594" s="4" t="s">
        <v>1515</v>
      </c>
      <c r="I594" s="3">
        <v>3</v>
      </c>
      <c r="J594" s="29" t="str">
        <f t="shared" si="83"/>
        <v>1</v>
      </c>
      <c r="K594" s="54">
        <v>1</v>
      </c>
      <c r="L594" s="69" t="str">
        <f t="shared" si="91"/>
        <v>0</v>
      </c>
      <c r="M594" s="74" t="str">
        <f t="shared" si="85"/>
        <v>0</v>
      </c>
      <c r="N594" s="29" t="str">
        <f t="shared" si="86"/>
        <v>0</v>
      </c>
      <c r="O594" s="61" t="str">
        <f t="shared" ca="1" si="89"/>
        <v>1</v>
      </c>
      <c r="P594" s="65" t="str">
        <f t="shared" si="90"/>
        <v>1</v>
      </c>
      <c r="Q594" s="46">
        <f t="shared" ca="1" si="87"/>
        <v>4</v>
      </c>
      <c r="R594" s="83" t="str">
        <f t="shared" ca="1" si="88"/>
        <v>ผ่าน</v>
      </c>
      <c r="S594" s="3" t="s">
        <v>28</v>
      </c>
    </row>
    <row r="595" spans="1:19" ht="24">
      <c r="A595" s="3">
        <v>594</v>
      </c>
      <c r="B595" s="105">
        <v>6410048127</v>
      </c>
      <c r="C595" s="4" t="s">
        <v>22</v>
      </c>
      <c r="D595" s="4" t="s">
        <v>1533</v>
      </c>
      <c r="E595" s="4" t="s">
        <v>1534</v>
      </c>
      <c r="F595" s="4" t="s">
        <v>1342</v>
      </c>
      <c r="G595" s="4" t="s">
        <v>1334</v>
      </c>
      <c r="H595" s="4" t="s">
        <v>1515</v>
      </c>
      <c r="I595" s="3">
        <v>3</v>
      </c>
      <c r="J595" s="29" t="str">
        <f t="shared" si="83"/>
        <v>1</v>
      </c>
      <c r="K595" s="54" t="str">
        <f t="shared" si="84"/>
        <v>1</v>
      </c>
      <c r="L595" s="69" t="str">
        <f t="shared" si="91"/>
        <v>0</v>
      </c>
      <c r="M595" s="74" t="str">
        <f t="shared" si="85"/>
        <v>1</v>
      </c>
      <c r="N595" s="29" t="str">
        <f t="shared" si="86"/>
        <v>0</v>
      </c>
      <c r="O595" s="61" t="str">
        <f t="shared" ca="1" si="89"/>
        <v>1</v>
      </c>
      <c r="P595" s="65" t="str">
        <f t="shared" si="90"/>
        <v>0</v>
      </c>
      <c r="Q595" s="46">
        <f t="shared" ca="1" si="87"/>
        <v>4</v>
      </c>
      <c r="R595" s="83" t="str">
        <f t="shared" ca="1" si="88"/>
        <v>ผ่าน</v>
      </c>
      <c r="S595" s="3" t="s">
        <v>28</v>
      </c>
    </row>
    <row r="596" spans="1:19" ht="24">
      <c r="A596" s="3">
        <v>595</v>
      </c>
      <c r="B596" s="105">
        <v>6410048128</v>
      </c>
      <c r="C596" s="4" t="s">
        <v>22</v>
      </c>
      <c r="D596" s="4" t="s">
        <v>1535</v>
      </c>
      <c r="E596" s="4" t="s">
        <v>1536</v>
      </c>
      <c r="F596" s="4" t="s">
        <v>704</v>
      </c>
      <c r="G596" s="4" t="s">
        <v>1334</v>
      </c>
      <c r="H596" s="4" t="s">
        <v>1515</v>
      </c>
      <c r="I596" s="3">
        <v>3</v>
      </c>
      <c r="J596" s="29" t="str">
        <f t="shared" si="83"/>
        <v>0</v>
      </c>
      <c r="K596" s="54" t="str">
        <f t="shared" si="84"/>
        <v>0</v>
      </c>
      <c r="L596" s="69" t="str">
        <f t="shared" si="91"/>
        <v>0</v>
      </c>
      <c r="M596" s="74" t="str">
        <f t="shared" si="85"/>
        <v>0</v>
      </c>
      <c r="N596" s="29" t="str">
        <f t="shared" si="86"/>
        <v>0</v>
      </c>
      <c r="O596" s="61" t="str">
        <f t="shared" ca="1" si="89"/>
        <v>0</v>
      </c>
      <c r="P596" s="65" t="str">
        <f t="shared" si="90"/>
        <v>0</v>
      </c>
      <c r="Q596" s="46">
        <f t="shared" ca="1" si="87"/>
        <v>0</v>
      </c>
      <c r="R596" s="3" t="str">
        <f t="shared" ca="1" si="88"/>
        <v>ไม่ผ่าน</v>
      </c>
      <c r="S596" s="3" t="s">
        <v>28</v>
      </c>
    </row>
    <row r="597" spans="1:19" ht="24">
      <c r="A597" s="3">
        <v>596</v>
      </c>
      <c r="B597" s="105">
        <v>6410048131</v>
      </c>
      <c r="C597" s="4" t="s">
        <v>22</v>
      </c>
      <c r="D597" s="4" t="s">
        <v>1537</v>
      </c>
      <c r="E597" s="4" t="s">
        <v>1538</v>
      </c>
      <c r="F597" s="4" t="s">
        <v>1539</v>
      </c>
      <c r="G597" s="4" t="s">
        <v>1334</v>
      </c>
      <c r="H597" s="4" t="s">
        <v>1515</v>
      </c>
      <c r="I597" s="3">
        <v>3</v>
      </c>
      <c r="J597" s="29" t="str">
        <f t="shared" si="83"/>
        <v>1</v>
      </c>
      <c r="K597" s="54" t="str">
        <f t="shared" si="84"/>
        <v>1</v>
      </c>
      <c r="L597" s="69" t="str">
        <f t="shared" si="91"/>
        <v>0</v>
      </c>
      <c r="M597" s="74" t="str">
        <f t="shared" si="85"/>
        <v>0</v>
      </c>
      <c r="N597" s="29" t="str">
        <f t="shared" si="86"/>
        <v>0</v>
      </c>
      <c r="O597" s="61" t="str">
        <f t="shared" ca="1" si="89"/>
        <v>1</v>
      </c>
      <c r="P597" s="65" t="str">
        <f t="shared" si="90"/>
        <v>0</v>
      </c>
      <c r="Q597" s="46">
        <f t="shared" ca="1" si="87"/>
        <v>3</v>
      </c>
      <c r="R597" s="83" t="str">
        <f t="shared" ca="1" si="88"/>
        <v>ผ่าน</v>
      </c>
      <c r="S597" s="3" t="s">
        <v>28</v>
      </c>
    </row>
    <row r="598" spans="1:19" ht="24">
      <c r="A598" s="3">
        <v>597</v>
      </c>
      <c r="B598" s="105">
        <v>6410048139</v>
      </c>
      <c r="C598" s="4" t="s">
        <v>22</v>
      </c>
      <c r="D598" s="4" t="s">
        <v>1540</v>
      </c>
      <c r="E598" s="4" t="s">
        <v>1541</v>
      </c>
      <c r="F598" s="4" t="s">
        <v>1542</v>
      </c>
      <c r="G598" s="4" t="s">
        <v>1334</v>
      </c>
      <c r="H598" s="4" t="s">
        <v>1515</v>
      </c>
      <c r="I598" s="3">
        <v>3</v>
      </c>
      <c r="J598" s="29" t="str">
        <f t="shared" si="83"/>
        <v>1</v>
      </c>
      <c r="K598" s="54" t="str">
        <f t="shared" si="84"/>
        <v>1</v>
      </c>
      <c r="L598" s="69" t="str">
        <f t="shared" si="91"/>
        <v>0</v>
      </c>
      <c r="M598" s="74" t="str">
        <f t="shared" si="85"/>
        <v>1</v>
      </c>
      <c r="N598" s="29" t="str">
        <f t="shared" si="86"/>
        <v>0</v>
      </c>
      <c r="O598" s="61" t="str">
        <f t="shared" ca="1" si="89"/>
        <v>1</v>
      </c>
      <c r="P598" s="65" t="str">
        <f t="shared" si="90"/>
        <v>0</v>
      </c>
      <c r="Q598" s="46">
        <f t="shared" ca="1" si="87"/>
        <v>4</v>
      </c>
      <c r="R598" s="83" t="str">
        <f t="shared" ca="1" si="88"/>
        <v>ผ่าน</v>
      </c>
      <c r="S598" s="3" t="s">
        <v>28</v>
      </c>
    </row>
    <row r="599" spans="1:19" ht="24">
      <c r="A599" s="3">
        <v>598</v>
      </c>
      <c r="B599" s="105">
        <v>6410048141</v>
      </c>
      <c r="C599" s="4" t="s">
        <v>22</v>
      </c>
      <c r="D599" s="4" t="s">
        <v>1543</v>
      </c>
      <c r="E599" s="4" t="s">
        <v>1544</v>
      </c>
      <c r="F599" s="4" t="s">
        <v>1545</v>
      </c>
      <c r="G599" s="4" t="s">
        <v>1334</v>
      </c>
      <c r="H599" s="4" t="s">
        <v>1515</v>
      </c>
      <c r="I599" s="3">
        <v>3</v>
      </c>
      <c r="J599" s="29" t="str">
        <f t="shared" si="83"/>
        <v>1</v>
      </c>
      <c r="K599" s="54" t="str">
        <f t="shared" si="84"/>
        <v>1</v>
      </c>
      <c r="L599" s="69" t="str">
        <f t="shared" si="91"/>
        <v>0</v>
      </c>
      <c r="M599" s="74" t="str">
        <f t="shared" si="85"/>
        <v>0</v>
      </c>
      <c r="N599" s="29" t="str">
        <f t="shared" si="86"/>
        <v>0</v>
      </c>
      <c r="O599" s="61" t="str">
        <f t="shared" ca="1" si="89"/>
        <v>1</v>
      </c>
      <c r="P599" s="65" t="str">
        <f t="shared" si="90"/>
        <v>0</v>
      </c>
      <c r="Q599" s="46">
        <f t="shared" ca="1" si="87"/>
        <v>3</v>
      </c>
      <c r="R599" s="83" t="str">
        <f t="shared" ca="1" si="88"/>
        <v>ผ่าน</v>
      </c>
      <c r="S599" s="3" t="s">
        <v>28</v>
      </c>
    </row>
    <row r="600" spans="1:19" ht="24">
      <c r="A600" s="3">
        <v>599</v>
      </c>
      <c r="B600" s="105">
        <v>6410048143</v>
      </c>
      <c r="C600" s="4" t="s">
        <v>22</v>
      </c>
      <c r="D600" s="4" t="s">
        <v>1546</v>
      </c>
      <c r="E600" s="4" t="s">
        <v>1547</v>
      </c>
      <c r="F600" s="4" t="s">
        <v>1548</v>
      </c>
      <c r="G600" s="4" t="s">
        <v>1334</v>
      </c>
      <c r="H600" s="4" t="s">
        <v>1515</v>
      </c>
      <c r="I600" s="3">
        <v>3</v>
      </c>
      <c r="J600" s="29" t="str">
        <f t="shared" si="83"/>
        <v>1</v>
      </c>
      <c r="K600" s="54" t="str">
        <f t="shared" si="84"/>
        <v>0</v>
      </c>
      <c r="L600" s="69" t="str">
        <f t="shared" si="91"/>
        <v>0</v>
      </c>
      <c r="M600" s="74" t="str">
        <f t="shared" si="85"/>
        <v>0</v>
      </c>
      <c r="N600" s="29" t="str">
        <f t="shared" si="86"/>
        <v>0</v>
      </c>
      <c r="O600" s="61" t="str">
        <f t="shared" ca="1" si="89"/>
        <v>0</v>
      </c>
      <c r="P600" s="65" t="str">
        <f t="shared" si="90"/>
        <v>0</v>
      </c>
      <c r="Q600" s="46">
        <f t="shared" ca="1" si="87"/>
        <v>1</v>
      </c>
      <c r="R600" s="3" t="str">
        <f t="shared" ca="1" si="88"/>
        <v>ไม่ผ่าน</v>
      </c>
      <c r="S600" s="3" t="s">
        <v>28</v>
      </c>
    </row>
    <row r="601" spans="1:19" ht="24">
      <c r="A601" s="3">
        <v>600</v>
      </c>
      <c r="B601" s="105">
        <v>6410048144</v>
      </c>
      <c r="C601" s="4" t="s">
        <v>22</v>
      </c>
      <c r="D601" s="4" t="s">
        <v>1549</v>
      </c>
      <c r="E601" s="4" t="s">
        <v>1550</v>
      </c>
      <c r="F601" s="4" t="s">
        <v>1551</v>
      </c>
      <c r="G601" s="4" t="s">
        <v>1334</v>
      </c>
      <c r="H601" s="4" t="s">
        <v>1515</v>
      </c>
      <c r="I601" s="3">
        <v>3</v>
      </c>
      <c r="J601" s="29" t="str">
        <f t="shared" si="83"/>
        <v>1</v>
      </c>
      <c r="K601" s="54" t="str">
        <f t="shared" si="84"/>
        <v>1</v>
      </c>
      <c r="L601" s="69" t="str">
        <f t="shared" si="91"/>
        <v>0</v>
      </c>
      <c r="M601" s="74" t="str">
        <f t="shared" si="85"/>
        <v>0</v>
      </c>
      <c r="N601" s="29" t="str">
        <f t="shared" si="86"/>
        <v>0</v>
      </c>
      <c r="O601" s="61" t="str">
        <f t="shared" ca="1" si="89"/>
        <v>0</v>
      </c>
      <c r="P601" s="65" t="str">
        <f t="shared" si="90"/>
        <v>0</v>
      </c>
      <c r="Q601" s="46">
        <f t="shared" ca="1" si="87"/>
        <v>2</v>
      </c>
      <c r="R601" s="3" t="str">
        <f t="shared" ca="1" si="88"/>
        <v>ไม่ผ่าน</v>
      </c>
      <c r="S601" s="3" t="s">
        <v>28</v>
      </c>
    </row>
    <row r="602" spans="1:19" ht="24">
      <c r="A602" s="3">
        <v>601</v>
      </c>
      <c r="B602" s="105">
        <v>6410048152</v>
      </c>
      <c r="C602" s="4" t="s">
        <v>29</v>
      </c>
      <c r="D602" s="4" t="s">
        <v>1552</v>
      </c>
      <c r="E602" s="4" t="s">
        <v>1553</v>
      </c>
      <c r="F602" s="4" t="s">
        <v>1554</v>
      </c>
      <c r="G602" s="4" t="s">
        <v>1334</v>
      </c>
      <c r="H602" s="4" t="s">
        <v>1515</v>
      </c>
      <c r="I602" s="3">
        <v>3</v>
      </c>
      <c r="J602" s="29" t="str">
        <f t="shared" si="83"/>
        <v>1</v>
      </c>
      <c r="K602" s="54">
        <v>1</v>
      </c>
      <c r="L602" s="69" t="str">
        <f t="shared" si="91"/>
        <v>0</v>
      </c>
      <c r="M602" s="74" t="str">
        <f t="shared" si="85"/>
        <v>1</v>
      </c>
      <c r="N602" s="29" t="str">
        <f t="shared" si="86"/>
        <v>0</v>
      </c>
      <c r="O602" s="61" t="str">
        <f t="shared" ca="1" si="89"/>
        <v>1</v>
      </c>
      <c r="P602" s="65" t="str">
        <f t="shared" si="90"/>
        <v>1</v>
      </c>
      <c r="Q602" s="46">
        <f t="shared" ca="1" si="87"/>
        <v>5</v>
      </c>
      <c r="R602" s="83" t="str">
        <f t="shared" ca="1" si="88"/>
        <v>ผ่าน</v>
      </c>
      <c r="S602" s="3" t="s">
        <v>28</v>
      </c>
    </row>
    <row r="603" spans="1:19" ht="24">
      <c r="A603" s="3">
        <v>602</v>
      </c>
      <c r="B603" s="105">
        <v>6410048153</v>
      </c>
      <c r="C603" s="4" t="s">
        <v>29</v>
      </c>
      <c r="D603" s="4" t="s">
        <v>1555</v>
      </c>
      <c r="E603" s="4" t="s">
        <v>310</v>
      </c>
      <c r="F603" s="4" t="s">
        <v>1556</v>
      </c>
      <c r="G603" s="4" t="s">
        <v>1334</v>
      </c>
      <c r="H603" s="4" t="s">
        <v>1515</v>
      </c>
      <c r="I603" s="3">
        <v>3</v>
      </c>
      <c r="J603" s="29" t="str">
        <f t="shared" si="83"/>
        <v>0</v>
      </c>
      <c r="K603" s="54" t="str">
        <f t="shared" si="84"/>
        <v>1</v>
      </c>
      <c r="L603" s="69" t="str">
        <f t="shared" si="91"/>
        <v>0</v>
      </c>
      <c r="M603" s="74" t="str">
        <f t="shared" si="85"/>
        <v>0</v>
      </c>
      <c r="N603" s="29" t="str">
        <f t="shared" si="86"/>
        <v>0</v>
      </c>
      <c r="O603" s="61" t="str">
        <f t="shared" ca="1" si="89"/>
        <v>1</v>
      </c>
      <c r="P603" s="65" t="str">
        <f t="shared" si="90"/>
        <v>0</v>
      </c>
      <c r="Q603" s="46">
        <f t="shared" ca="1" si="87"/>
        <v>2</v>
      </c>
      <c r="R603" s="3" t="str">
        <f t="shared" ca="1" si="88"/>
        <v>ไม่ผ่าน</v>
      </c>
      <c r="S603" s="3" t="s">
        <v>28</v>
      </c>
    </row>
    <row r="604" spans="1:19" ht="24">
      <c r="A604" s="3">
        <v>603</v>
      </c>
      <c r="B604" s="105">
        <v>6410048154</v>
      </c>
      <c r="C604" s="4" t="s">
        <v>29</v>
      </c>
      <c r="D604" s="4" t="s">
        <v>1557</v>
      </c>
      <c r="E604" s="4" t="s">
        <v>1558</v>
      </c>
      <c r="F604" s="4" t="s">
        <v>946</v>
      </c>
      <c r="G604" s="4" t="s">
        <v>1334</v>
      </c>
      <c r="H604" s="4" t="s">
        <v>1515</v>
      </c>
      <c r="I604" s="3">
        <v>3</v>
      </c>
      <c r="J604" s="29" t="str">
        <f t="shared" si="83"/>
        <v>1</v>
      </c>
      <c r="K604" s="54" t="str">
        <f t="shared" si="84"/>
        <v>1</v>
      </c>
      <c r="L604" s="69" t="str">
        <f t="shared" si="91"/>
        <v>0</v>
      </c>
      <c r="M604" s="74" t="str">
        <f t="shared" si="85"/>
        <v>1</v>
      </c>
      <c r="N604" s="29" t="str">
        <f t="shared" si="86"/>
        <v>0</v>
      </c>
      <c r="O604" s="61" t="str">
        <f t="shared" ca="1" si="89"/>
        <v>0</v>
      </c>
      <c r="P604" s="65" t="str">
        <f t="shared" si="90"/>
        <v>1</v>
      </c>
      <c r="Q604" s="46">
        <f t="shared" ca="1" si="87"/>
        <v>4</v>
      </c>
      <c r="R604" s="83" t="str">
        <f t="shared" ca="1" si="88"/>
        <v>ผ่าน</v>
      </c>
      <c r="S604" s="3" t="s">
        <v>28</v>
      </c>
    </row>
    <row r="605" spans="1:19" ht="24">
      <c r="A605" s="3">
        <v>604</v>
      </c>
      <c r="B605" s="105">
        <v>6410048156</v>
      </c>
      <c r="C605" s="4" t="s">
        <v>29</v>
      </c>
      <c r="D605" s="4" t="s">
        <v>1559</v>
      </c>
      <c r="E605" s="4" t="s">
        <v>1560</v>
      </c>
      <c r="F605" s="4" t="s">
        <v>1561</v>
      </c>
      <c r="G605" s="4" t="s">
        <v>1334</v>
      </c>
      <c r="H605" s="4" t="s">
        <v>1515</v>
      </c>
      <c r="I605" s="3">
        <v>3</v>
      </c>
      <c r="J605" s="29" t="str">
        <f t="shared" si="83"/>
        <v>1</v>
      </c>
      <c r="K605" s="54">
        <v>1</v>
      </c>
      <c r="L605" s="69" t="str">
        <f t="shared" si="91"/>
        <v>0</v>
      </c>
      <c r="M605" s="74" t="str">
        <f t="shared" si="85"/>
        <v>1</v>
      </c>
      <c r="N605" s="29" t="str">
        <f t="shared" si="86"/>
        <v>0</v>
      </c>
      <c r="O605" s="61" t="str">
        <f t="shared" ca="1" si="89"/>
        <v>1</v>
      </c>
      <c r="P605" s="65" t="str">
        <f t="shared" si="90"/>
        <v>1</v>
      </c>
      <c r="Q605" s="46">
        <f t="shared" ca="1" si="87"/>
        <v>5</v>
      </c>
      <c r="R605" s="83" t="str">
        <f t="shared" ca="1" si="88"/>
        <v>ผ่าน</v>
      </c>
      <c r="S605" s="3" t="s">
        <v>28</v>
      </c>
    </row>
    <row r="606" spans="1:19" ht="24">
      <c r="A606" s="3">
        <v>605</v>
      </c>
      <c r="B606" s="105">
        <v>6410048157</v>
      </c>
      <c r="C606" s="4" t="s">
        <v>29</v>
      </c>
      <c r="D606" s="4" t="s">
        <v>1562</v>
      </c>
      <c r="E606" s="4" t="s">
        <v>803</v>
      </c>
      <c r="F606" s="4" t="s">
        <v>1397</v>
      </c>
      <c r="G606" s="4" t="s">
        <v>1334</v>
      </c>
      <c r="H606" s="4" t="s">
        <v>1515</v>
      </c>
      <c r="I606" s="3">
        <v>3</v>
      </c>
      <c r="J606" s="29" t="str">
        <f t="shared" si="83"/>
        <v>1</v>
      </c>
      <c r="K606" s="54" t="str">
        <f t="shared" si="84"/>
        <v>1</v>
      </c>
      <c r="L606" s="69" t="str">
        <f t="shared" si="91"/>
        <v>0</v>
      </c>
      <c r="M606" s="74" t="str">
        <f t="shared" si="85"/>
        <v>1</v>
      </c>
      <c r="N606" s="29" t="str">
        <f t="shared" si="86"/>
        <v>0</v>
      </c>
      <c r="O606" s="61" t="str">
        <f t="shared" ca="1" si="89"/>
        <v>1</v>
      </c>
      <c r="P606" s="65" t="str">
        <f t="shared" si="90"/>
        <v>1</v>
      </c>
      <c r="Q606" s="46">
        <f t="shared" ca="1" si="87"/>
        <v>5</v>
      </c>
      <c r="R606" s="83" t="str">
        <f t="shared" ca="1" si="88"/>
        <v>ผ่าน</v>
      </c>
      <c r="S606" s="3" t="s">
        <v>28</v>
      </c>
    </row>
    <row r="607" spans="1:19" ht="24">
      <c r="A607" s="3">
        <v>606</v>
      </c>
      <c r="B607" s="105">
        <v>6410048158</v>
      </c>
      <c r="C607" s="4" t="s">
        <v>29</v>
      </c>
      <c r="D607" s="4" t="s">
        <v>1563</v>
      </c>
      <c r="E607" s="4" t="s">
        <v>1564</v>
      </c>
      <c r="F607" s="4" t="s">
        <v>391</v>
      </c>
      <c r="G607" s="4" t="s">
        <v>1334</v>
      </c>
      <c r="H607" s="4" t="s">
        <v>1515</v>
      </c>
      <c r="I607" s="3">
        <v>3</v>
      </c>
      <c r="J607" s="29" t="str">
        <f t="shared" si="83"/>
        <v>1</v>
      </c>
      <c r="K607" s="54" t="str">
        <f t="shared" si="84"/>
        <v>1</v>
      </c>
      <c r="L607" s="69" t="str">
        <f t="shared" si="91"/>
        <v>0</v>
      </c>
      <c r="M607" s="74" t="str">
        <f t="shared" si="85"/>
        <v>1</v>
      </c>
      <c r="N607" s="29" t="str">
        <f t="shared" si="86"/>
        <v>0</v>
      </c>
      <c r="O607" s="61" t="str">
        <f t="shared" ca="1" si="89"/>
        <v>1</v>
      </c>
      <c r="P607" s="65" t="str">
        <f t="shared" si="90"/>
        <v>1</v>
      </c>
      <c r="Q607" s="46">
        <f t="shared" ca="1" si="87"/>
        <v>5</v>
      </c>
      <c r="R607" s="83" t="str">
        <f t="shared" ca="1" si="88"/>
        <v>ผ่าน</v>
      </c>
      <c r="S607" s="3" t="s">
        <v>28</v>
      </c>
    </row>
    <row r="608" spans="1:19" ht="24">
      <c r="A608" s="3">
        <v>607</v>
      </c>
      <c r="B608" s="105">
        <v>6410048159</v>
      </c>
      <c r="C608" s="4" t="s">
        <v>29</v>
      </c>
      <c r="D608" s="4" t="s">
        <v>1565</v>
      </c>
      <c r="E608" s="4" t="s">
        <v>1566</v>
      </c>
      <c r="F608" s="4" t="s">
        <v>1567</v>
      </c>
      <c r="G608" s="4" t="s">
        <v>1334</v>
      </c>
      <c r="H608" s="4" t="s">
        <v>1515</v>
      </c>
      <c r="I608" s="3">
        <v>3</v>
      </c>
      <c r="J608" s="29" t="str">
        <f t="shared" si="83"/>
        <v>0</v>
      </c>
      <c r="K608" s="54" t="str">
        <f t="shared" si="84"/>
        <v>0</v>
      </c>
      <c r="L608" s="69" t="str">
        <f t="shared" si="91"/>
        <v>0</v>
      </c>
      <c r="M608" s="74" t="str">
        <f t="shared" si="85"/>
        <v>0</v>
      </c>
      <c r="N608" s="29" t="str">
        <f t="shared" si="86"/>
        <v>0</v>
      </c>
      <c r="O608" s="61" t="str">
        <f t="shared" ca="1" si="89"/>
        <v>0</v>
      </c>
      <c r="P608" s="65" t="str">
        <f t="shared" si="90"/>
        <v>0</v>
      </c>
      <c r="Q608" s="46">
        <f t="shared" ca="1" si="87"/>
        <v>0</v>
      </c>
      <c r="R608" s="3" t="str">
        <f t="shared" ca="1" si="88"/>
        <v>ไม่ผ่าน</v>
      </c>
      <c r="S608" s="3" t="s">
        <v>28</v>
      </c>
    </row>
    <row r="609" spans="1:19" ht="24">
      <c r="A609" s="3">
        <v>608</v>
      </c>
      <c r="B609" s="105">
        <v>6410048160</v>
      </c>
      <c r="C609" s="4" t="s">
        <v>29</v>
      </c>
      <c r="D609" s="4" t="s">
        <v>1568</v>
      </c>
      <c r="E609" s="4" t="s">
        <v>1569</v>
      </c>
      <c r="F609" s="4" t="s">
        <v>391</v>
      </c>
      <c r="G609" s="4" t="s">
        <v>1334</v>
      </c>
      <c r="H609" s="4" t="s">
        <v>1515</v>
      </c>
      <c r="I609" s="3">
        <v>3</v>
      </c>
      <c r="J609" s="29" t="str">
        <f t="shared" si="83"/>
        <v>1</v>
      </c>
      <c r="K609" s="54" t="str">
        <f t="shared" si="84"/>
        <v>1</v>
      </c>
      <c r="L609" s="69" t="str">
        <f t="shared" si="91"/>
        <v>0</v>
      </c>
      <c r="M609" s="74" t="str">
        <f t="shared" si="85"/>
        <v>1</v>
      </c>
      <c r="N609" s="29" t="str">
        <f t="shared" si="86"/>
        <v>0</v>
      </c>
      <c r="O609" s="61" t="str">
        <f t="shared" ca="1" si="89"/>
        <v>0</v>
      </c>
      <c r="P609" s="65" t="str">
        <f t="shared" si="90"/>
        <v>0</v>
      </c>
      <c r="Q609" s="46">
        <f t="shared" ca="1" si="87"/>
        <v>3</v>
      </c>
      <c r="R609" s="83" t="str">
        <f t="shared" ca="1" si="88"/>
        <v>ผ่าน</v>
      </c>
      <c r="S609" s="3" t="s">
        <v>28</v>
      </c>
    </row>
    <row r="610" spans="1:19" ht="24">
      <c r="A610" s="3">
        <v>609</v>
      </c>
      <c r="B610" s="105">
        <v>6410048161</v>
      </c>
      <c r="C610" s="4" t="s">
        <v>29</v>
      </c>
      <c r="D610" s="4" t="s">
        <v>84</v>
      </c>
      <c r="E610" s="4" t="s">
        <v>1570</v>
      </c>
      <c r="F610" s="4" t="s">
        <v>1571</v>
      </c>
      <c r="G610" s="4" t="s">
        <v>1334</v>
      </c>
      <c r="H610" s="4" t="s">
        <v>1515</v>
      </c>
      <c r="I610" s="3">
        <v>3</v>
      </c>
      <c r="J610" s="29" t="str">
        <f t="shared" si="83"/>
        <v>1</v>
      </c>
      <c r="K610" s="54" t="str">
        <f t="shared" si="84"/>
        <v>1</v>
      </c>
      <c r="L610" s="69" t="str">
        <f t="shared" si="91"/>
        <v>0</v>
      </c>
      <c r="M610" s="74" t="str">
        <f t="shared" si="85"/>
        <v>1</v>
      </c>
      <c r="N610" s="29" t="str">
        <f t="shared" si="86"/>
        <v>0</v>
      </c>
      <c r="O610" s="61" t="str">
        <f t="shared" ca="1" si="89"/>
        <v>1</v>
      </c>
      <c r="P610" s="65" t="str">
        <f t="shared" si="90"/>
        <v>1</v>
      </c>
      <c r="Q610" s="46">
        <f t="shared" ca="1" si="87"/>
        <v>5</v>
      </c>
      <c r="R610" s="83" t="str">
        <f t="shared" ca="1" si="88"/>
        <v>ผ่าน</v>
      </c>
      <c r="S610" s="3" t="s">
        <v>28</v>
      </c>
    </row>
    <row r="611" spans="1:19" ht="24">
      <c r="A611" s="3">
        <v>610</v>
      </c>
      <c r="B611" s="105">
        <v>6410048162</v>
      </c>
      <c r="C611" s="4" t="s">
        <v>29</v>
      </c>
      <c r="D611" s="4" t="s">
        <v>1265</v>
      </c>
      <c r="E611" s="4" t="s">
        <v>1572</v>
      </c>
      <c r="F611" s="4" t="s">
        <v>1252</v>
      </c>
      <c r="G611" s="4" t="s">
        <v>1334</v>
      </c>
      <c r="H611" s="4" t="s">
        <v>1515</v>
      </c>
      <c r="I611" s="3">
        <v>3</v>
      </c>
      <c r="J611" s="29" t="str">
        <f t="shared" si="83"/>
        <v>1</v>
      </c>
      <c r="K611" s="54" t="str">
        <f t="shared" si="84"/>
        <v>1</v>
      </c>
      <c r="L611" s="69" t="str">
        <f t="shared" si="91"/>
        <v>0</v>
      </c>
      <c r="M611" s="74" t="str">
        <f t="shared" si="85"/>
        <v>0</v>
      </c>
      <c r="N611" s="29" t="str">
        <f t="shared" si="86"/>
        <v>0</v>
      </c>
      <c r="O611" s="61" t="str">
        <f t="shared" ca="1" si="89"/>
        <v>1</v>
      </c>
      <c r="P611" s="65" t="str">
        <f t="shared" si="90"/>
        <v>1</v>
      </c>
      <c r="Q611" s="46">
        <f t="shared" ca="1" si="87"/>
        <v>4</v>
      </c>
      <c r="R611" s="83" t="str">
        <f t="shared" ca="1" si="88"/>
        <v>ผ่าน</v>
      </c>
      <c r="S611" s="3" t="s">
        <v>28</v>
      </c>
    </row>
    <row r="612" spans="1:19" ht="24">
      <c r="A612" s="3">
        <v>611</v>
      </c>
      <c r="B612" s="105">
        <v>6410048201</v>
      </c>
      <c r="C612" s="4" t="s">
        <v>22</v>
      </c>
      <c r="D612" s="4" t="s">
        <v>481</v>
      </c>
      <c r="E612" s="4" t="s">
        <v>1573</v>
      </c>
      <c r="F612" s="4" t="s">
        <v>1574</v>
      </c>
      <c r="G612" s="4" t="s">
        <v>1334</v>
      </c>
      <c r="H612" s="4" t="s">
        <v>1515</v>
      </c>
      <c r="I612" s="3">
        <v>3</v>
      </c>
      <c r="J612" s="29" t="str">
        <f t="shared" si="83"/>
        <v>0</v>
      </c>
      <c r="K612" s="54">
        <v>1</v>
      </c>
      <c r="L612" s="69" t="str">
        <f t="shared" si="91"/>
        <v>0</v>
      </c>
      <c r="M612" s="74" t="str">
        <f t="shared" si="85"/>
        <v>1</v>
      </c>
      <c r="N612" s="29" t="str">
        <f t="shared" si="86"/>
        <v>0</v>
      </c>
      <c r="O612" s="61" t="str">
        <f t="shared" ca="1" si="89"/>
        <v>1</v>
      </c>
      <c r="P612" s="65" t="str">
        <f t="shared" si="90"/>
        <v>0</v>
      </c>
      <c r="Q612" s="46">
        <f t="shared" ca="1" si="87"/>
        <v>3</v>
      </c>
      <c r="R612" s="83" t="str">
        <f t="shared" ca="1" si="88"/>
        <v>ผ่าน</v>
      </c>
      <c r="S612" s="3" t="s">
        <v>28</v>
      </c>
    </row>
    <row r="613" spans="1:19" ht="24">
      <c r="A613" s="3">
        <v>612</v>
      </c>
      <c r="B613" s="105">
        <v>6410048207</v>
      </c>
      <c r="C613" s="4" t="s">
        <v>22</v>
      </c>
      <c r="D613" s="4" t="s">
        <v>1575</v>
      </c>
      <c r="E613" s="4" t="s">
        <v>1576</v>
      </c>
      <c r="F613" s="4" t="s">
        <v>1577</v>
      </c>
      <c r="G613" s="4" t="s">
        <v>1334</v>
      </c>
      <c r="H613" s="4" t="s">
        <v>1515</v>
      </c>
      <c r="I613" s="3">
        <v>3</v>
      </c>
      <c r="J613" s="29" t="str">
        <f t="shared" si="83"/>
        <v>1</v>
      </c>
      <c r="K613" s="54" t="str">
        <f t="shared" si="84"/>
        <v>1</v>
      </c>
      <c r="L613" s="69" t="str">
        <f t="shared" si="91"/>
        <v>0</v>
      </c>
      <c r="M613" s="74" t="str">
        <f t="shared" si="85"/>
        <v>0</v>
      </c>
      <c r="N613" s="29" t="str">
        <f t="shared" si="86"/>
        <v>1</v>
      </c>
      <c r="O613" s="61" t="str">
        <f t="shared" ca="1" si="89"/>
        <v>1</v>
      </c>
      <c r="P613" s="65" t="str">
        <f t="shared" si="90"/>
        <v>1</v>
      </c>
      <c r="Q613" s="46">
        <f t="shared" ca="1" si="87"/>
        <v>5</v>
      </c>
      <c r="R613" s="83" t="str">
        <f t="shared" ca="1" si="88"/>
        <v>ผ่าน</v>
      </c>
      <c r="S613" s="3" t="s">
        <v>28</v>
      </c>
    </row>
    <row r="614" spans="1:19" ht="24">
      <c r="A614" s="3">
        <v>613</v>
      </c>
      <c r="B614" s="105">
        <v>6410048223</v>
      </c>
      <c r="C614" s="4" t="s">
        <v>22</v>
      </c>
      <c r="D614" s="4" t="s">
        <v>1226</v>
      </c>
      <c r="E614" s="4" t="s">
        <v>1578</v>
      </c>
      <c r="F614" s="4" t="s">
        <v>1579</v>
      </c>
      <c r="G614" s="4" t="s">
        <v>1334</v>
      </c>
      <c r="H614" s="4" t="s">
        <v>1515</v>
      </c>
      <c r="I614" s="3">
        <v>3</v>
      </c>
      <c r="J614" s="29" t="str">
        <f t="shared" si="83"/>
        <v>0</v>
      </c>
      <c r="K614" s="54" t="str">
        <f t="shared" si="84"/>
        <v>0</v>
      </c>
      <c r="L614" s="69" t="str">
        <f t="shared" si="91"/>
        <v>0</v>
      </c>
      <c r="M614" s="74" t="str">
        <f t="shared" si="85"/>
        <v>0</v>
      </c>
      <c r="N614" s="29" t="str">
        <f t="shared" si="86"/>
        <v>0</v>
      </c>
      <c r="O614" s="61" t="str">
        <f t="shared" ca="1" si="89"/>
        <v>0</v>
      </c>
      <c r="P614" s="65" t="str">
        <f t="shared" si="90"/>
        <v>0</v>
      </c>
      <c r="Q614" s="46">
        <f t="shared" ca="1" si="87"/>
        <v>0</v>
      </c>
      <c r="R614" s="3" t="str">
        <f t="shared" ca="1" si="88"/>
        <v>ไม่ผ่าน</v>
      </c>
      <c r="S614" s="3" t="s">
        <v>28</v>
      </c>
    </row>
    <row r="615" spans="1:19" ht="24">
      <c r="A615" s="3">
        <v>614</v>
      </c>
      <c r="B615" s="105">
        <v>6410048229</v>
      </c>
      <c r="C615" s="4" t="s">
        <v>22</v>
      </c>
      <c r="D615" s="4" t="s">
        <v>1580</v>
      </c>
      <c r="E615" s="4" t="s">
        <v>1581</v>
      </c>
      <c r="F615" s="4" t="s">
        <v>1582</v>
      </c>
      <c r="G615" s="4" t="s">
        <v>1334</v>
      </c>
      <c r="H615" s="4" t="s">
        <v>1515</v>
      </c>
      <c r="I615" s="3">
        <v>3</v>
      </c>
      <c r="J615" s="29" t="str">
        <f t="shared" si="83"/>
        <v>0</v>
      </c>
      <c r="K615" s="54" t="str">
        <f t="shared" si="84"/>
        <v>0</v>
      </c>
      <c r="L615" s="69" t="str">
        <f t="shared" si="91"/>
        <v>0</v>
      </c>
      <c r="M615" s="74" t="str">
        <f t="shared" si="85"/>
        <v>0</v>
      </c>
      <c r="N615" s="29" t="str">
        <f t="shared" si="86"/>
        <v>0</v>
      </c>
      <c r="O615" s="61" t="str">
        <f t="shared" ca="1" si="89"/>
        <v>0</v>
      </c>
      <c r="P615" s="65" t="str">
        <f t="shared" si="90"/>
        <v>0</v>
      </c>
      <c r="Q615" s="46">
        <f t="shared" ca="1" si="87"/>
        <v>0</v>
      </c>
      <c r="R615" s="3" t="str">
        <f t="shared" ca="1" si="88"/>
        <v>ไม่ผ่าน</v>
      </c>
      <c r="S615" s="3" t="s">
        <v>28</v>
      </c>
    </row>
    <row r="616" spans="1:19" ht="24">
      <c r="A616" s="3">
        <v>615</v>
      </c>
      <c r="B616" s="105">
        <v>6410048235</v>
      </c>
      <c r="C616" s="4" t="s">
        <v>22</v>
      </c>
      <c r="D616" s="4" t="s">
        <v>1583</v>
      </c>
      <c r="E616" s="4" t="s">
        <v>1584</v>
      </c>
      <c r="F616" s="4" t="s">
        <v>1585</v>
      </c>
      <c r="G616" s="4" t="s">
        <v>1334</v>
      </c>
      <c r="H616" s="4" t="s">
        <v>1515</v>
      </c>
      <c r="I616" s="3">
        <v>3</v>
      </c>
      <c r="J616" s="29" t="str">
        <f t="shared" si="83"/>
        <v>0</v>
      </c>
      <c r="K616" s="54" t="str">
        <f t="shared" si="84"/>
        <v>0</v>
      </c>
      <c r="L616" s="69" t="str">
        <f t="shared" si="91"/>
        <v>0</v>
      </c>
      <c r="M616" s="74" t="str">
        <f t="shared" si="85"/>
        <v>0</v>
      </c>
      <c r="N616" s="29" t="str">
        <f t="shared" si="86"/>
        <v>0</v>
      </c>
      <c r="O616" s="61" t="str">
        <f t="shared" ca="1" si="89"/>
        <v>0</v>
      </c>
      <c r="P616" s="65" t="str">
        <f t="shared" si="90"/>
        <v>0</v>
      </c>
      <c r="Q616" s="46">
        <f t="shared" ca="1" si="87"/>
        <v>0</v>
      </c>
      <c r="R616" s="3" t="str">
        <f t="shared" ca="1" si="88"/>
        <v>ไม่ผ่าน</v>
      </c>
      <c r="S616" s="3" t="s">
        <v>28</v>
      </c>
    </row>
    <row r="617" spans="1:19" ht="24">
      <c r="A617" s="3">
        <v>616</v>
      </c>
      <c r="B617" s="105">
        <v>6410048242</v>
      </c>
      <c r="C617" s="4" t="s">
        <v>22</v>
      </c>
      <c r="D617" s="4" t="s">
        <v>1586</v>
      </c>
      <c r="E617" s="4" t="s">
        <v>1587</v>
      </c>
      <c r="F617" s="4" t="s">
        <v>1588</v>
      </c>
      <c r="G617" s="4" t="s">
        <v>1334</v>
      </c>
      <c r="H617" s="4" t="s">
        <v>1515</v>
      </c>
      <c r="I617" s="3">
        <v>3</v>
      </c>
      <c r="J617" s="29" t="str">
        <f t="shared" si="83"/>
        <v>1</v>
      </c>
      <c r="K617" s="54" t="str">
        <f t="shared" si="84"/>
        <v>1</v>
      </c>
      <c r="L617" s="69" t="str">
        <f t="shared" si="91"/>
        <v>0</v>
      </c>
      <c r="M617" s="74" t="str">
        <f t="shared" si="85"/>
        <v>0</v>
      </c>
      <c r="N617" s="29" t="str">
        <f t="shared" si="86"/>
        <v>1</v>
      </c>
      <c r="O617" s="61" t="str">
        <f t="shared" ca="1" si="89"/>
        <v>0</v>
      </c>
      <c r="P617" s="65" t="str">
        <f t="shared" si="90"/>
        <v>1</v>
      </c>
      <c r="Q617" s="46">
        <f t="shared" ca="1" si="87"/>
        <v>4</v>
      </c>
      <c r="R617" s="83" t="str">
        <f t="shared" ca="1" si="88"/>
        <v>ผ่าน</v>
      </c>
      <c r="S617" s="3" t="s">
        <v>28</v>
      </c>
    </row>
    <row r="618" spans="1:19" ht="24">
      <c r="A618" s="3">
        <v>617</v>
      </c>
      <c r="B618" s="105">
        <v>6410048243</v>
      </c>
      <c r="C618" s="4" t="s">
        <v>22</v>
      </c>
      <c r="D618" s="4" t="s">
        <v>1589</v>
      </c>
      <c r="E618" s="4" t="s">
        <v>1590</v>
      </c>
      <c r="F618" s="4" t="s">
        <v>1591</v>
      </c>
      <c r="G618" s="4" t="s">
        <v>1334</v>
      </c>
      <c r="H618" s="4" t="s">
        <v>1515</v>
      </c>
      <c r="I618" s="3">
        <v>3</v>
      </c>
      <c r="J618" s="29" t="str">
        <f t="shared" si="83"/>
        <v>0</v>
      </c>
      <c r="K618" s="54" t="str">
        <f t="shared" si="84"/>
        <v>0</v>
      </c>
      <c r="L618" s="69" t="str">
        <f t="shared" si="91"/>
        <v>0</v>
      </c>
      <c r="M618" s="74" t="str">
        <f t="shared" si="85"/>
        <v>0</v>
      </c>
      <c r="N618" s="29" t="str">
        <f t="shared" si="86"/>
        <v>0</v>
      </c>
      <c r="O618" s="61" t="str">
        <f t="shared" ca="1" si="89"/>
        <v>1</v>
      </c>
      <c r="P618" s="65" t="str">
        <f t="shared" si="90"/>
        <v>0</v>
      </c>
      <c r="Q618" s="46">
        <f t="shared" ca="1" si="87"/>
        <v>1</v>
      </c>
      <c r="R618" s="3" t="str">
        <f t="shared" ca="1" si="88"/>
        <v>ไม่ผ่าน</v>
      </c>
      <c r="S618" s="3" t="s">
        <v>28</v>
      </c>
    </row>
    <row r="619" spans="1:19" ht="24">
      <c r="A619" s="3">
        <v>618</v>
      </c>
      <c r="B619" s="105">
        <v>6410048260</v>
      </c>
      <c r="C619" s="4" t="s">
        <v>29</v>
      </c>
      <c r="D619" s="4" t="s">
        <v>1592</v>
      </c>
      <c r="E619" s="4" t="s">
        <v>1593</v>
      </c>
      <c r="F619" s="4" t="s">
        <v>1594</v>
      </c>
      <c r="G619" s="4" t="s">
        <v>1334</v>
      </c>
      <c r="H619" s="4" t="s">
        <v>1515</v>
      </c>
      <c r="I619" s="3">
        <v>3</v>
      </c>
      <c r="J619" s="29" t="str">
        <f t="shared" si="83"/>
        <v>1</v>
      </c>
      <c r="K619" s="54" t="str">
        <f t="shared" si="84"/>
        <v>1</v>
      </c>
      <c r="L619" s="69" t="str">
        <f t="shared" si="91"/>
        <v>0</v>
      </c>
      <c r="M619" s="74" t="str">
        <f t="shared" si="85"/>
        <v>1</v>
      </c>
      <c r="N619" s="29" t="str">
        <f t="shared" si="86"/>
        <v>0</v>
      </c>
      <c r="O619" s="61" t="str">
        <f t="shared" ca="1" si="89"/>
        <v>1</v>
      </c>
      <c r="P619" s="65" t="str">
        <f t="shared" si="90"/>
        <v>1</v>
      </c>
      <c r="Q619" s="46">
        <f t="shared" ca="1" si="87"/>
        <v>5</v>
      </c>
      <c r="R619" s="83" t="str">
        <f t="shared" ca="1" si="88"/>
        <v>ผ่าน</v>
      </c>
      <c r="S619" s="3" t="s">
        <v>28</v>
      </c>
    </row>
    <row r="620" spans="1:19" ht="24">
      <c r="A620" s="3">
        <v>619</v>
      </c>
      <c r="B620" s="105">
        <v>6410048262</v>
      </c>
      <c r="C620" s="4" t="s">
        <v>29</v>
      </c>
      <c r="D620" s="4" t="s">
        <v>1595</v>
      </c>
      <c r="E620" s="4" t="s">
        <v>1596</v>
      </c>
      <c r="F620" s="4" t="s">
        <v>1597</v>
      </c>
      <c r="G620" s="4" t="s">
        <v>1334</v>
      </c>
      <c r="H620" s="4" t="s">
        <v>1515</v>
      </c>
      <c r="I620" s="3">
        <v>3</v>
      </c>
      <c r="J620" s="29" t="str">
        <f t="shared" si="83"/>
        <v>1</v>
      </c>
      <c r="K620" s="54" t="str">
        <f t="shared" si="84"/>
        <v>1</v>
      </c>
      <c r="L620" s="69" t="str">
        <f t="shared" si="91"/>
        <v>0</v>
      </c>
      <c r="M620" s="74" t="str">
        <f t="shared" si="85"/>
        <v>1</v>
      </c>
      <c r="N620" s="29" t="str">
        <f t="shared" si="86"/>
        <v>0</v>
      </c>
      <c r="O620" s="61" t="str">
        <f t="shared" ca="1" si="89"/>
        <v>1</v>
      </c>
      <c r="P620" s="65" t="str">
        <f t="shared" si="90"/>
        <v>1</v>
      </c>
      <c r="Q620" s="46">
        <f t="shared" ca="1" si="87"/>
        <v>5</v>
      </c>
      <c r="R620" s="83" t="str">
        <f t="shared" ca="1" si="88"/>
        <v>ผ่าน</v>
      </c>
      <c r="S620" s="3" t="s">
        <v>28</v>
      </c>
    </row>
    <row r="621" spans="1:19" ht="24">
      <c r="A621" s="3">
        <v>620</v>
      </c>
      <c r="B621" s="105">
        <v>6410058264</v>
      </c>
      <c r="C621" s="4" t="s">
        <v>22</v>
      </c>
      <c r="D621" s="4" t="s">
        <v>1598</v>
      </c>
      <c r="E621" s="4" t="s">
        <v>1599</v>
      </c>
      <c r="F621" s="4" t="s">
        <v>1600</v>
      </c>
      <c r="G621" s="4" t="s">
        <v>1334</v>
      </c>
      <c r="H621" s="4" t="s">
        <v>1515</v>
      </c>
      <c r="I621" s="3">
        <v>3</v>
      </c>
      <c r="J621" s="29" t="str">
        <f t="shared" si="83"/>
        <v>0</v>
      </c>
      <c r="K621" s="54" t="str">
        <f t="shared" si="84"/>
        <v>0</v>
      </c>
      <c r="L621" s="69" t="str">
        <f t="shared" si="91"/>
        <v>0</v>
      </c>
      <c r="M621" s="74" t="str">
        <f t="shared" si="85"/>
        <v>0</v>
      </c>
      <c r="N621" s="29" t="str">
        <f t="shared" si="86"/>
        <v>0</v>
      </c>
      <c r="O621" s="61" t="str">
        <f t="shared" ca="1" si="89"/>
        <v>0</v>
      </c>
      <c r="P621" s="65" t="str">
        <f t="shared" si="90"/>
        <v>0</v>
      </c>
      <c r="Q621" s="46">
        <f t="shared" ca="1" si="87"/>
        <v>0</v>
      </c>
      <c r="R621" s="3" t="str">
        <f t="shared" ca="1" si="88"/>
        <v>ไม่ผ่าน</v>
      </c>
      <c r="S621" s="3" t="s">
        <v>28</v>
      </c>
    </row>
    <row r="622" spans="1:19" ht="24">
      <c r="A622" s="3">
        <v>621</v>
      </c>
      <c r="B622" s="105">
        <v>6310048131</v>
      </c>
      <c r="C622" s="4" t="s">
        <v>29</v>
      </c>
      <c r="D622" s="4" t="s">
        <v>1601</v>
      </c>
      <c r="E622" s="4"/>
      <c r="F622" s="4" t="s">
        <v>1602</v>
      </c>
      <c r="G622" s="4" t="s">
        <v>1334</v>
      </c>
      <c r="H622" s="4" t="s">
        <v>1515</v>
      </c>
      <c r="I622" s="3">
        <v>4</v>
      </c>
      <c r="J622" s="29" t="str">
        <f t="shared" si="83"/>
        <v>1</v>
      </c>
      <c r="K622" s="54" t="str">
        <f t="shared" si="84"/>
        <v>1</v>
      </c>
      <c r="L622" s="69" t="str">
        <f t="shared" si="91"/>
        <v>0</v>
      </c>
      <c r="M622" s="74" t="str">
        <f t="shared" si="85"/>
        <v>1</v>
      </c>
      <c r="N622" s="29" t="str">
        <f t="shared" si="86"/>
        <v>0</v>
      </c>
      <c r="O622" s="61">
        <v>1</v>
      </c>
      <c r="P622" s="65">
        <v>1</v>
      </c>
      <c r="Q622" s="46">
        <f t="shared" si="87"/>
        <v>5</v>
      </c>
      <c r="R622" s="83" t="str">
        <f t="shared" si="88"/>
        <v>ผ่าน</v>
      </c>
      <c r="S622" s="3" t="s">
        <v>28</v>
      </c>
    </row>
    <row r="623" spans="1:19" ht="24">
      <c r="A623" s="3">
        <v>622</v>
      </c>
      <c r="B623" s="105">
        <v>6310048219</v>
      </c>
      <c r="C623" s="4" t="s">
        <v>22</v>
      </c>
      <c r="D623" s="4" t="s">
        <v>853</v>
      </c>
      <c r="E623" s="4" t="s">
        <v>1603</v>
      </c>
      <c r="F623" s="4" t="s">
        <v>498</v>
      </c>
      <c r="G623" s="4" t="s">
        <v>1334</v>
      </c>
      <c r="H623" s="4" t="s">
        <v>1515</v>
      </c>
      <c r="I623" s="3">
        <v>4</v>
      </c>
      <c r="J623" s="29" t="str">
        <f t="shared" si="83"/>
        <v>0</v>
      </c>
      <c r="K623" s="54">
        <v>1</v>
      </c>
      <c r="L623" s="69" t="str">
        <f t="shared" si="91"/>
        <v>0</v>
      </c>
      <c r="M623" s="74" t="str">
        <f t="shared" si="85"/>
        <v>1</v>
      </c>
      <c r="N623" s="29" t="str">
        <f t="shared" si="86"/>
        <v>0</v>
      </c>
      <c r="O623" s="61">
        <v>1</v>
      </c>
      <c r="P623" s="65">
        <v>1</v>
      </c>
      <c r="Q623" s="46">
        <f t="shared" si="87"/>
        <v>4</v>
      </c>
      <c r="R623" s="83" t="str">
        <f t="shared" si="88"/>
        <v>ผ่าน</v>
      </c>
      <c r="S623" s="3" t="s">
        <v>28</v>
      </c>
    </row>
    <row r="624" spans="1:19" ht="24">
      <c r="A624" s="3">
        <v>623</v>
      </c>
      <c r="B624" s="105">
        <v>6310084104</v>
      </c>
      <c r="C624" s="4" t="s">
        <v>29</v>
      </c>
      <c r="D624" s="4" t="s">
        <v>1604</v>
      </c>
      <c r="E624" s="4" t="s">
        <v>1605</v>
      </c>
      <c r="F624" s="4" t="s">
        <v>1252</v>
      </c>
      <c r="G624" s="4" t="s">
        <v>1334</v>
      </c>
      <c r="H624" s="4" t="s">
        <v>1606</v>
      </c>
      <c r="I624" s="3">
        <v>4</v>
      </c>
      <c r="J624" s="29" t="str">
        <f t="shared" si="83"/>
        <v>0</v>
      </c>
      <c r="K624" s="54">
        <v>1</v>
      </c>
      <c r="L624" s="69" t="str">
        <f t="shared" si="91"/>
        <v>0</v>
      </c>
      <c r="M624" s="74" t="str">
        <f t="shared" si="85"/>
        <v>1</v>
      </c>
      <c r="N624" s="29" t="str">
        <f t="shared" si="86"/>
        <v>0</v>
      </c>
      <c r="O624" s="61" t="str">
        <f t="shared" ca="1" si="89"/>
        <v>1</v>
      </c>
      <c r="P624" s="65">
        <v>1</v>
      </c>
      <c r="Q624" s="46">
        <f t="shared" ca="1" si="87"/>
        <v>4</v>
      </c>
      <c r="R624" s="83" t="str">
        <f t="shared" ca="1" si="88"/>
        <v>ผ่าน</v>
      </c>
      <c r="S624" s="3" t="s">
        <v>28</v>
      </c>
    </row>
    <row r="625" spans="1:19" ht="24">
      <c r="A625" s="3">
        <v>624</v>
      </c>
      <c r="B625" s="105">
        <v>6310084105</v>
      </c>
      <c r="C625" s="4" t="s">
        <v>29</v>
      </c>
      <c r="D625" s="4" t="s">
        <v>1607</v>
      </c>
      <c r="E625" s="4" t="s">
        <v>1608</v>
      </c>
      <c r="F625" s="4" t="s">
        <v>1295</v>
      </c>
      <c r="G625" s="4" t="s">
        <v>1334</v>
      </c>
      <c r="H625" s="4" t="s">
        <v>1606</v>
      </c>
      <c r="I625" s="3">
        <v>4</v>
      </c>
      <c r="J625" s="29" t="str">
        <f t="shared" si="83"/>
        <v>0</v>
      </c>
      <c r="K625" s="54">
        <v>1</v>
      </c>
      <c r="L625" s="69" t="str">
        <f t="shared" si="91"/>
        <v>0</v>
      </c>
      <c r="M625" s="74" t="str">
        <f t="shared" si="85"/>
        <v>1</v>
      </c>
      <c r="N625" s="29" t="str">
        <f t="shared" si="86"/>
        <v>0</v>
      </c>
      <c r="O625" s="61" t="str">
        <f t="shared" ca="1" si="89"/>
        <v>1</v>
      </c>
      <c r="P625" s="65">
        <v>1</v>
      </c>
      <c r="Q625" s="46">
        <f t="shared" ca="1" si="87"/>
        <v>4</v>
      </c>
      <c r="R625" s="83" t="str">
        <f t="shared" ca="1" si="88"/>
        <v>ผ่าน</v>
      </c>
      <c r="S625" s="3" t="s">
        <v>28</v>
      </c>
    </row>
    <row r="626" spans="1:19" ht="24">
      <c r="A626" s="3">
        <v>625</v>
      </c>
      <c r="B626" s="105">
        <v>6310084108</v>
      </c>
      <c r="C626" s="4" t="s">
        <v>29</v>
      </c>
      <c r="D626" s="4" t="s">
        <v>1609</v>
      </c>
      <c r="E626" s="4" t="s">
        <v>1610</v>
      </c>
      <c r="F626" s="4" t="s">
        <v>1611</v>
      </c>
      <c r="G626" s="4" t="s">
        <v>1334</v>
      </c>
      <c r="H626" s="4" t="s">
        <v>1606</v>
      </c>
      <c r="I626" s="3">
        <v>4</v>
      </c>
      <c r="J626" s="29" t="str">
        <f t="shared" si="83"/>
        <v>0</v>
      </c>
      <c r="K626" s="54">
        <v>1</v>
      </c>
      <c r="L626" s="69" t="str">
        <f t="shared" si="91"/>
        <v>0</v>
      </c>
      <c r="M626" s="74" t="str">
        <f t="shared" si="85"/>
        <v>1</v>
      </c>
      <c r="N626" s="29" t="str">
        <f t="shared" si="86"/>
        <v>0</v>
      </c>
      <c r="O626" s="61" t="str">
        <f t="shared" ca="1" si="89"/>
        <v>1</v>
      </c>
      <c r="P626" s="65">
        <v>1</v>
      </c>
      <c r="Q626" s="46">
        <f t="shared" ca="1" si="87"/>
        <v>4</v>
      </c>
      <c r="R626" s="83" t="str">
        <f t="shared" ca="1" si="88"/>
        <v>ผ่าน</v>
      </c>
      <c r="S626" s="3" t="s">
        <v>28</v>
      </c>
    </row>
    <row r="627" spans="1:19" ht="24">
      <c r="A627" s="3">
        <v>626</v>
      </c>
      <c r="B627" s="105">
        <v>6310084109</v>
      </c>
      <c r="C627" s="4" t="s">
        <v>29</v>
      </c>
      <c r="D627" s="4" t="s">
        <v>1612</v>
      </c>
      <c r="E627" s="4" t="s">
        <v>1613</v>
      </c>
      <c r="F627" s="4" t="s">
        <v>332</v>
      </c>
      <c r="G627" s="4" t="s">
        <v>1334</v>
      </c>
      <c r="H627" s="4" t="s">
        <v>1606</v>
      </c>
      <c r="I627" s="3">
        <v>4</v>
      </c>
      <c r="J627" s="29" t="str">
        <f t="shared" si="83"/>
        <v>0</v>
      </c>
      <c r="K627" s="54">
        <v>1</v>
      </c>
      <c r="L627" s="69" t="str">
        <f t="shared" si="91"/>
        <v>0</v>
      </c>
      <c r="M627" s="74" t="str">
        <f t="shared" si="85"/>
        <v>1</v>
      </c>
      <c r="N627" s="29" t="str">
        <f t="shared" si="86"/>
        <v>0</v>
      </c>
      <c r="O627" s="61" t="str">
        <f t="shared" ca="1" si="89"/>
        <v>1</v>
      </c>
      <c r="P627" s="65">
        <v>1</v>
      </c>
      <c r="Q627" s="46">
        <f t="shared" ca="1" si="87"/>
        <v>4</v>
      </c>
      <c r="R627" s="83" t="str">
        <f t="shared" ca="1" si="88"/>
        <v>ผ่าน</v>
      </c>
      <c r="S627" s="3" t="s">
        <v>28</v>
      </c>
    </row>
    <row r="628" spans="1:19" ht="24">
      <c r="A628" s="3">
        <v>627</v>
      </c>
      <c r="B628" s="105">
        <v>6510014102</v>
      </c>
      <c r="C628" s="4" t="s">
        <v>22</v>
      </c>
      <c r="D628" s="4" t="s">
        <v>1614</v>
      </c>
      <c r="E628" s="4" t="s">
        <v>1615</v>
      </c>
      <c r="F628" s="4" t="s">
        <v>1616</v>
      </c>
      <c r="G628" s="4" t="s">
        <v>1334</v>
      </c>
      <c r="H628" s="4" t="s">
        <v>1617</v>
      </c>
      <c r="I628" s="3">
        <v>2</v>
      </c>
      <c r="J628" s="29" t="str">
        <f t="shared" si="83"/>
        <v>1</v>
      </c>
      <c r="K628" s="54" t="str">
        <f t="shared" si="84"/>
        <v>1</v>
      </c>
      <c r="L628" s="69" t="str">
        <f t="shared" si="91"/>
        <v>0</v>
      </c>
      <c r="M628" s="74" t="str">
        <f t="shared" si="85"/>
        <v>1</v>
      </c>
      <c r="N628" s="29" t="str">
        <f t="shared" si="86"/>
        <v>0</v>
      </c>
      <c r="O628" s="61" t="str">
        <f t="shared" ca="1" si="89"/>
        <v>1</v>
      </c>
      <c r="P628" s="65" t="str">
        <f t="shared" si="90"/>
        <v>1</v>
      </c>
      <c r="Q628" s="46">
        <f t="shared" ca="1" si="87"/>
        <v>5</v>
      </c>
      <c r="R628" s="83" t="str">
        <f t="shared" ca="1" si="88"/>
        <v>ผ่าน</v>
      </c>
      <c r="S628" s="3" t="s">
        <v>28</v>
      </c>
    </row>
    <row r="629" spans="1:19" ht="24">
      <c r="A629" s="3">
        <v>628</v>
      </c>
      <c r="B629" s="105">
        <v>6510014104</v>
      </c>
      <c r="C629" s="4" t="s">
        <v>22</v>
      </c>
      <c r="D629" s="4" t="s">
        <v>699</v>
      </c>
      <c r="E629" s="4" t="s">
        <v>1618</v>
      </c>
      <c r="F629" s="4" t="s">
        <v>1078</v>
      </c>
      <c r="G629" s="4" t="s">
        <v>1334</v>
      </c>
      <c r="H629" s="4" t="s">
        <v>1617</v>
      </c>
      <c r="I629" s="3">
        <v>2</v>
      </c>
      <c r="J629" s="29" t="str">
        <f t="shared" si="83"/>
        <v>1</v>
      </c>
      <c r="K629" s="54" t="str">
        <f t="shared" si="84"/>
        <v>1</v>
      </c>
      <c r="L629" s="69" t="str">
        <f t="shared" si="91"/>
        <v>0</v>
      </c>
      <c r="M629" s="74" t="str">
        <f t="shared" si="85"/>
        <v>1</v>
      </c>
      <c r="N629" s="29" t="str">
        <f t="shared" si="86"/>
        <v>0</v>
      </c>
      <c r="O629" s="61" t="str">
        <f t="shared" ca="1" si="89"/>
        <v>1</v>
      </c>
      <c r="P629" s="65" t="str">
        <f t="shared" si="90"/>
        <v>1</v>
      </c>
      <c r="Q629" s="46">
        <f t="shared" ca="1" si="87"/>
        <v>5</v>
      </c>
      <c r="R629" s="83" t="str">
        <f t="shared" ca="1" si="88"/>
        <v>ผ่าน</v>
      </c>
      <c r="S629" s="3" t="s">
        <v>28</v>
      </c>
    </row>
    <row r="630" spans="1:19" ht="24">
      <c r="A630" s="3">
        <v>629</v>
      </c>
      <c r="B630" s="105">
        <v>6510014106</v>
      </c>
      <c r="C630" s="4" t="s">
        <v>22</v>
      </c>
      <c r="D630" s="4" t="s">
        <v>1619</v>
      </c>
      <c r="E630" s="4" t="s">
        <v>1620</v>
      </c>
      <c r="F630" s="4" t="s">
        <v>1621</v>
      </c>
      <c r="G630" s="4" t="s">
        <v>1334</v>
      </c>
      <c r="H630" s="4" t="s">
        <v>1617</v>
      </c>
      <c r="I630" s="3">
        <v>2</v>
      </c>
      <c r="J630" s="29" t="str">
        <f t="shared" si="83"/>
        <v>1</v>
      </c>
      <c r="K630" s="54" t="str">
        <f t="shared" si="84"/>
        <v>1</v>
      </c>
      <c r="L630" s="69" t="str">
        <f t="shared" si="91"/>
        <v>0</v>
      </c>
      <c r="M630" s="74" t="str">
        <f t="shared" si="85"/>
        <v>1</v>
      </c>
      <c r="N630" s="29" t="str">
        <f t="shared" si="86"/>
        <v>0</v>
      </c>
      <c r="O630" s="61" t="str">
        <f t="shared" ca="1" si="89"/>
        <v>1</v>
      </c>
      <c r="P630" s="65" t="str">
        <f t="shared" si="90"/>
        <v>1</v>
      </c>
      <c r="Q630" s="46">
        <f t="shared" ca="1" si="87"/>
        <v>5</v>
      </c>
      <c r="R630" s="83" t="str">
        <f t="shared" ca="1" si="88"/>
        <v>ผ่าน</v>
      </c>
      <c r="S630" s="3" t="s">
        <v>28</v>
      </c>
    </row>
    <row r="631" spans="1:19" ht="24">
      <c r="A631" s="3">
        <v>630</v>
      </c>
      <c r="B631" s="105">
        <v>6510014115</v>
      </c>
      <c r="C631" s="4" t="s">
        <v>29</v>
      </c>
      <c r="D631" s="4" t="s">
        <v>1622</v>
      </c>
      <c r="E631" s="4" t="s">
        <v>1623</v>
      </c>
      <c r="F631" s="4" t="s">
        <v>738</v>
      </c>
      <c r="G631" s="4" t="s">
        <v>1334</v>
      </c>
      <c r="H631" s="4" t="s">
        <v>1617</v>
      </c>
      <c r="I631" s="3">
        <v>2</v>
      </c>
      <c r="J631" s="29" t="str">
        <f t="shared" si="83"/>
        <v>1</v>
      </c>
      <c r="K631" s="54" t="str">
        <f t="shared" si="84"/>
        <v>1</v>
      </c>
      <c r="L631" s="69" t="str">
        <f t="shared" si="91"/>
        <v>0</v>
      </c>
      <c r="M631" s="74" t="str">
        <f t="shared" si="85"/>
        <v>1</v>
      </c>
      <c r="N631" s="29" t="str">
        <f t="shared" si="86"/>
        <v>0</v>
      </c>
      <c r="O631" s="61" t="str">
        <f t="shared" ca="1" si="89"/>
        <v>1</v>
      </c>
      <c r="P631" s="65" t="str">
        <f t="shared" si="90"/>
        <v>1</v>
      </c>
      <c r="Q631" s="46">
        <f t="shared" ca="1" si="87"/>
        <v>5</v>
      </c>
      <c r="R631" s="83" t="str">
        <f t="shared" ca="1" si="88"/>
        <v>ผ่าน</v>
      </c>
      <c r="S631" s="3" t="s">
        <v>28</v>
      </c>
    </row>
    <row r="632" spans="1:19" ht="24">
      <c r="A632" s="3">
        <v>631</v>
      </c>
      <c r="B632" s="105">
        <v>6510014116</v>
      </c>
      <c r="C632" s="4" t="s">
        <v>29</v>
      </c>
      <c r="D632" s="4" t="s">
        <v>1624</v>
      </c>
      <c r="E632" s="4" t="s">
        <v>1625</v>
      </c>
      <c r="F632" s="4" t="s">
        <v>1626</v>
      </c>
      <c r="G632" s="4" t="s">
        <v>1334</v>
      </c>
      <c r="H632" s="4" t="s">
        <v>1617</v>
      </c>
      <c r="I632" s="3">
        <v>2</v>
      </c>
      <c r="J632" s="29" t="str">
        <f t="shared" si="83"/>
        <v>1</v>
      </c>
      <c r="K632" s="54" t="str">
        <f t="shared" si="84"/>
        <v>1</v>
      </c>
      <c r="L632" s="69" t="str">
        <f t="shared" si="91"/>
        <v>0</v>
      </c>
      <c r="M632" s="74" t="str">
        <f t="shared" si="85"/>
        <v>1</v>
      </c>
      <c r="N632" s="29" t="str">
        <f t="shared" si="86"/>
        <v>0</v>
      </c>
      <c r="O632" s="61" t="str">
        <f t="shared" ca="1" si="89"/>
        <v>1</v>
      </c>
      <c r="P632" s="65" t="str">
        <f t="shared" si="90"/>
        <v>1</v>
      </c>
      <c r="Q632" s="46">
        <f t="shared" ca="1" si="87"/>
        <v>5</v>
      </c>
      <c r="R632" s="83" t="str">
        <f t="shared" ca="1" si="88"/>
        <v>ผ่าน</v>
      </c>
      <c r="S632" s="3" t="s">
        <v>28</v>
      </c>
    </row>
    <row r="633" spans="1:19" ht="24">
      <c r="A633" s="3">
        <v>632</v>
      </c>
      <c r="B633" s="105">
        <v>6611506118</v>
      </c>
      <c r="C633" s="4" t="s">
        <v>29</v>
      </c>
      <c r="D633" s="4" t="s">
        <v>557</v>
      </c>
      <c r="E633" s="4" t="s">
        <v>1627</v>
      </c>
      <c r="F633" s="4" t="s">
        <v>507</v>
      </c>
      <c r="G633" s="4" t="s">
        <v>1334</v>
      </c>
      <c r="H633" s="4" t="s">
        <v>1628</v>
      </c>
      <c r="I633" s="3">
        <v>1</v>
      </c>
      <c r="J633" s="29" t="str">
        <f t="shared" si="83"/>
        <v>0</v>
      </c>
      <c r="K633" s="54" t="str">
        <f t="shared" si="84"/>
        <v>1</v>
      </c>
      <c r="L633" s="69" t="str">
        <f t="shared" si="91"/>
        <v>0</v>
      </c>
      <c r="M633" s="74" t="str">
        <f t="shared" si="85"/>
        <v>1</v>
      </c>
      <c r="N633" s="29" t="str">
        <f t="shared" si="86"/>
        <v>0</v>
      </c>
      <c r="O633" s="61" t="str">
        <f t="shared" ca="1" si="89"/>
        <v>1</v>
      </c>
      <c r="P633" s="65" t="str">
        <f t="shared" si="90"/>
        <v>1</v>
      </c>
      <c r="Q633" s="46">
        <f t="shared" ca="1" si="87"/>
        <v>4</v>
      </c>
      <c r="R633" s="83" t="str">
        <f t="shared" ca="1" si="88"/>
        <v>ผ่าน</v>
      </c>
      <c r="S633" s="3" t="s">
        <v>28</v>
      </c>
    </row>
    <row r="634" spans="1:19" ht="24">
      <c r="A634" s="3">
        <v>633</v>
      </c>
      <c r="B634" s="105">
        <v>6611506120</v>
      </c>
      <c r="C634" s="4" t="s">
        <v>29</v>
      </c>
      <c r="D634" s="4" t="s">
        <v>1629</v>
      </c>
      <c r="E634" s="4" t="s">
        <v>1630</v>
      </c>
      <c r="F634" s="4" t="s">
        <v>784</v>
      </c>
      <c r="G634" s="4" t="s">
        <v>1334</v>
      </c>
      <c r="H634" s="4" t="s">
        <v>1628</v>
      </c>
      <c r="I634" s="3">
        <v>1</v>
      </c>
      <c r="J634" s="29" t="str">
        <f t="shared" si="83"/>
        <v>0</v>
      </c>
      <c r="K634" s="54" t="str">
        <f t="shared" si="84"/>
        <v>1</v>
      </c>
      <c r="L634" s="69" t="str">
        <f t="shared" si="91"/>
        <v>0</v>
      </c>
      <c r="M634" s="74" t="str">
        <f t="shared" si="85"/>
        <v>1</v>
      </c>
      <c r="N634" s="29" t="str">
        <f t="shared" si="86"/>
        <v>0</v>
      </c>
      <c r="O634" s="61" t="str">
        <f t="shared" ca="1" si="89"/>
        <v>0</v>
      </c>
      <c r="P634" s="65" t="str">
        <f t="shared" si="90"/>
        <v>1</v>
      </c>
      <c r="Q634" s="46">
        <f t="shared" ca="1" si="87"/>
        <v>3</v>
      </c>
      <c r="R634" s="83" t="str">
        <f t="shared" ca="1" si="88"/>
        <v>ผ่าน</v>
      </c>
      <c r="S634" s="3" t="s">
        <v>28</v>
      </c>
    </row>
    <row r="635" spans="1:19" ht="24">
      <c r="A635" s="3">
        <v>634</v>
      </c>
      <c r="B635" s="105">
        <v>6511506115</v>
      </c>
      <c r="C635" s="4" t="s">
        <v>29</v>
      </c>
      <c r="D635" s="4" t="s">
        <v>1631</v>
      </c>
      <c r="E635" s="4" t="s">
        <v>1632</v>
      </c>
      <c r="F635" s="4" t="s">
        <v>1132</v>
      </c>
      <c r="G635" s="4" t="s">
        <v>1334</v>
      </c>
      <c r="H635" s="4" t="s">
        <v>1628</v>
      </c>
      <c r="I635" s="3">
        <v>2</v>
      </c>
      <c r="J635" s="29" t="str">
        <f t="shared" si="83"/>
        <v>0</v>
      </c>
      <c r="K635" s="54" t="str">
        <f t="shared" si="84"/>
        <v>1</v>
      </c>
      <c r="L635" s="69" t="str">
        <f t="shared" si="91"/>
        <v>0</v>
      </c>
      <c r="M635" s="74" t="str">
        <f t="shared" si="85"/>
        <v>1</v>
      </c>
      <c r="N635" s="29" t="str">
        <f t="shared" si="86"/>
        <v>0</v>
      </c>
      <c r="O635" s="61" t="str">
        <f t="shared" ca="1" si="89"/>
        <v>1</v>
      </c>
      <c r="P635" s="65" t="str">
        <f t="shared" si="90"/>
        <v>1</v>
      </c>
      <c r="Q635" s="46">
        <f t="shared" ca="1" si="87"/>
        <v>4</v>
      </c>
      <c r="R635" s="83" t="str">
        <f t="shared" ca="1" si="88"/>
        <v>ผ่าน</v>
      </c>
      <c r="S635" s="3" t="s">
        <v>28</v>
      </c>
    </row>
    <row r="636" spans="1:19" ht="24">
      <c r="A636" s="3">
        <v>635</v>
      </c>
      <c r="B636" s="105">
        <v>6511506128</v>
      </c>
      <c r="C636" s="4" t="s">
        <v>29</v>
      </c>
      <c r="D636" s="4" t="s">
        <v>1583</v>
      </c>
      <c r="E636" s="4" t="s">
        <v>1633</v>
      </c>
      <c r="F636" s="4" t="s">
        <v>143</v>
      </c>
      <c r="G636" s="4" t="s">
        <v>1334</v>
      </c>
      <c r="H636" s="4" t="s">
        <v>1628</v>
      </c>
      <c r="I636" s="3">
        <v>2</v>
      </c>
      <c r="J636" s="29" t="str">
        <f t="shared" si="83"/>
        <v>0</v>
      </c>
      <c r="K636" s="54" t="str">
        <f t="shared" si="84"/>
        <v>1</v>
      </c>
      <c r="L636" s="69" t="str">
        <f t="shared" si="91"/>
        <v>0</v>
      </c>
      <c r="M636" s="74" t="str">
        <f t="shared" si="85"/>
        <v>1</v>
      </c>
      <c r="N636" s="29" t="str">
        <f t="shared" si="86"/>
        <v>0</v>
      </c>
      <c r="O636" s="61" t="str">
        <f t="shared" ca="1" si="89"/>
        <v>1</v>
      </c>
      <c r="P636" s="65" t="str">
        <f t="shared" si="90"/>
        <v>1</v>
      </c>
      <c r="Q636" s="46">
        <f t="shared" ca="1" si="87"/>
        <v>4</v>
      </c>
      <c r="R636" s="83" t="str">
        <f t="shared" ca="1" si="88"/>
        <v>ผ่าน</v>
      </c>
      <c r="S636" s="3" t="s">
        <v>28</v>
      </c>
    </row>
    <row r="637" spans="1:19" ht="24">
      <c r="A637" s="3">
        <v>636</v>
      </c>
      <c r="B637" s="105">
        <v>6511506214</v>
      </c>
      <c r="C637" s="4" t="s">
        <v>29</v>
      </c>
      <c r="D637" s="4" t="s">
        <v>1634</v>
      </c>
      <c r="E637" s="4" t="s">
        <v>1635</v>
      </c>
      <c r="F637" s="4" t="s">
        <v>78</v>
      </c>
      <c r="G637" s="4" t="s">
        <v>1334</v>
      </c>
      <c r="H637" s="4" t="s">
        <v>1628</v>
      </c>
      <c r="I637" s="3">
        <v>2</v>
      </c>
      <c r="J637" s="29" t="str">
        <f t="shared" si="83"/>
        <v>0</v>
      </c>
      <c r="K637" s="54" t="str">
        <f t="shared" si="84"/>
        <v>1</v>
      </c>
      <c r="L637" s="69" t="str">
        <f t="shared" si="91"/>
        <v>0</v>
      </c>
      <c r="M637" s="74" t="str">
        <f t="shared" si="85"/>
        <v>1</v>
      </c>
      <c r="N637" s="29" t="str">
        <f t="shared" si="86"/>
        <v>0</v>
      </c>
      <c r="O637" s="61" t="str">
        <f t="shared" ca="1" si="89"/>
        <v>1</v>
      </c>
      <c r="P637" s="65" t="str">
        <f t="shared" si="90"/>
        <v>1</v>
      </c>
      <c r="Q637" s="46">
        <f t="shared" ca="1" si="87"/>
        <v>4</v>
      </c>
      <c r="R637" s="83" t="str">
        <f t="shared" ca="1" si="88"/>
        <v>ผ่าน</v>
      </c>
      <c r="S637" s="3" t="s">
        <v>28</v>
      </c>
    </row>
    <row r="638" spans="1:19" ht="24">
      <c r="A638" s="3">
        <v>637</v>
      </c>
      <c r="B638" s="105">
        <v>6511506215</v>
      </c>
      <c r="C638" s="4" t="s">
        <v>29</v>
      </c>
      <c r="D638" s="4" t="s">
        <v>1636</v>
      </c>
      <c r="E638" s="4" t="s">
        <v>1189</v>
      </c>
      <c r="F638" s="4" t="s">
        <v>1637</v>
      </c>
      <c r="G638" s="4" t="s">
        <v>1334</v>
      </c>
      <c r="H638" s="4" t="s">
        <v>1628</v>
      </c>
      <c r="I638" s="3">
        <v>2</v>
      </c>
      <c r="J638" s="29" t="str">
        <f t="shared" si="83"/>
        <v>1</v>
      </c>
      <c r="K638" s="54" t="str">
        <f t="shared" si="84"/>
        <v>1</v>
      </c>
      <c r="L638" s="69" t="str">
        <f t="shared" si="91"/>
        <v>0</v>
      </c>
      <c r="M638" s="74" t="str">
        <f t="shared" si="85"/>
        <v>1</v>
      </c>
      <c r="N638" s="29" t="str">
        <f t="shared" si="86"/>
        <v>0</v>
      </c>
      <c r="O638" s="61" t="str">
        <f t="shared" ca="1" si="89"/>
        <v>1</v>
      </c>
      <c r="P638" s="65" t="str">
        <f t="shared" si="90"/>
        <v>1</v>
      </c>
      <c r="Q638" s="46">
        <f t="shared" ca="1" si="87"/>
        <v>5</v>
      </c>
      <c r="R638" s="83" t="str">
        <f t="shared" ca="1" si="88"/>
        <v>ผ่าน</v>
      </c>
      <c r="S638" s="3" t="s">
        <v>28</v>
      </c>
    </row>
    <row r="639" spans="1:19" ht="24">
      <c r="A639" s="3">
        <v>638</v>
      </c>
      <c r="B639" s="105">
        <v>6511506217</v>
      </c>
      <c r="C639" s="4" t="s">
        <v>29</v>
      </c>
      <c r="D639" s="4" t="s">
        <v>1638</v>
      </c>
      <c r="E639" s="4" t="s">
        <v>1639</v>
      </c>
      <c r="F639" s="4" t="s">
        <v>297</v>
      </c>
      <c r="G639" s="4" t="s">
        <v>1334</v>
      </c>
      <c r="H639" s="4" t="s">
        <v>1628</v>
      </c>
      <c r="I639" s="3">
        <v>2</v>
      </c>
      <c r="J639" s="29" t="str">
        <f t="shared" si="83"/>
        <v>0</v>
      </c>
      <c r="K639" s="54" t="str">
        <f t="shared" si="84"/>
        <v>1</v>
      </c>
      <c r="L639" s="69" t="str">
        <f t="shared" si="91"/>
        <v>0</v>
      </c>
      <c r="M639" s="74" t="str">
        <f t="shared" si="85"/>
        <v>1</v>
      </c>
      <c r="N639" s="29" t="str">
        <f t="shared" si="86"/>
        <v>0</v>
      </c>
      <c r="O639" s="61" t="str">
        <f t="shared" ca="1" si="89"/>
        <v>1</v>
      </c>
      <c r="P639" s="65" t="str">
        <f t="shared" si="90"/>
        <v>1</v>
      </c>
      <c r="Q639" s="46">
        <f t="shared" ca="1" si="87"/>
        <v>4</v>
      </c>
      <c r="R639" s="83" t="str">
        <f t="shared" ca="1" si="88"/>
        <v>ผ่าน</v>
      </c>
      <c r="S639" s="3" t="s">
        <v>28</v>
      </c>
    </row>
    <row r="640" spans="1:19" ht="24">
      <c r="A640" s="3">
        <v>639</v>
      </c>
      <c r="B640" s="105">
        <v>6511506221</v>
      </c>
      <c r="C640" s="4" t="s">
        <v>29</v>
      </c>
      <c r="D640" s="4" t="s">
        <v>1134</v>
      </c>
      <c r="E640" s="4" t="s">
        <v>1640</v>
      </c>
      <c r="F640" s="4" t="s">
        <v>1641</v>
      </c>
      <c r="G640" s="4" t="s">
        <v>1334</v>
      </c>
      <c r="H640" s="4" t="s">
        <v>1628</v>
      </c>
      <c r="I640" s="3">
        <v>2</v>
      </c>
      <c r="J640" s="29" t="str">
        <f t="shared" si="83"/>
        <v>0</v>
      </c>
      <c r="K640" s="54" t="str">
        <f t="shared" si="84"/>
        <v>1</v>
      </c>
      <c r="L640" s="69" t="str">
        <f t="shared" si="91"/>
        <v>0</v>
      </c>
      <c r="M640" s="74" t="str">
        <f t="shared" si="85"/>
        <v>1</v>
      </c>
      <c r="N640" s="29" t="str">
        <f t="shared" si="86"/>
        <v>0</v>
      </c>
      <c r="O640" s="61" t="str">
        <f t="shared" ca="1" si="89"/>
        <v>1</v>
      </c>
      <c r="P640" s="65" t="str">
        <f t="shared" si="90"/>
        <v>1</v>
      </c>
      <c r="Q640" s="46">
        <f t="shared" ca="1" si="87"/>
        <v>4</v>
      </c>
      <c r="R640" s="83" t="str">
        <f t="shared" ca="1" si="88"/>
        <v>ผ่าน</v>
      </c>
      <c r="S640" s="3" t="s">
        <v>28</v>
      </c>
    </row>
    <row r="641" spans="1:19" ht="24">
      <c r="A641" s="3">
        <v>640</v>
      </c>
      <c r="B641" s="105">
        <v>6511506224</v>
      </c>
      <c r="C641" s="4" t="s">
        <v>29</v>
      </c>
      <c r="D641" s="4" t="s">
        <v>1302</v>
      </c>
      <c r="E641" s="4" t="s">
        <v>1642</v>
      </c>
      <c r="F641" s="4" t="s">
        <v>1643</v>
      </c>
      <c r="G641" s="4" t="s">
        <v>1334</v>
      </c>
      <c r="H641" s="4" t="s">
        <v>1628</v>
      </c>
      <c r="I641" s="3">
        <v>2</v>
      </c>
      <c r="J641" s="29" t="str">
        <f t="shared" si="83"/>
        <v>0</v>
      </c>
      <c r="K641" s="54" t="str">
        <f t="shared" si="84"/>
        <v>1</v>
      </c>
      <c r="L641" s="69" t="str">
        <f t="shared" si="91"/>
        <v>0</v>
      </c>
      <c r="M641" s="74" t="str">
        <f t="shared" si="85"/>
        <v>1</v>
      </c>
      <c r="N641" s="29" t="str">
        <f t="shared" si="86"/>
        <v>0</v>
      </c>
      <c r="O641" s="61" t="str">
        <f t="shared" ca="1" si="89"/>
        <v>1</v>
      </c>
      <c r="P641" s="65" t="str">
        <f t="shared" si="90"/>
        <v>1</v>
      </c>
      <c r="Q641" s="46">
        <f t="shared" ca="1" si="87"/>
        <v>4</v>
      </c>
      <c r="R641" s="83" t="str">
        <f t="shared" ca="1" si="88"/>
        <v>ผ่าน</v>
      </c>
      <c r="S641" s="3" t="s">
        <v>28</v>
      </c>
    </row>
    <row r="642" spans="1:19" ht="24">
      <c r="A642" s="3">
        <v>641</v>
      </c>
      <c r="B642" s="105">
        <v>6511506226</v>
      </c>
      <c r="C642" s="4" t="s">
        <v>29</v>
      </c>
      <c r="D642" s="4" t="s">
        <v>149</v>
      </c>
      <c r="E642" s="4" t="s">
        <v>1644</v>
      </c>
      <c r="F642" s="4" t="s">
        <v>1645</v>
      </c>
      <c r="G642" s="4" t="s">
        <v>1334</v>
      </c>
      <c r="H642" s="4" t="s">
        <v>1628</v>
      </c>
      <c r="I642" s="3">
        <v>2</v>
      </c>
      <c r="J642" s="29" t="str">
        <f t="shared" ref="J642:J668" si="92">IF(IFERROR(VLOOKUP(B642,DATA,1,FALSE),),"1","0")</f>
        <v>0</v>
      </c>
      <c r="K642" s="54">
        <v>1</v>
      </c>
      <c r="L642" s="69" t="str">
        <f t="shared" si="91"/>
        <v>0</v>
      </c>
      <c r="M642" s="74" t="str">
        <f t="shared" ref="M642:M668" si="93">IF(IFERROR(VLOOKUP(B642,DATA9,1,FALSE),),"1","0")</f>
        <v>1</v>
      </c>
      <c r="N642" s="29" t="str">
        <f t="shared" ref="N642:N668" si="94">IF(IFERROR(VLOOKUP(B642,DATA10,1,FALSE),),"1","0")</f>
        <v>0</v>
      </c>
      <c r="O642" s="61" t="str">
        <f t="shared" ca="1" si="89"/>
        <v>1</v>
      </c>
      <c r="P642" s="65" t="str">
        <f t="shared" si="90"/>
        <v>1</v>
      </c>
      <c r="Q642" s="46">
        <f t="shared" ca="1" si="87"/>
        <v>4</v>
      </c>
      <c r="R642" s="83" t="str">
        <f t="shared" ca="1" si="88"/>
        <v>ผ่าน</v>
      </c>
      <c r="S642" s="3" t="s">
        <v>28</v>
      </c>
    </row>
    <row r="643" spans="1:19" ht="24">
      <c r="A643" s="3">
        <v>642</v>
      </c>
      <c r="B643" s="105">
        <v>6511506240</v>
      </c>
      <c r="C643" s="4" t="s">
        <v>29</v>
      </c>
      <c r="D643" s="4" t="s">
        <v>1646</v>
      </c>
      <c r="E643" s="4" t="s">
        <v>1647</v>
      </c>
      <c r="F643" s="4" t="s">
        <v>1648</v>
      </c>
      <c r="G643" s="4" t="s">
        <v>1334</v>
      </c>
      <c r="H643" s="4" t="s">
        <v>1628</v>
      </c>
      <c r="I643" s="3">
        <v>2</v>
      </c>
      <c r="J643" s="29" t="str">
        <f t="shared" si="92"/>
        <v>0</v>
      </c>
      <c r="K643" s="54">
        <v>1</v>
      </c>
      <c r="L643" s="69" t="str">
        <f t="shared" si="91"/>
        <v>0</v>
      </c>
      <c r="M643" s="74" t="str">
        <f t="shared" si="93"/>
        <v>0</v>
      </c>
      <c r="N643" s="29" t="str">
        <f t="shared" si="94"/>
        <v>0</v>
      </c>
      <c r="O643" s="61" t="str">
        <f t="shared" ca="1" si="89"/>
        <v>0</v>
      </c>
      <c r="P643" s="65" t="str">
        <f t="shared" si="90"/>
        <v>0</v>
      </c>
      <c r="Q643" s="46">
        <f t="shared" ref="Q643:Q668" ca="1" si="95">J643+K643+L643+M643+N643+O643+P643</f>
        <v>1</v>
      </c>
      <c r="R643" s="3" t="str">
        <f t="shared" ref="R643:R668" ca="1" si="96">IF(Q643&gt;=3,"ผ่าน",IF(Q643&lt;3,"ไม่ผ่าน"))</f>
        <v>ไม่ผ่าน</v>
      </c>
      <c r="S643" s="3" t="s">
        <v>28</v>
      </c>
    </row>
    <row r="644" spans="1:19" ht="24">
      <c r="A644" s="3">
        <v>643</v>
      </c>
      <c r="B644" s="105">
        <v>6411506114</v>
      </c>
      <c r="C644" s="4" t="s">
        <v>29</v>
      </c>
      <c r="D644" s="4" t="s">
        <v>1649</v>
      </c>
      <c r="E644" s="4" t="s">
        <v>1650</v>
      </c>
      <c r="F644" s="4" t="s">
        <v>1651</v>
      </c>
      <c r="G644" s="4" t="s">
        <v>1334</v>
      </c>
      <c r="H644" s="4" t="s">
        <v>1628</v>
      </c>
      <c r="I644" s="3">
        <v>3</v>
      </c>
      <c r="J644" s="29" t="str">
        <f t="shared" si="92"/>
        <v>1</v>
      </c>
      <c r="K644" s="54">
        <v>1</v>
      </c>
      <c r="L644" s="69" t="str">
        <f t="shared" si="91"/>
        <v>0</v>
      </c>
      <c r="M644" s="74" t="str">
        <f t="shared" si="93"/>
        <v>1</v>
      </c>
      <c r="N644" s="29" t="str">
        <f t="shared" si="94"/>
        <v>0</v>
      </c>
      <c r="O644" s="61" t="str">
        <f t="shared" ca="1" si="89"/>
        <v>1</v>
      </c>
      <c r="P644" s="65" t="str">
        <f t="shared" si="90"/>
        <v>1</v>
      </c>
      <c r="Q644" s="46">
        <f t="shared" ca="1" si="95"/>
        <v>5</v>
      </c>
      <c r="R644" s="83" t="str">
        <f t="shared" ca="1" si="96"/>
        <v>ผ่าน</v>
      </c>
      <c r="S644" s="3" t="s">
        <v>28</v>
      </c>
    </row>
    <row r="645" spans="1:19" ht="24">
      <c r="A645" s="3">
        <v>644</v>
      </c>
      <c r="B645" s="105">
        <v>6411506131</v>
      </c>
      <c r="C645" s="4" t="s">
        <v>29</v>
      </c>
      <c r="D645" s="4" t="s">
        <v>1047</v>
      </c>
      <c r="E645" s="4" t="s">
        <v>1652</v>
      </c>
      <c r="F645" s="4" t="s">
        <v>1653</v>
      </c>
      <c r="G645" s="4" t="s">
        <v>1334</v>
      </c>
      <c r="H645" s="4" t="s">
        <v>1628</v>
      </c>
      <c r="I645" s="3">
        <v>3</v>
      </c>
      <c r="J645" s="29" t="str">
        <f t="shared" si="92"/>
        <v>1</v>
      </c>
      <c r="K645" s="54">
        <v>1</v>
      </c>
      <c r="L645" s="69" t="str">
        <f t="shared" si="91"/>
        <v>0</v>
      </c>
      <c r="M645" s="74" t="str">
        <f t="shared" si="93"/>
        <v>1</v>
      </c>
      <c r="N645" s="29" t="str">
        <f t="shared" si="94"/>
        <v>0</v>
      </c>
      <c r="O645" s="61" t="str">
        <f t="shared" ref="O645:O668" ca="1" si="97">IF(IFERROR(VLOOKUP(B645,DATA11,1,FALSE),),"1","0")</f>
        <v>1</v>
      </c>
      <c r="P645" s="65" t="str">
        <f t="shared" ref="P645:P668" si="98">IF(IFERROR(VLOOKUP(B645,DATA12,1,FALSE),),"1","0")</f>
        <v>1</v>
      </c>
      <c r="Q645" s="46">
        <f t="shared" ca="1" si="95"/>
        <v>5</v>
      </c>
      <c r="R645" s="83" t="str">
        <f t="shared" ca="1" si="96"/>
        <v>ผ่าน</v>
      </c>
      <c r="S645" s="3" t="s">
        <v>28</v>
      </c>
    </row>
    <row r="646" spans="1:19" ht="24">
      <c r="A646" s="3">
        <v>645</v>
      </c>
      <c r="B646" s="105">
        <v>6411506137</v>
      </c>
      <c r="C646" s="4" t="s">
        <v>29</v>
      </c>
      <c r="D646" s="4" t="s">
        <v>1654</v>
      </c>
      <c r="E646" s="4" t="s">
        <v>1655</v>
      </c>
      <c r="F646" s="4" t="s">
        <v>1656</v>
      </c>
      <c r="G646" s="4" t="s">
        <v>1334</v>
      </c>
      <c r="H646" s="4" t="s">
        <v>1628</v>
      </c>
      <c r="I646" s="3">
        <v>3</v>
      </c>
      <c r="J646" s="29" t="str">
        <f t="shared" si="92"/>
        <v>1</v>
      </c>
      <c r="K646" s="54">
        <v>1</v>
      </c>
      <c r="L646" s="69" t="str">
        <f t="shared" si="91"/>
        <v>0</v>
      </c>
      <c r="M646" s="74" t="str">
        <f t="shared" si="93"/>
        <v>1</v>
      </c>
      <c r="N646" s="29" t="str">
        <f t="shared" si="94"/>
        <v>0</v>
      </c>
      <c r="O646" s="61" t="str">
        <f t="shared" ca="1" si="97"/>
        <v>1</v>
      </c>
      <c r="P646" s="65" t="str">
        <f t="shared" si="98"/>
        <v>0</v>
      </c>
      <c r="Q646" s="46">
        <f t="shared" ca="1" si="95"/>
        <v>4</v>
      </c>
      <c r="R646" s="83" t="str">
        <f t="shared" ca="1" si="96"/>
        <v>ผ่าน</v>
      </c>
      <c r="S646" s="3" t="s">
        <v>28</v>
      </c>
    </row>
    <row r="647" spans="1:19" ht="24">
      <c r="A647" s="3">
        <v>646</v>
      </c>
      <c r="B647" s="105">
        <v>6411506219</v>
      </c>
      <c r="C647" s="4" t="s">
        <v>29</v>
      </c>
      <c r="D647" s="4" t="s">
        <v>1657</v>
      </c>
      <c r="E647" s="4" t="s">
        <v>1658</v>
      </c>
      <c r="F647" s="4" t="s">
        <v>644</v>
      </c>
      <c r="G647" s="4" t="s">
        <v>1334</v>
      </c>
      <c r="H647" s="4" t="s">
        <v>1628</v>
      </c>
      <c r="I647" s="3">
        <v>3</v>
      </c>
      <c r="J647" s="29" t="str">
        <f t="shared" si="92"/>
        <v>1</v>
      </c>
      <c r="K647" s="54">
        <v>1</v>
      </c>
      <c r="L647" s="69" t="str">
        <f t="shared" si="91"/>
        <v>0</v>
      </c>
      <c r="M647" s="74" t="str">
        <f t="shared" si="93"/>
        <v>1</v>
      </c>
      <c r="N647" s="29" t="str">
        <f t="shared" si="94"/>
        <v>0</v>
      </c>
      <c r="O647" s="61" t="str">
        <f t="shared" ca="1" si="97"/>
        <v>1</v>
      </c>
      <c r="P647" s="65" t="str">
        <f t="shared" si="98"/>
        <v>1</v>
      </c>
      <c r="Q647" s="46">
        <f t="shared" ca="1" si="95"/>
        <v>5</v>
      </c>
      <c r="R647" s="83" t="str">
        <f t="shared" ca="1" si="96"/>
        <v>ผ่าน</v>
      </c>
      <c r="S647" s="3" t="s">
        <v>28</v>
      </c>
    </row>
    <row r="648" spans="1:19" ht="24">
      <c r="A648" s="3">
        <v>647</v>
      </c>
      <c r="B648" s="105">
        <v>6411506220</v>
      </c>
      <c r="C648" s="4" t="s">
        <v>29</v>
      </c>
      <c r="D648" s="4" t="s">
        <v>1013</v>
      </c>
      <c r="E648" s="4" t="s">
        <v>1659</v>
      </c>
      <c r="F648" s="4" t="s">
        <v>1637</v>
      </c>
      <c r="G648" s="4" t="s">
        <v>1334</v>
      </c>
      <c r="H648" s="4" t="s">
        <v>1628</v>
      </c>
      <c r="I648" s="3">
        <v>3</v>
      </c>
      <c r="J648" s="29" t="str">
        <f t="shared" si="92"/>
        <v>1</v>
      </c>
      <c r="K648" s="54">
        <v>1</v>
      </c>
      <c r="L648" s="69" t="str">
        <f t="shared" si="91"/>
        <v>0</v>
      </c>
      <c r="M648" s="74" t="str">
        <f t="shared" si="93"/>
        <v>1</v>
      </c>
      <c r="N648" s="29" t="str">
        <f t="shared" si="94"/>
        <v>0</v>
      </c>
      <c r="O648" s="61" t="str">
        <f t="shared" ca="1" si="97"/>
        <v>1</v>
      </c>
      <c r="P648" s="65" t="str">
        <f t="shared" si="98"/>
        <v>1</v>
      </c>
      <c r="Q648" s="46">
        <f t="shared" ca="1" si="95"/>
        <v>5</v>
      </c>
      <c r="R648" s="83" t="str">
        <f t="shared" ca="1" si="96"/>
        <v>ผ่าน</v>
      </c>
      <c r="S648" s="3" t="s">
        <v>28</v>
      </c>
    </row>
    <row r="649" spans="1:19" ht="24">
      <c r="A649" s="3">
        <v>648</v>
      </c>
      <c r="B649" s="105">
        <v>6411506228</v>
      </c>
      <c r="C649" s="4" t="s">
        <v>29</v>
      </c>
      <c r="D649" s="4" t="s">
        <v>1660</v>
      </c>
      <c r="E649" s="4" t="s">
        <v>1661</v>
      </c>
      <c r="F649" s="4" t="s">
        <v>473</v>
      </c>
      <c r="G649" s="4" t="s">
        <v>1334</v>
      </c>
      <c r="H649" s="4" t="s">
        <v>1628</v>
      </c>
      <c r="I649" s="3">
        <v>3</v>
      </c>
      <c r="J649" s="29" t="str">
        <f t="shared" si="92"/>
        <v>1</v>
      </c>
      <c r="K649" s="54">
        <v>1</v>
      </c>
      <c r="L649" s="69" t="str">
        <f t="shared" si="91"/>
        <v>0</v>
      </c>
      <c r="M649" s="74" t="str">
        <f t="shared" si="93"/>
        <v>1</v>
      </c>
      <c r="N649" s="29" t="str">
        <f t="shared" si="94"/>
        <v>0</v>
      </c>
      <c r="O649" s="61" t="str">
        <f t="shared" ca="1" si="97"/>
        <v>1</v>
      </c>
      <c r="P649" s="65" t="str">
        <f t="shared" si="98"/>
        <v>0</v>
      </c>
      <c r="Q649" s="46">
        <f t="shared" ca="1" si="95"/>
        <v>4</v>
      </c>
      <c r="R649" s="83" t="str">
        <f t="shared" ca="1" si="96"/>
        <v>ผ่าน</v>
      </c>
      <c r="S649" s="3" t="s">
        <v>28</v>
      </c>
    </row>
    <row r="650" spans="1:19" ht="24">
      <c r="A650" s="3">
        <v>649</v>
      </c>
      <c r="B650" s="105">
        <v>6311506104</v>
      </c>
      <c r="C650" s="4" t="s">
        <v>29</v>
      </c>
      <c r="D650" s="4" t="s">
        <v>1662</v>
      </c>
      <c r="E650" s="4" t="s">
        <v>649</v>
      </c>
      <c r="F650" s="4" t="s">
        <v>1663</v>
      </c>
      <c r="G650" s="4" t="s">
        <v>1334</v>
      </c>
      <c r="H650" s="4" t="s">
        <v>1628</v>
      </c>
      <c r="I650" s="3">
        <v>4</v>
      </c>
      <c r="J650" s="29" t="str">
        <f t="shared" si="92"/>
        <v>0</v>
      </c>
      <c r="K650" s="54" t="str">
        <f t="shared" ref="K650:K668" si="99">IF(IFERROR(VLOOKUP(B650,DATA8,1,FALSE),),"1","0")</f>
        <v>0</v>
      </c>
      <c r="L650" s="69" t="str">
        <f t="shared" si="91"/>
        <v>0</v>
      </c>
      <c r="M650" s="74" t="str">
        <f t="shared" si="93"/>
        <v>1</v>
      </c>
      <c r="N650" s="29" t="str">
        <f t="shared" si="94"/>
        <v>0</v>
      </c>
      <c r="O650" s="61">
        <v>1</v>
      </c>
      <c r="P650" s="65">
        <v>1</v>
      </c>
      <c r="Q650" s="46">
        <f t="shared" si="95"/>
        <v>3</v>
      </c>
      <c r="R650" s="83" t="str">
        <f t="shared" si="96"/>
        <v>ผ่าน</v>
      </c>
      <c r="S650" s="3" t="s">
        <v>28</v>
      </c>
    </row>
    <row r="651" spans="1:19" ht="24">
      <c r="A651" s="3">
        <v>650</v>
      </c>
      <c r="B651" s="105">
        <v>6311506106</v>
      </c>
      <c r="C651" s="4" t="s">
        <v>29</v>
      </c>
      <c r="D651" s="4" t="s">
        <v>1634</v>
      </c>
      <c r="E651" s="4" t="s">
        <v>1664</v>
      </c>
      <c r="F651" s="4" t="s">
        <v>1665</v>
      </c>
      <c r="G651" s="4" t="s">
        <v>1334</v>
      </c>
      <c r="H651" s="4" t="s">
        <v>1628</v>
      </c>
      <c r="I651" s="3">
        <v>4</v>
      </c>
      <c r="J651" s="29" t="str">
        <f t="shared" si="92"/>
        <v>0</v>
      </c>
      <c r="K651" s="54" t="str">
        <f t="shared" si="99"/>
        <v>1</v>
      </c>
      <c r="L651" s="69" t="str">
        <f t="shared" si="91"/>
        <v>0</v>
      </c>
      <c r="M651" s="74" t="str">
        <f t="shared" si="93"/>
        <v>1</v>
      </c>
      <c r="N651" s="29" t="str">
        <f t="shared" si="94"/>
        <v>0</v>
      </c>
      <c r="O651" s="61">
        <v>1</v>
      </c>
      <c r="P651" s="65">
        <v>1</v>
      </c>
      <c r="Q651" s="46">
        <f t="shared" si="95"/>
        <v>4</v>
      </c>
      <c r="R651" s="83" t="str">
        <f t="shared" si="96"/>
        <v>ผ่าน</v>
      </c>
      <c r="S651" s="3" t="s">
        <v>28</v>
      </c>
    </row>
    <row r="652" spans="1:19" ht="24">
      <c r="A652" s="3">
        <v>651</v>
      </c>
      <c r="B652" s="105">
        <v>6311506109</v>
      </c>
      <c r="C652" s="4" t="s">
        <v>29</v>
      </c>
      <c r="D652" s="4" t="s">
        <v>1666</v>
      </c>
      <c r="E652" s="4" t="s">
        <v>1667</v>
      </c>
      <c r="F652" s="4" t="s">
        <v>1668</v>
      </c>
      <c r="G652" s="4" t="s">
        <v>1334</v>
      </c>
      <c r="H652" s="4" t="s">
        <v>1628</v>
      </c>
      <c r="I652" s="3">
        <v>4</v>
      </c>
      <c r="J652" s="29" t="str">
        <f t="shared" si="92"/>
        <v>0</v>
      </c>
      <c r="K652" s="54" t="str">
        <f t="shared" si="99"/>
        <v>1</v>
      </c>
      <c r="L652" s="69" t="str">
        <f t="shared" si="91"/>
        <v>0</v>
      </c>
      <c r="M652" s="74" t="str">
        <f t="shared" si="93"/>
        <v>1</v>
      </c>
      <c r="N652" s="29" t="str">
        <f t="shared" si="94"/>
        <v>0</v>
      </c>
      <c r="O652" s="61">
        <v>1</v>
      </c>
      <c r="P652" s="65">
        <v>1</v>
      </c>
      <c r="Q652" s="46">
        <f t="shared" si="95"/>
        <v>4</v>
      </c>
      <c r="R652" s="83" t="str">
        <f t="shared" si="96"/>
        <v>ผ่าน</v>
      </c>
      <c r="S652" s="3" t="s">
        <v>28</v>
      </c>
    </row>
    <row r="653" spans="1:19" ht="24">
      <c r="A653" s="3">
        <v>652</v>
      </c>
      <c r="B653" s="105">
        <v>6311506115</v>
      </c>
      <c r="C653" s="4" t="s">
        <v>29</v>
      </c>
      <c r="D653" s="4" t="s">
        <v>1669</v>
      </c>
      <c r="E653" s="4" t="s">
        <v>1670</v>
      </c>
      <c r="F653" s="4" t="s">
        <v>110</v>
      </c>
      <c r="G653" s="4" t="s">
        <v>1334</v>
      </c>
      <c r="H653" s="4" t="s">
        <v>1628</v>
      </c>
      <c r="I653" s="3">
        <v>4</v>
      </c>
      <c r="J653" s="29" t="str">
        <f t="shared" si="92"/>
        <v>0</v>
      </c>
      <c r="K653" s="54" t="str">
        <f t="shared" si="99"/>
        <v>1</v>
      </c>
      <c r="L653" s="69" t="str">
        <f t="shared" si="91"/>
        <v>0</v>
      </c>
      <c r="M653" s="74" t="str">
        <f t="shared" si="93"/>
        <v>1</v>
      </c>
      <c r="N653" s="29" t="str">
        <f t="shared" si="94"/>
        <v>0</v>
      </c>
      <c r="O653" s="61">
        <v>1</v>
      </c>
      <c r="P653" s="65">
        <v>1</v>
      </c>
      <c r="Q653" s="46">
        <f t="shared" si="95"/>
        <v>4</v>
      </c>
      <c r="R653" s="83" t="str">
        <f t="shared" si="96"/>
        <v>ผ่าน</v>
      </c>
      <c r="S653" s="3" t="s">
        <v>28</v>
      </c>
    </row>
    <row r="654" spans="1:19" ht="24">
      <c r="A654" s="3">
        <v>653</v>
      </c>
      <c r="B654" s="105">
        <v>6311506117</v>
      </c>
      <c r="C654" s="4" t="s">
        <v>29</v>
      </c>
      <c r="D654" s="4" t="s">
        <v>211</v>
      </c>
      <c r="E654" s="4" t="s">
        <v>1671</v>
      </c>
      <c r="F654" s="4" t="s">
        <v>898</v>
      </c>
      <c r="G654" s="4" t="s">
        <v>1334</v>
      </c>
      <c r="H654" s="4" t="s">
        <v>1628</v>
      </c>
      <c r="I654" s="3">
        <v>4</v>
      </c>
      <c r="J654" s="29" t="str">
        <f t="shared" si="92"/>
        <v>0</v>
      </c>
      <c r="K654" s="54" t="str">
        <f t="shared" si="99"/>
        <v>1</v>
      </c>
      <c r="L654" s="69" t="str">
        <f t="shared" si="91"/>
        <v>0</v>
      </c>
      <c r="M654" s="74" t="str">
        <f t="shared" si="93"/>
        <v>1</v>
      </c>
      <c r="N654" s="29" t="str">
        <f t="shared" si="94"/>
        <v>0</v>
      </c>
      <c r="O654" s="61">
        <v>1</v>
      </c>
      <c r="P654" s="65">
        <v>1</v>
      </c>
      <c r="Q654" s="46">
        <f t="shared" si="95"/>
        <v>4</v>
      </c>
      <c r="R654" s="83" t="str">
        <f t="shared" si="96"/>
        <v>ผ่าน</v>
      </c>
      <c r="S654" s="3" t="s">
        <v>28</v>
      </c>
    </row>
    <row r="655" spans="1:19" ht="24">
      <c r="A655" s="3">
        <v>654</v>
      </c>
      <c r="B655" s="105">
        <v>6311506120</v>
      </c>
      <c r="C655" s="4" t="s">
        <v>29</v>
      </c>
      <c r="D655" s="4" t="s">
        <v>1672</v>
      </c>
      <c r="E655" s="4" t="s">
        <v>1673</v>
      </c>
      <c r="F655" s="4" t="s">
        <v>143</v>
      </c>
      <c r="G655" s="4" t="s">
        <v>1334</v>
      </c>
      <c r="H655" s="4" t="s">
        <v>1628</v>
      </c>
      <c r="I655" s="3">
        <v>4</v>
      </c>
      <c r="J655" s="29" t="str">
        <f t="shared" si="92"/>
        <v>0</v>
      </c>
      <c r="K655" s="54" t="str">
        <f t="shared" si="99"/>
        <v>1</v>
      </c>
      <c r="L655" s="69" t="str">
        <f t="shared" si="91"/>
        <v>0</v>
      </c>
      <c r="M655" s="74" t="str">
        <f t="shared" si="93"/>
        <v>1</v>
      </c>
      <c r="N655" s="29" t="str">
        <f t="shared" si="94"/>
        <v>0</v>
      </c>
      <c r="O655" s="61">
        <v>1</v>
      </c>
      <c r="P655" s="65">
        <v>1</v>
      </c>
      <c r="Q655" s="46">
        <f t="shared" si="95"/>
        <v>4</v>
      </c>
      <c r="R655" s="83" t="str">
        <f t="shared" si="96"/>
        <v>ผ่าน</v>
      </c>
      <c r="S655" s="3" t="s">
        <v>28</v>
      </c>
    </row>
    <row r="656" spans="1:19" ht="24">
      <c r="A656" s="3">
        <v>655</v>
      </c>
      <c r="B656" s="105">
        <v>6311506121</v>
      </c>
      <c r="C656" s="4" t="s">
        <v>29</v>
      </c>
      <c r="D656" s="4" t="s">
        <v>1674</v>
      </c>
      <c r="E656" s="4" t="s">
        <v>1675</v>
      </c>
      <c r="F656" s="4" t="s">
        <v>1676</v>
      </c>
      <c r="G656" s="4" t="s">
        <v>1334</v>
      </c>
      <c r="H656" s="4" t="s">
        <v>1628</v>
      </c>
      <c r="I656" s="3">
        <v>4</v>
      </c>
      <c r="J656" s="29" t="str">
        <f t="shared" si="92"/>
        <v>0</v>
      </c>
      <c r="K656" s="54" t="str">
        <f t="shared" si="99"/>
        <v>1</v>
      </c>
      <c r="L656" s="69" t="str">
        <f t="shared" ref="L656:L668" si="100">IF(IFERROR(VLOOKUP(B656,DATA7,1,FALSE),),"1","0")</f>
        <v>0</v>
      </c>
      <c r="M656" s="74" t="str">
        <f t="shared" si="93"/>
        <v>1</v>
      </c>
      <c r="N656" s="29" t="str">
        <f t="shared" si="94"/>
        <v>0</v>
      </c>
      <c r="O656" s="61">
        <v>1</v>
      </c>
      <c r="P656" s="65">
        <v>1</v>
      </c>
      <c r="Q656" s="46">
        <f t="shared" si="95"/>
        <v>4</v>
      </c>
      <c r="R656" s="83" t="str">
        <f t="shared" si="96"/>
        <v>ผ่าน</v>
      </c>
      <c r="S656" s="3" t="s">
        <v>28</v>
      </c>
    </row>
    <row r="657" spans="1:19" ht="24">
      <c r="A657" s="3">
        <v>656</v>
      </c>
      <c r="B657" s="105">
        <v>6311506124</v>
      </c>
      <c r="C657" s="4" t="s">
        <v>29</v>
      </c>
      <c r="D657" s="4" t="s">
        <v>1677</v>
      </c>
      <c r="E657" s="4" t="s">
        <v>1678</v>
      </c>
      <c r="F657" s="4" t="s">
        <v>365</v>
      </c>
      <c r="G657" s="4" t="s">
        <v>1334</v>
      </c>
      <c r="H657" s="4" t="s">
        <v>1628</v>
      </c>
      <c r="I657" s="3">
        <v>4</v>
      </c>
      <c r="J657" s="29" t="str">
        <f t="shared" si="92"/>
        <v>0</v>
      </c>
      <c r="K657" s="54" t="str">
        <f t="shared" si="99"/>
        <v>1</v>
      </c>
      <c r="L657" s="69" t="str">
        <f t="shared" si="100"/>
        <v>0</v>
      </c>
      <c r="M657" s="74" t="str">
        <f t="shared" si="93"/>
        <v>1</v>
      </c>
      <c r="N657" s="29" t="str">
        <f t="shared" si="94"/>
        <v>0</v>
      </c>
      <c r="O657" s="61">
        <v>1</v>
      </c>
      <c r="P657" s="65">
        <v>1</v>
      </c>
      <c r="Q657" s="46">
        <f t="shared" si="95"/>
        <v>4</v>
      </c>
      <c r="R657" s="83" t="str">
        <f t="shared" si="96"/>
        <v>ผ่าน</v>
      </c>
      <c r="S657" s="3" t="s">
        <v>28</v>
      </c>
    </row>
    <row r="658" spans="1:19" ht="24">
      <c r="A658" s="3">
        <v>657</v>
      </c>
      <c r="B658" s="105">
        <v>6311506131</v>
      </c>
      <c r="C658" s="4" t="s">
        <v>22</v>
      </c>
      <c r="D658" s="4" t="s">
        <v>1679</v>
      </c>
      <c r="E658" s="4" t="s">
        <v>1680</v>
      </c>
      <c r="F658" s="4" t="s">
        <v>1681</v>
      </c>
      <c r="G658" s="4" t="s">
        <v>1334</v>
      </c>
      <c r="H658" s="4" t="s">
        <v>1628</v>
      </c>
      <c r="I658" s="3">
        <v>4</v>
      </c>
      <c r="J658" s="29" t="str">
        <f t="shared" si="92"/>
        <v>0</v>
      </c>
      <c r="K658" s="54" t="str">
        <f t="shared" si="99"/>
        <v>1</v>
      </c>
      <c r="L658" s="69" t="str">
        <f t="shared" si="100"/>
        <v>0</v>
      </c>
      <c r="M658" s="74" t="str">
        <f t="shared" si="93"/>
        <v>1</v>
      </c>
      <c r="N658" s="29" t="str">
        <f t="shared" si="94"/>
        <v>0</v>
      </c>
      <c r="O658" s="61">
        <v>1</v>
      </c>
      <c r="P658" s="65">
        <v>1</v>
      </c>
      <c r="Q658" s="46">
        <f t="shared" si="95"/>
        <v>4</v>
      </c>
      <c r="R658" s="83" t="str">
        <f t="shared" si="96"/>
        <v>ผ่าน</v>
      </c>
      <c r="S658" s="3" t="s">
        <v>28</v>
      </c>
    </row>
    <row r="659" spans="1:19" ht="24">
      <c r="A659" s="3">
        <v>658</v>
      </c>
      <c r="B659" s="105">
        <v>6311506202</v>
      </c>
      <c r="C659" s="4" t="s">
        <v>29</v>
      </c>
      <c r="D659" s="4" t="s">
        <v>1682</v>
      </c>
      <c r="E659" s="4" t="s">
        <v>1683</v>
      </c>
      <c r="F659" s="4" t="s">
        <v>1684</v>
      </c>
      <c r="G659" s="4" t="s">
        <v>1334</v>
      </c>
      <c r="H659" s="4" t="s">
        <v>1628</v>
      </c>
      <c r="I659" s="3">
        <v>4</v>
      </c>
      <c r="J659" s="29" t="str">
        <f t="shared" si="92"/>
        <v>0</v>
      </c>
      <c r="K659" s="54" t="str">
        <f t="shared" si="99"/>
        <v>1</v>
      </c>
      <c r="L659" s="69" t="str">
        <f t="shared" si="100"/>
        <v>0</v>
      </c>
      <c r="M659" s="74" t="str">
        <f t="shared" si="93"/>
        <v>1</v>
      </c>
      <c r="N659" s="29" t="str">
        <f t="shared" si="94"/>
        <v>0</v>
      </c>
      <c r="O659" s="61">
        <v>1</v>
      </c>
      <c r="P659" s="65">
        <v>1</v>
      </c>
      <c r="Q659" s="46">
        <f t="shared" si="95"/>
        <v>4</v>
      </c>
      <c r="R659" s="83" t="str">
        <f t="shared" si="96"/>
        <v>ผ่าน</v>
      </c>
      <c r="S659" s="3" t="s">
        <v>28</v>
      </c>
    </row>
    <row r="660" spans="1:19" ht="24">
      <c r="A660" s="3">
        <v>659</v>
      </c>
      <c r="B660" s="105">
        <v>6311506205</v>
      </c>
      <c r="C660" s="4" t="s">
        <v>29</v>
      </c>
      <c r="D660" s="4" t="s">
        <v>1685</v>
      </c>
      <c r="E660" s="4" t="s">
        <v>1686</v>
      </c>
      <c r="F660" s="4" t="s">
        <v>1687</v>
      </c>
      <c r="G660" s="4" t="s">
        <v>1334</v>
      </c>
      <c r="H660" s="4" t="s">
        <v>1628</v>
      </c>
      <c r="I660" s="3">
        <v>4</v>
      </c>
      <c r="J660" s="29" t="str">
        <f t="shared" si="92"/>
        <v>0</v>
      </c>
      <c r="K660" s="54" t="str">
        <f t="shared" si="99"/>
        <v>1</v>
      </c>
      <c r="L660" s="69" t="str">
        <f t="shared" si="100"/>
        <v>0</v>
      </c>
      <c r="M660" s="74" t="str">
        <f t="shared" si="93"/>
        <v>1</v>
      </c>
      <c r="N660" s="29" t="str">
        <f t="shared" si="94"/>
        <v>0</v>
      </c>
      <c r="O660" s="61">
        <v>1</v>
      </c>
      <c r="P660" s="65">
        <v>1</v>
      </c>
      <c r="Q660" s="46">
        <f t="shared" si="95"/>
        <v>4</v>
      </c>
      <c r="R660" s="83" t="str">
        <f t="shared" si="96"/>
        <v>ผ่าน</v>
      </c>
      <c r="S660" s="3" t="s">
        <v>28</v>
      </c>
    </row>
    <row r="661" spans="1:19" ht="24">
      <c r="A661" s="3">
        <v>660</v>
      </c>
      <c r="B661" s="105">
        <v>6311506208</v>
      </c>
      <c r="C661" s="4" t="s">
        <v>29</v>
      </c>
      <c r="D661" s="4" t="s">
        <v>1688</v>
      </c>
      <c r="E661" s="4" t="s">
        <v>1689</v>
      </c>
      <c r="F661" s="4" t="s">
        <v>1690</v>
      </c>
      <c r="G661" s="4" t="s">
        <v>1334</v>
      </c>
      <c r="H661" s="4" t="s">
        <v>1628</v>
      </c>
      <c r="I661" s="3">
        <v>4</v>
      </c>
      <c r="J661" s="29" t="str">
        <f t="shared" si="92"/>
        <v>0</v>
      </c>
      <c r="K661" s="54" t="str">
        <f t="shared" si="99"/>
        <v>1</v>
      </c>
      <c r="L661" s="69" t="str">
        <f t="shared" si="100"/>
        <v>0</v>
      </c>
      <c r="M661" s="74" t="str">
        <f t="shared" si="93"/>
        <v>1</v>
      </c>
      <c r="N661" s="29" t="str">
        <f t="shared" si="94"/>
        <v>0</v>
      </c>
      <c r="O661" s="61">
        <v>1</v>
      </c>
      <c r="P661" s="65">
        <v>1</v>
      </c>
      <c r="Q661" s="46">
        <f t="shared" si="95"/>
        <v>4</v>
      </c>
      <c r="R661" s="83" t="str">
        <f t="shared" si="96"/>
        <v>ผ่าน</v>
      </c>
      <c r="S661" s="3" t="s">
        <v>28</v>
      </c>
    </row>
    <row r="662" spans="1:19" ht="24">
      <c r="A662" s="3">
        <v>661</v>
      </c>
      <c r="B662" s="105">
        <v>6311506210</v>
      </c>
      <c r="C662" s="4" t="s">
        <v>29</v>
      </c>
      <c r="D662" s="4" t="s">
        <v>1691</v>
      </c>
      <c r="E662" s="4" t="s">
        <v>1692</v>
      </c>
      <c r="F662" s="4" t="s">
        <v>1693</v>
      </c>
      <c r="G662" s="4" t="s">
        <v>1334</v>
      </c>
      <c r="H662" s="4" t="s">
        <v>1628</v>
      </c>
      <c r="I662" s="3">
        <v>4</v>
      </c>
      <c r="J662" s="29" t="str">
        <f t="shared" si="92"/>
        <v>0</v>
      </c>
      <c r="K662" s="54" t="str">
        <f t="shared" si="99"/>
        <v>1</v>
      </c>
      <c r="L662" s="69" t="str">
        <f t="shared" si="100"/>
        <v>0</v>
      </c>
      <c r="M662" s="74" t="str">
        <f t="shared" si="93"/>
        <v>1</v>
      </c>
      <c r="N662" s="29" t="str">
        <f t="shared" si="94"/>
        <v>0</v>
      </c>
      <c r="O662" s="61">
        <v>1</v>
      </c>
      <c r="P662" s="65">
        <v>1</v>
      </c>
      <c r="Q662" s="46">
        <f t="shared" si="95"/>
        <v>4</v>
      </c>
      <c r="R662" s="83" t="str">
        <f t="shared" si="96"/>
        <v>ผ่าน</v>
      </c>
      <c r="S662" s="3" t="s">
        <v>28</v>
      </c>
    </row>
    <row r="663" spans="1:19" ht="24">
      <c r="A663" s="3">
        <v>662</v>
      </c>
      <c r="B663" s="105">
        <v>6311506218</v>
      </c>
      <c r="C663" s="4" t="s">
        <v>29</v>
      </c>
      <c r="D663" s="4" t="s">
        <v>536</v>
      </c>
      <c r="E663" s="4" t="s">
        <v>1694</v>
      </c>
      <c r="F663" s="4" t="s">
        <v>86</v>
      </c>
      <c r="G663" s="4" t="s">
        <v>1334</v>
      </c>
      <c r="H663" s="4" t="s">
        <v>1628</v>
      </c>
      <c r="I663" s="3">
        <v>4</v>
      </c>
      <c r="J663" s="29" t="str">
        <f t="shared" si="92"/>
        <v>0</v>
      </c>
      <c r="K663" s="54" t="str">
        <f t="shared" si="99"/>
        <v>1</v>
      </c>
      <c r="L663" s="69" t="str">
        <f t="shared" si="100"/>
        <v>0</v>
      </c>
      <c r="M663" s="74" t="str">
        <f t="shared" si="93"/>
        <v>1</v>
      </c>
      <c r="N663" s="29" t="str">
        <f t="shared" si="94"/>
        <v>0</v>
      </c>
      <c r="O663" s="61">
        <v>1</v>
      </c>
      <c r="P663" s="65">
        <v>1</v>
      </c>
      <c r="Q663" s="46">
        <f t="shared" si="95"/>
        <v>4</v>
      </c>
      <c r="R663" s="83" t="str">
        <f t="shared" si="96"/>
        <v>ผ่าน</v>
      </c>
      <c r="S663" s="3" t="s">
        <v>28</v>
      </c>
    </row>
    <row r="664" spans="1:19" ht="24">
      <c r="A664" s="3">
        <v>663</v>
      </c>
      <c r="B664" s="105">
        <v>6311506220</v>
      </c>
      <c r="C664" s="4" t="s">
        <v>29</v>
      </c>
      <c r="D664" s="4" t="s">
        <v>1695</v>
      </c>
      <c r="E664" s="4" t="s">
        <v>1696</v>
      </c>
      <c r="F664" s="4" t="s">
        <v>1697</v>
      </c>
      <c r="G664" s="4" t="s">
        <v>1334</v>
      </c>
      <c r="H664" s="4" t="s">
        <v>1628</v>
      </c>
      <c r="I664" s="3">
        <v>4</v>
      </c>
      <c r="J664" s="29" t="str">
        <f t="shared" si="92"/>
        <v>0</v>
      </c>
      <c r="K664" s="54" t="str">
        <f t="shared" si="99"/>
        <v>1</v>
      </c>
      <c r="L664" s="69" t="str">
        <f t="shared" si="100"/>
        <v>0</v>
      </c>
      <c r="M664" s="74" t="str">
        <f t="shared" si="93"/>
        <v>1</v>
      </c>
      <c r="N664" s="29" t="str">
        <f t="shared" si="94"/>
        <v>0</v>
      </c>
      <c r="O664" s="61">
        <v>1</v>
      </c>
      <c r="P664" s="65">
        <v>1</v>
      </c>
      <c r="Q664" s="46">
        <f t="shared" si="95"/>
        <v>4</v>
      </c>
      <c r="R664" s="83" t="str">
        <f t="shared" si="96"/>
        <v>ผ่าน</v>
      </c>
      <c r="S664" s="3" t="s">
        <v>28</v>
      </c>
    </row>
    <row r="665" spans="1:19" ht="24">
      <c r="A665" s="3">
        <v>664</v>
      </c>
      <c r="B665" s="105">
        <v>6311506221</v>
      </c>
      <c r="C665" s="4" t="s">
        <v>29</v>
      </c>
      <c r="D665" s="4" t="s">
        <v>1698</v>
      </c>
      <c r="E665" s="4" t="s">
        <v>1699</v>
      </c>
      <c r="F665" s="4" t="s">
        <v>1700</v>
      </c>
      <c r="G665" s="4" t="s">
        <v>1334</v>
      </c>
      <c r="H665" s="4" t="s">
        <v>1628</v>
      </c>
      <c r="I665" s="3">
        <v>4</v>
      </c>
      <c r="J665" s="29" t="str">
        <f t="shared" si="92"/>
        <v>0</v>
      </c>
      <c r="K665" s="54" t="str">
        <f t="shared" si="99"/>
        <v>0</v>
      </c>
      <c r="L665" s="69" t="str">
        <f t="shared" si="100"/>
        <v>0</v>
      </c>
      <c r="M665" s="74" t="str">
        <f t="shared" si="93"/>
        <v>1</v>
      </c>
      <c r="N665" s="29" t="str">
        <f t="shared" si="94"/>
        <v>0</v>
      </c>
      <c r="O665" s="61">
        <v>1</v>
      </c>
      <c r="P665" s="65">
        <v>1</v>
      </c>
      <c r="Q665" s="46">
        <f t="shared" si="95"/>
        <v>3</v>
      </c>
      <c r="R665" s="83" t="str">
        <f t="shared" si="96"/>
        <v>ผ่าน</v>
      </c>
      <c r="S665" s="3" t="s">
        <v>28</v>
      </c>
    </row>
    <row r="666" spans="1:19" ht="24">
      <c r="A666" s="3">
        <v>665</v>
      </c>
      <c r="B666" s="105">
        <v>6410059110</v>
      </c>
      <c r="C666" s="4" t="s">
        <v>29</v>
      </c>
      <c r="D666" s="4" t="s">
        <v>1701</v>
      </c>
      <c r="E666" s="4" t="s">
        <v>1702</v>
      </c>
      <c r="F666" s="4" t="s">
        <v>489</v>
      </c>
      <c r="G666" s="4" t="s">
        <v>1334</v>
      </c>
      <c r="H666" s="4" t="s">
        <v>1703</v>
      </c>
      <c r="I666" s="3">
        <v>3</v>
      </c>
      <c r="J666" s="29" t="str">
        <f t="shared" si="92"/>
        <v>0</v>
      </c>
      <c r="K666" s="54" t="str">
        <f t="shared" si="99"/>
        <v>0</v>
      </c>
      <c r="L666" s="69" t="str">
        <f t="shared" si="100"/>
        <v>1</v>
      </c>
      <c r="M666" s="74" t="str">
        <f t="shared" si="93"/>
        <v>0</v>
      </c>
      <c r="N666" s="29" t="str">
        <f t="shared" si="94"/>
        <v>1</v>
      </c>
      <c r="O666" s="61" t="str">
        <f t="shared" ca="1" si="97"/>
        <v>1</v>
      </c>
      <c r="P666" s="65" t="str">
        <f t="shared" si="98"/>
        <v>1</v>
      </c>
      <c r="Q666" s="46">
        <f t="shared" ca="1" si="95"/>
        <v>4</v>
      </c>
      <c r="R666" s="83" t="str">
        <f t="shared" ca="1" si="96"/>
        <v>ผ่าน</v>
      </c>
      <c r="S666" s="3" t="s">
        <v>28</v>
      </c>
    </row>
    <row r="667" spans="1:19" ht="24">
      <c r="A667" s="3">
        <v>666</v>
      </c>
      <c r="B667" s="105">
        <v>6410059113</v>
      </c>
      <c r="C667" s="4" t="s">
        <v>29</v>
      </c>
      <c r="D667" s="4" t="s">
        <v>1704</v>
      </c>
      <c r="E667" s="4" t="s">
        <v>1705</v>
      </c>
      <c r="F667" s="4" t="s">
        <v>1290</v>
      </c>
      <c r="G667" s="4" t="s">
        <v>1334</v>
      </c>
      <c r="H667" s="4" t="s">
        <v>1703</v>
      </c>
      <c r="I667" s="3">
        <v>3</v>
      </c>
      <c r="J667" s="29" t="str">
        <f t="shared" si="92"/>
        <v>0</v>
      </c>
      <c r="K667" s="54" t="str">
        <f t="shared" si="99"/>
        <v>1</v>
      </c>
      <c r="L667" s="69" t="str">
        <f t="shared" si="100"/>
        <v>0</v>
      </c>
      <c r="M667" s="74" t="str">
        <f t="shared" si="93"/>
        <v>1</v>
      </c>
      <c r="N667" s="29" t="str">
        <f t="shared" si="94"/>
        <v>0</v>
      </c>
      <c r="O667" s="61" t="str">
        <f t="shared" ca="1" si="97"/>
        <v>1</v>
      </c>
      <c r="P667" s="65" t="str">
        <f t="shared" si="98"/>
        <v>1</v>
      </c>
      <c r="Q667" s="46">
        <f t="shared" ca="1" si="95"/>
        <v>4</v>
      </c>
      <c r="R667" s="83" t="str">
        <f t="shared" ca="1" si="96"/>
        <v>ผ่าน</v>
      </c>
      <c r="S667" s="3" t="s">
        <v>28</v>
      </c>
    </row>
    <row r="668" spans="1:19" ht="24">
      <c r="A668" s="3">
        <v>667</v>
      </c>
      <c r="B668" s="105">
        <v>6312269134</v>
      </c>
      <c r="C668" s="4" t="s">
        <v>22</v>
      </c>
      <c r="D668" s="4" t="s">
        <v>1706</v>
      </c>
      <c r="E668" s="4" t="s">
        <v>1707</v>
      </c>
      <c r="F668" s="4" t="s">
        <v>1708</v>
      </c>
      <c r="G668" s="4" t="s">
        <v>1334</v>
      </c>
      <c r="H668" s="4" t="s">
        <v>1709</v>
      </c>
      <c r="I668" s="3">
        <v>4</v>
      </c>
      <c r="J668" s="29" t="str">
        <f t="shared" si="92"/>
        <v>1</v>
      </c>
      <c r="K668" s="54" t="str">
        <f t="shared" si="99"/>
        <v>1</v>
      </c>
      <c r="L668" s="69" t="str">
        <f t="shared" si="100"/>
        <v>0</v>
      </c>
      <c r="M668" s="74" t="str">
        <f t="shared" si="93"/>
        <v>1</v>
      </c>
      <c r="N668" s="29" t="str">
        <f t="shared" si="94"/>
        <v>0</v>
      </c>
      <c r="O668" s="61">
        <v>1</v>
      </c>
      <c r="P668" s="65">
        <v>1</v>
      </c>
      <c r="Q668" s="46">
        <f t="shared" si="95"/>
        <v>5</v>
      </c>
      <c r="R668" s="83" t="str">
        <f t="shared" si="96"/>
        <v>ผ่าน</v>
      </c>
      <c r="S668" s="4" t="s">
        <v>1710</v>
      </c>
    </row>
  </sheetData>
  <conditionalFormatting sqref="P1">
    <cfRule type="containsText" dxfId="61" priority="60" operator="containsText" text="0">
      <formula>NOT(ISERROR(SEARCH("0",P1)))</formula>
    </cfRule>
    <cfRule type="containsText" dxfId="60" priority="61" operator="containsText" text="1">
      <formula>NOT(ISERROR(SEARCH("1",P1)))</formula>
    </cfRule>
    <cfRule type="cellIs" dxfId="59" priority="62" operator="equal">
      <formula>1</formula>
    </cfRule>
  </conditionalFormatting>
  <conditionalFormatting sqref="J1">
    <cfRule type="containsText" dxfId="58" priority="58" operator="containsText" text="0">
      <formula>NOT(ISERROR(SEARCH("0",J1)))</formula>
    </cfRule>
    <cfRule type="containsText" dxfId="57" priority="59" operator="containsText" text="1">
      <formula>NOT(ISERROR(SEARCH("1",J1)))</formula>
    </cfRule>
  </conditionalFormatting>
  <conditionalFormatting sqref="K1">
    <cfRule type="containsText" dxfId="56" priority="56" operator="containsText" text="1">
      <formula>NOT(ISERROR(SEARCH("1",K1)))</formula>
    </cfRule>
    <cfRule type="containsText" dxfId="55" priority="57" operator="containsText" text="0">
      <formula>NOT(ISERROR(SEARCH("0",K1)))</formula>
    </cfRule>
  </conditionalFormatting>
  <conditionalFormatting sqref="L1">
    <cfRule type="containsText" dxfId="54" priority="54" operator="containsText" text="1">
      <formula>NOT(ISERROR(SEARCH("1",L1)))</formula>
    </cfRule>
    <cfRule type="containsText" dxfId="53" priority="55" operator="containsText" text="0">
      <formula>NOT(ISERROR(SEARCH("0",L1)))</formula>
    </cfRule>
  </conditionalFormatting>
  <conditionalFormatting sqref="M1">
    <cfRule type="containsText" dxfId="52" priority="52" operator="containsText" text="0">
      <formula>NOT(ISERROR(SEARCH("0",M1)))</formula>
    </cfRule>
    <cfRule type="containsText" dxfId="51" priority="53" operator="containsText" text="1">
      <formula>NOT(ISERROR(SEARCH("1",M1)))</formula>
    </cfRule>
  </conditionalFormatting>
  <conditionalFormatting sqref="N1">
    <cfRule type="containsText" dxfId="50" priority="50" operator="containsText" text="1">
      <formula>NOT(ISERROR(SEARCH("1",N1)))</formula>
    </cfRule>
    <cfRule type="containsText" dxfId="49" priority="51" operator="containsText" text="0">
      <formula>NOT(ISERROR(SEARCH("0",N1)))</formula>
    </cfRule>
  </conditionalFormatting>
  <conditionalFormatting sqref="O1">
    <cfRule type="containsText" dxfId="48" priority="48" operator="containsText" text="1">
      <formula>NOT(ISERROR(SEARCH("1",O1)))</formula>
    </cfRule>
    <cfRule type="containsText" dxfId="47" priority="49" operator="containsText" text="0">
      <formula>NOT(ISERROR(SEARCH("0",O1)))</formula>
    </cfRule>
  </conditionalFormatting>
  <conditionalFormatting sqref="R1">
    <cfRule type="containsText" dxfId="46" priority="47" operator="containsText" text="ไม่ผ่าน">
      <formula>NOT(ISERROR(SEARCH("ไม่ผ่าน",R1)))</formula>
    </cfRule>
  </conditionalFormatting>
  <conditionalFormatting sqref="B2:B335">
    <cfRule type="expression" dxfId="45" priority="45">
      <formula>COUNTIF(DATA1,DATA2)=0</formula>
    </cfRule>
    <cfRule type="expression" dxfId="44" priority="46">
      <formula>COUNTIF(DATA1,B2)=0</formula>
    </cfRule>
  </conditionalFormatting>
  <conditionalFormatting sqref="J2:J3">
    <cfRule type="expression" dxfId="43" priority="43">
      <formula>DATAX&lt;1</formula>
    </cfRule>
  </conditionalFormatting>
  <conditionalFormatting sqref="K2">
    <cfRule type="cellIs" dxfId="42" priority="38" operator="equal">
      <formula>"ERROR"</formula>
    </cfRule>
    <cfRule type="expression" dxfId="41" priority="39">
      <formula>IF(IFERROR(VLOOKUP(B2,DATA8,1,FALSE),),"1","0")</formula>
    </cfRule>
    <cfRule type="expression" dxfId="40" priority="40">
      <formula>_xludf.IFERROR</formula>
    </cfRule>
  </conditionalFormatting>
  <conditionalFormatting sqref="K2:K16">
    <cfRule type="cellIs" dxfId="39" priority="41" operator="lessThan">
      <formula>1</formula>
    </cfRule>
  </conditionalFormatting>
  <conditionalFormatting sqref="K2:K335">
    <cfRule type="cellIs" dxfId="38" priority="37" operator="equal">
      <formula>0</formula>
    </cfRule>
  </conditionalFormatting>
  <conditionalFormatting sqref="P2:P335">
    <cfRule type="containsText" dxfId="37" priority="34" operator="containsText" text="0">
      <formula>NOT(ISERROR(SEARCH("0",P2)))</formula>
    </cfRule>
    <cfRule type="containsText" dxfId="36" priority="35" operator="containsText" text="1">
      <formula>NOT(ISERROR(SEARCH("1",P2)))</formula>
    </cfRule>
    <cfRule type="cellIs" dxfId="35" priority="36" operator="equal">
      <formula>1</formula>
    </cfRule>
  </conditionalFormatting>
  <conditionalFormatting sqref="J2:J335">
    <cfRule type="containsText" dxfId="34" priority="32" operator="containsText" text="0">
      <formula>NOT(ISERROR(SEARCH("0",J2)))</formula>
    </cfRule>
    <cfRule type="containsText" dxfId="33" priority="33" operator="containsText" text="1">
      <formula>NOT(ISERROR(SEARCH("1",J2)))</formula>
    </cfRule>
  </conditionalFormatting>
  <conditionalFormatting sqref="K2:K335">
    <cfRule type="containsText" dxfId="32" priority="30" operator="containsText" text="1">
      <formula>NOT(ISERROR(SEARCH("1",K2)))</formula>
    </cfRule>
    <cfRule type="containsText" dxfId="31" priority="31" operator="containsText" text="0">
      <formula>NOT(ISERROR(SEARCH("0",K2)))</formula>
    </cfRule>
  </conditionalFormatting>
  <conditionalFormatting sqref="L2:L335">
    <cfRule type="containsText" dxfId="30" priority="28" operator="containsText" text="1">
      <formula>NOT(ISERROR(SEARCH("1",L2)))</formula>
    </cfRule>
    <cfRule type="containsText" dxfId="29" priority="29" operator="containsText" text="0">
      <formula>NOT(ISERROR(SEARCH("0",L2)))</formula>
    </cfRule>
  </conditionalFormatting>
  <conditionalFormatting sqref="M2:M335">
    <cfRule type="containsText" dxfId="28" priority="26" operator="containsText" text="0">
      <formula>NOT(ISERROR(SEARCH("0",M2)))</formula>
    </cfRule>
    <cfRule type="containsText" dxfId="27" priority="27" operator="containsText" text="1">
      <formula>NOT(ISERROR(SEARCH("1",M2)))</formula>
    </cfRule>
  </conditionalFormatting>
  <conditionalFormatting sqref="N2:N335">
    <cfRule type="containsText" dxfId="26" priority="24" operator="containsText" text="1">
      <formula>NOT(ISERROR(SEARCH("1",N2)))</formula>
    </cfRule>
    <cfRule type="containsText" dxfId="25" priority="25" operator="containsText" text="0">
      <formula>NOT(ISERROR(SEARCH("0",N2)))</formula>
    </cfRule>
  </conditionalFormatting>
  <conditionalFormatting sqref="O2:O335">
    <cfRule type="containsText" dxfId="24" priority="22" operator="containsText" text="1">
      <formula>NOT(ISERROR(SEARCH("1",O2)))</formula>
    </cfRule>
    <cfRule type="containsText" dxfId="23" priority="23" operator="containsText" text="0">
      <formula>NOT(ISERROR(SEARCH("0",O2)))</formula>
    </cfRule>
  </conditionalFormatting>
  <conditionalFormatting sqref="R2:R335">
    <cfRule type="containsText" dxfId="22" priority="21" operator="containsText" text="ไม่ผ่าน">
      <formula>NOT(ISERROR(SEARCH("ไม่ผ่าน",R2)))</formula>
    </cfRule>
  </conditionalFormatting>
  <conditionalFormatting sqref="B336:B668">
    <cfRule type="expression" dxfId="21" priority="19">
      <formula>COUNTIF(DATA1,DATA2)=0</formula>
    </cfRule>
    <cfRule type="expression" dxfId="20" priority="20">
      <formula>COUNTIF(DATA1,B336)=0</formula>
    </cfRule>
  </conditionalFormatting>
  <conditionalFormatting sqref="K336:K668">
    <cfRule type="cellIs" dxfId="19" priority="17" operator="equal">
      <formula>0</formula>
    </cfRule>
  </conditionalFormatting>
  <conditionalFormatting sqref="P336:P668">
    <cfRule type="containsText" dxfId="18" priority="14" operator="containsText" text="0">
      <formula>NOT(ISERROR(SEARCH("0",P336)))</formula>
    </cfRule>
    <cfRule type="containsText" dxfId="17" priority="15" operator="containsText" text="1">
      <formula>NOT(ISERROR(SEARCH("1",P336)))</formula>
    </cfRule>
    <cfRule type="cellIs" dxfId="16" priority="16" operator="equal">
      <formula>1</formula>
    </cfRule>
  </conditionalFormatting>
  <conditionalFormatting sqref="J336:J668">
    <cfRule type="containsText" dxfId="15" priority="12" operator="containsText" text="0">
      <formula>NOT(ISERROR(SEARCH("0",J336)))</formula>
    </cfRule>
    <cfRule type="containsText" dxfId="14" priority="13" operator="containsText" text="1">
      <formula>NOT(ISERROR(SEARCH("1",J336)))</formula>
    </cfRule>
  </conditionalFormatting>
  <conditionalFormatting sqref="K336:K668">
    <cfRule type="containsText" dxfId="13" priority="10" operator="containsText" text="1">
      <formula>NOT(ISERROR(SEARCH("1",K336)))</formula>
    </cfRule>
    <cfRule type="containsText" dxfId="12" priority="11" operator="containsText" text="0">
      <formula>NOT(ISERROR(SEARCH("0",K336)))</formula>
    </cfRule>
  </conditionalFormatting>
  <conditionalFormatting sqref="L336:L668">
    <cfRule type="containsText" dxfId="11" priority="8" operator="containsText" text="1">
      <formula>NOT(ISERROR(SEARCH("1",L336)))</formula>
    </cfRule>
    <cfRule type="containsText" dxfId="10" priority="9" operator="containsText" text="0">
      <formula>NOT(ISERROR(SEARCH("0",L336)))</formula>
    </cfRule>
  </conditionalFormatting>
  <conditionalFormatting sqref="M336:M668">
    <cfRule type="containsText" dxfId="9" priority="6" operator="containsText" text="0">
      <formula>NOT(ISERROR(SEARCH("0",M336)))</formula>
    </cfRule>
    <cfRule type="containsText" dxfId="8" priority="7" operator="containsText" text="1">
      <formula>NOT(ISERROR(SEARCH("1",M336)))</formula>
    </cfRule>
  </conditionalFormatting>
  <conditionalFormatting sqref="N336:N668">
    <cfRule type="containsText" dxfId="7" priority="4" operator="containsText" text="1">
      <formula>NOT(ISERROR(SEARCH("1",N336)))</formula>
    </cfRule>
    <cfRule type="containsText" dxfId="6" priority="5" operator="containsText" text="0">
      <formula>NOT(ISERROR(SEARCH("0",N336)))</formula>
    </cfRule>
  </conditionalFormatting>
  <conditionalFormatting sqref="O336:O668">
    <cfRule type="containsText" dxfId="5" priority="2" operator="containsText" text="1">
      <formula>NOT(ISERROR(SEARCH("1",O336)))</formula>
    </cfRule>
    <cfRule type="containsText" dxfId="4" priority="3" operator="containsText" text="0">
      <formula>NOT(ISERROR(SEARCH("0",O336)))</formula>
    </cfRule>
  </conditionalFormatting>
  <conditionalFormatting sqref="R336:R668">
    <cfRule type="containsText" dxfId="3" priority="1" operator="containsText" text="ไม่ผ่าน">
      <formula>NOT(ISERROR(SEARCH("ไม่ผ่าน",R336)))</formula>
    </cfRule>
  </conditionalFormatting>
  <conditionalFormatting sqref="J2:J668">
    <cfRule type="expression" dxfId="2" priority="63">
      <formula>$J2&lt;1</formula>
    </cfRule>
  </conditionalFormatting>
  <conditionalFormatting sqref="N5">
    <cfRule type="expression" dxfId="1" priority="64">
      <formula>AND($J2&lt;1)</formula>
    </cfRule>
  </conditionalFormatting>
  <dataValidations count="1">
    <dataValidation type="list" allowBlank="1" showInputMessage="1" showErrorMessage="1" sqref="B2:B668" xr:uid="{39D5978D-6F41-4746-BD3E-36475773CC89}">
      <formula1>DATA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4BC45-9519-4C47-B0DD-620159DF3313}">
  <dimension ref="A1:N380"/>
  <sheetViews>
    <sheetView zoomScaleNormal="100" workbookViewId="0">
      <selection activeCell="B6" sqref="B6"/>
    </sheetView>
    <sheetView topLeftCell="E139" workbookViewId="1">
      <selection activeCell="E139" sqref="E139"/>
    </sheetView>
  </sheetViews>
  <sheetFormatPr defaultColWidth="12.5703125" defaultRowHeight="15"/>
  <cols>
    <col min="1" max="1" width="15.85546875" customWidth="1"/>
    <col min="2" max="2" width="18.85546875" customWidth="1"/>
    <col min="3" max="3" width="9.5703125" customWidth="1"/>
    <col min="4" max="4" width="15.85546875" customWidth="1"/>
    <col min="5" max="5" width="21.42578125" customWidth="1"/>
    <col min="6" max="6" width="4.140625" customWidth="1"/>
    <col min="7" max="8" width="18.85546875" customWidth="1"/>
    <col min="9" max="9" width="10.42578125" customWidth="1"/>
    <col min="10" max="10" width="18.85546875" customWidth="1"/>
    <col min="11" max="11" width="14.85546875" customWidth="1"/>
    <col min="12" max="12" width="52.7109375" customWidth="1"/>
    <col min="13" max="20" width="18.85546875" customWidth="1"/>
  </cols>
  <sheetData>
    <row r="1" spans="1:14">
      <c r="A1" s="32" t="s">
        <v>1716</v>
      </c>
      <c r="B1" s="32" t="s">
        <v>1717</v>
      </c>
      <c r="C1" s="32" t="s">
        <v>1718</v>
      </c>
      <c r="D1" s="32" t="s">
        <v>1719</v>
      </c>
      <c r="E1" s="32" t="s">
        <v>1715</v>
      </c>
      <c r="F1" s="32" t="s">
        <v>7</v>
      </c>
      <c r="G1" s="32" t="s">
        <v>5</v>
      </c>
      <c r="H1" s="32" t="s">
        <v>6</v>
      </c>
      <c r="I1" s="32" t="s">
        <v>1720</v>
      </c>
      <c r="J1" s="32" t="s">
        <v>1721</v>
      </c>
      <c r="K1" s="32" t="s">
        <v>1722</v>
      </c>
      <c r="L1" s="32" t="s">
        <v>10</v>
      </c>
      <c r="M1" s="32" t="s">
        <v>1723</v>
      </c>
      <c r="N1" s="32" t="s">
        <v>1724</v>
      </c>
    </row>
    <row r="2" spans="1:14">
      <c r="A2" s="33">
        <v>45133.579371851854</v>
      </c>
      <c r="B2" s="32" t="s">
        <v>1725</v>
      </c>
      <c r="C2" s="32" t="s">
        <v>29</v>
      </c>
      <c r="D2" s="32" t="s">
        <v>1726</v>
      </c>
      <c r="E2" s="32">
        <v>6612314132</v>
      </c>
      <c r="F2" s="32" t="s">
        <v>1727</v>
      </c>
      <c r="G2" s="32" t="s">
        <v>1728</v>
      </c>
      <c r="H2" s="32" t="s">
        <v>1729</v>
      </c>
      <c r="I2" s="34" t="s">
        <v>1730</v>
      </c>
      <c r="J2" s="32" t="s">
        <v>1731</v>
      </c>
      <c r="M2" s="35" t="s">
        <v>1732</v>
      </c>
      <c r="N2" s="32"/>
    </row>
    <row r="3" spans="1:14">
      <c r="A3" s="33">
        <v>45133.579412094907</v>
      </c>
      <c r="B3" s="32" t="s">
        <v>1733</v>
      </c>
      <c r="C3" s="32" t="s">
        <v>29</v>
      </c>
      <c r="D3" s="32" t="s">
        <v>1734</v>
      </c>
      <c r="E3" s="32">
        <v>6410488124</v>
      </c>
      <c r="F3" s="32" t="s">
        <v>1735</v>
      </c>
      <c r="G3" s="32" t="s">
        <v>1736</v>
      </c>
      <c r="H3" s="32" t="s">
        <v>1737</v>
      </c>
      <c r="I3" s="34" t="s">
        <v>1738</v>
      </c>
      <c r="J3" s="32" t="s">
        <v>1739</v>
      </c>
      <c r="M3" s="35" t="s">
        <v>1740</v>
      </c>
      <c r="N3" s="32"/>
    </row>
    <row r="4" spans="1:14">
      <c r="A4" s="33">
        <v>45133.57944425926</v>
      </c>
      <c r="B4" s="32" t="s">
        <v>1741</v>
      </c>
      <c r="C4" s="32" t="s">
        <v>29</v>
      </c>
      <c r="D4" s="32" t="s">
        <v>1742</v>
      </c>
      <c r="E4" s="32">
        <v>6512258120</v>
      </c>
      <c r="F4" s="32" t="s">
        <v>1743</v>
      </c>
      <c r="G4" s="32" t="s">
        <v>1736</v>
      </c>
      <c r="H4" s="32" t="s">
        <v>1744</v>
      </c>
      <c r="I4" s="34" t="s">
        <v>1745</v>
      </c>
      <c r="J4" s="32" t="s">
        <v>1746</v>
      </c>
      <c r="M4" s="35" t="s">
        <v>1747</v>
      </c>
      <c r="N4" s="32"/>
    </row>
    <row r="5" spans="1:14">
      <c r="A5" s="33">
        <v>45133.579497847226</v>
      </c>
      <c r="B5" s="32" t="s">
        <v>1748</v>
      </c>
      <c r="C5" s="32" t="s">
        <v>22</v>
      </c>
      <c r="D5" s="32" t="s">
        <v>1749</v>
      </c>
      <c r="E5" s="32">
        <v>6410488201</v>
      </c>
      <c r="F5" s="32" t="s">
        <v>1735</v>
      </c>
      <c r="G5" s="32" t="s">
        <v>1736</v>
      </c>
      <c r="H5" s="32" t="s">
        <v>1750</v>
      </c>
      <c r="I5" s="34" t="s">
        <v>1751</v>
      </c>
      <c r="J5" s="32" t="s">
        <v>1752</v>
      </c>
      <c r="M5" s="35" t="s">
        <v>1753</v>
      </c>
      <c r="N5" s="32"/>
    </row>
    <row r="6" spans="1:14">
      <c r="A6" s="33">
        <v>45133.579563877312</v>
      </c>
      <c r="B6" s="32" t="s">
        <v>1754</v>
      </c>
      <c r="C6" s="32" t="s">
        <v>29</v>
      </c>
      <c r="D6" s="32" t="s">
        <v>1755</v>
      </c>
      <c r="E6" s="32">
        <v>6610403305</v>
      </c>
      <c r="F6" s="32" t="s">
        <v>1727</v>
      </c>
      <c r="G6" s="32" t="s">
        <v>1728</v>
      </c>
      <c r="H6" s="32" t="s">
        <v>1756</v>
      </c>
      <c r="I6" s="34" t="s">
        <v>1757</v>
      </c>
      <c r="J6" s="32" t="s">
        <v>1758</v>
      </c>
      <c r="L6" s="32" t="s">
        <v>1759</v>
      </c>
      <c r="M6" s="35" t="s">
        <v>1760</v>
      </c>
      <c r="N6" s="32"/>
    </row>
    <row r="7" spans="1:14">
      <c r="A7" s="33">
        <v>45133.579640729164</v>
      </c>
      <c r="B7" s="32" t="s">
        <v>1761</v>
      </c>
      <c r="C7" s="32" t="s">
        <v>29</v>
      </c>
      <c r="D7" s="32" t="s">
        <v>1762</v>
      </c>
      <c r="E7" s="32">
        <v>6510059103</v>
      </c>
      <c r="F7" s="32" t="s">
        <v>1743</v>
      </c>
      <c r="G7" s="32" t="s">
        <v>1763</v>
      </c>
      <c r="H7" s="32" t="s">
        <v>1335</v>
      </c>
      <c r="I7" s="34" t="s">
        <v>1764</v>
      </c>
      <c r="J7" s="32" t="s">
        <v>1765</v>
      </c>
      <c r="L7" s="32" t="s">
        <v>1766</v>
      </c>
      <c r="M7" s="35" t="s">
        <v>1767</v>
      </c>
      <c r="N7" s="32"/>
    </row>
    <row r="8" spans="1:14">
      <c r="A8" s="33">
        <v>45133.579733206017</v>
      </c>
      <c r="B8" s="32" t="s">
        <v>1768</v>
      </c>
      <c r="C8" s="32" t="s">
        <v>22</v>
      </c>
      <c r="D8" s="32" t="s">
        <v>1769</v>
      </c>
      <c r="E8" s="32">
        <v>6310226205</v>
      </c>
      <c r="F8" s="32" t="s">
        <v>1770</v>
      </c>
      <c r="G8" s="32" t="s">
        <v>1771</v>
      </c>
      <c r="H8" s="32" t="s">
        <v>1772</v>
      </c>
      <c r="I8" s="34" t="s">
        <v>1773</v>
      </c>
      <c r="J8" s="32" t="s">
        <v>1774</v>
      </c>
      <c r="M8" s="35" t="s">
        <v>1775</v>
      </c>
      <c r="N8" s="32"/>
    </row>
    <row r="9" spans="1:14">
      <c r="A9" s="33">
        <v>45133.579736458334</v>
      </c>
      <c r="B9" s="32" t="s">
        <v>1776</v>
      </c>
      <c r="C9" s="32" t="s">
        <v>22</v>
      </c>
      <c r="D9" s="32" t="s">
        <v>1777</v>
      </c>
      <c r="E9" s="32">
        <v>6412269125</v>
      </c>
      <c r="F9" s="32" t="s">
        <v>1735</v>
      </c>
      <c r="G9" s="32" t="s">
        <v>1763</v>
      </c>
      <c r="H9" s="32" t="s">
        <v>1778</v>
      </c>
      <c r="I9" s="34" t="s">
        <v>1779</v>
      </c>
      <c r="J9" s="32" t="s">
        <v>1780</v>
      </c>
      <c r="M9" s="35" t="s">
        <v>1781</v>
      </c>
      <c r="N9" s="32"/>
    </row>
    <row r="10" spans="1:14">
      <c r="A10" s="33">
        <v>45133.579751840276</v>
      </c>
      <c r="B10" s="32" t="s">
        <v>1782</v>
      </c>
      <c r="C10" s="32" t="s">
        <v>22</v>
      </c>
      <c r="D10" s="32" t="s">
        <v>1783</v>
      </c>
      <c r="E10" s="32">
        <v>6510079211</v>
      </c>
      <c r="F10" s="32" t="s">
        <v>1743</v>
      </c>
      <c r="G10" s="32" t="s">
        <v>1736</v>
      </c>
      <c r="H10" s="32" t="s">
        <v>1784</v>
      </c>
      <c r="I10" s="34" t="s">
        <v>1785</v>
      </c>
      <c r="J10" s="32" t="s">
        <v>1786</v>
      </c>
      <c r="L10" s="32" t="s">
        <v>1766</v>
      </c>
      <c r="M10" s="35" t="s">
        <v>1787</v>
      </c>
      <c r="N10" s="32"/>
    </row>
    <row r="11" spans="1:14">
      <c r="A11" s="33">
        <v>45133.579764849535</v>
      </c>
      <c r="B11" s="32" t="s">
        <v>1788</v>
      </c>
      <c r="C11" s="32" t="s">
        <v>29</v>
      </c>
      <c r="D11" s="32" t="s">
        <v>1789</v>
      </c>
      <c r="E11" s="32">
        <v>6410073125</v>
      </c>
      <c r="F11" s="32" t="s">
        <v>1735</v>
      </c>
      <c r="G11" s="32" t="s">
        <v>1763</v>
      </c>
      <c r="H11" s="32" t="s">
        <v>1790</v>
      </c>
      <c r="I11" s="34" t="s">
        <v>1791</v>
      </c>
      <c r="J11" s="32" t="s">
        <v>1792</v>
      </c>
      <c r="L11" s="32" t="s">
        <v>1793</v>
      </c>
      <c r="M11" s="35" t="s">
        <v>1794</v>
      </c>
      <c r="N11" s="32"/>
    </row>
    <row r="12" spans="1:14">
      <c r="A12" s="33">
        <v>45133.579786354167</v>
      </c>
      <c r="B12" s="32" t="s">
        <v>1795</v>
      </c>
      <c r="C12" s="32" t="s">
        <v>22</v>
      </c>
      <c r="D12" s="32" t="s">
        <v>1796</v>
      </c>
      <c r="E12" s="32">
        <v>6610392110</v>
      </c>
      <c r="F12" s="32" t="s">
        <v>1727</v>
      </c>
      <c r="G12" s="32" t="s">
        <v>1736</v>
      </c>
      <c r="H12" s="32" t="s">
        <v>1797</v>
      </c>
      <c r="I12" s="34" t="s">
        <v>1798</v>
      </c>
      <c r="J12" s="32" t="s">
        <v>1799</v>
      </c>
      <c r="M12" s="35" t="s">
        <v>1800</v>
      </c>
      <c r="N12" s="32"/>
    </row>
    <row r="13" spans="1:14">
      <c r="A13" s="33">
        <v>45133.579794756944</v>
      </c>
      <c r="B13" s="32" t="s">
        <v>1801</v>
      </c>
      <c r="C13" s="32" t="s">
        <v>22</v>
      </c>
      <c r="D13" s="32" t="s">
        <v>1802</v>
      </c>
      <c r="E13" s="32">
        <v>6510488204</v>
      </c>
      <c r="F13" s="32" t="s">
        <v>1743</v>
      </c>
      <c r="G13" s="32" t="s">
        <v>1736</v>
      </c>
      <c r="H13" s="32" t="s">
        <v>1737</v>
      </c>
      <c r="I13" s="34" t="s">
        <v>1803</v>
      </c>
      <c r="J13" s="32" t="s">
        <v>1804</v>
      </c>
      <c r="M13" s="35" t="s">
        <v>1805</v>
      </c>
      <c r="N13" s="32"/>
    </row>
    <row r="14" spans="1:14">
      <c r="A14" s="33">
        <v>45133.579829571754</v>
      </c>
      <c r="B14" s="32" t="s">
        <v>1806</v>
      </c>
      <c r="C14" s="32" t="s">
        <v>22</v>
      </c>
      <c r="D14" s="32" t="s">
        <v>1807</v>
      </c>
      <c r="E14" s="32">
        <v>6410488208</v>
      </c>
      <c r="F14" s="32" t="s">
        <v>1735</v>
      </c>
      <c r="G14" s="32" t="s">
        <v>1736</v>
      </c>
      <c r="H14" s="32" t="s">
        <v>1737</v>
      </c>
      <c r="I14" s="34" t="s">
        <v>1808</v>
      </c>
      <c r="J14" s="32" t="s">
        <v>1809</v>
      </c>
      <c r="L14" s="32" t="s">
        <v>1810</v>
      </c>
      <c r="M14" s="35" t="s">
        <v>1811</v>
      </c>
      <c r="N14" s="32"/>
    </row>
    <row r="15" spans="1:14">
      <c r="A15" s="33">
        <v>45133.579871273148</v>
      </c>
      <c r="B15" s="32" t="s">
        <v>1812</v>
      </c>
      <c r="C15" s="32" t="s">
        <v>22</v>
      </c>
      <c r="D15" s="32" t="s">
        <v>1813</v>
      </c>
      <c r="E15" s="32">
        <v>6412269112</v>
      </c>
      <c r="F15" s="32" t="s">
        <v>1735</v>
      </c>
      <c r="G15" s="32" t="s">
        <v>1763</v>
      </c>
      <c r="H15" s="32" t="s">
        <v>1778</v>
      </c>
      <c r="I15" s="34" t="s">
        <v>1814</v>
      </c>
      <c r="J15" s="32" t="s">
        <v>1815</v>
      </c>
      <c r="L15" s="32" t="s">
        <v>1816</v>
      </c>
      <c r="M15" s="35" t="s">
        <v>1817</v>
      </c>
      <c r="N15" s="32"/>
    </row>
    <row r="16" spans="1:14">
      <c r="A16" s="33">
        <v>45133.579881469908</v>
      </c>
      <c r="B16" s="32" t="s">
        <v>1818</v>
      </c>
      <c r="C16" s="32" t="s">
        <v>29</v>
      </c>
      <c r="D16" s="32" t="s">
        <v>1819</v>
      </c>
      <c r="E16" s="32">
        <v>6510633122</v>
      </c>
      <c r="F16" s="32" t="s">
        <v>1743</v>
      </c>
      <c r="G16" s="32" t="s">
        <v>1736</v>
      </c>
      <c r="H16" s="32" t="s">
        <v>1820</v>
      </c>
      <c r="I16" s="34" t="s">
        <v>1821</v>
      </c>
      <c r="J16" s="32" t="s">
        <v>1822</v>
      </c>
      <c r="M16" s="35" t="s">
        <v>1823</v>
      </c>
      <c r="N16" s="32"/>
    </row>
    <row r="17" spans="1:14">
      <c r="A17" s="33">
        <v>45133.579901226854</v>
      </c>
      <c r="B17" s="32" t="s">
        <v>1824</v>
      </c>
      <c r="C17" s="32" t="s">
        <v>22</v>
      </c>
      <c r="D17" s="32" t="s">
        <v>1825</v>
      </c>
      <c r="E17" s="32">
        <v>6410048139</v>
      </c>
      <c r="F17" s="32" t="s">
        <v>1735</v>
      </c>
      <c r="G17" s="32" t="s">
        <v>1763</v>
      </c>
      <c r="H17" s="32" t="s">
        <v>1826</v>
      </c>
      <c r="I17" s="34" t="s">
        <v>1827</v>
      </c>
      <c r="J17" s="32" t="s">
        <v>1828</v>
      </c>
      <c r="M17" s="35" t="s">
        <v>1829</v>
      </c>
      <c r="N17" s="32"/>
    </row>
    <row r="18" spans="1:14">
      <c r="A18" s="33">
        <v>45133.579918356481</v>
      </c>
      <c r="B18" s="32" t="s">
        <v>1830</v>
      </c>
      <c r="C18" s="32" t="s">
        <v>29</v>
      </c>
      <c r="D18" s="32" t="s">
        <v>1831</v>
      </c>
      <c r="E18" s="32">
        <v>6410048158</v>
      </c>
      <c r="F18" s="32" t="s">
        <v>1735</v>
      </c>
      <c r="G18" s="32" t="s">
        <v>1763</v>
      </c>
      <c r="H18" s="32" t="s">
        <v>1832</v>
      </c>
      <c r="I18" s="34" t="s">
        <v>1833</v>
      </c>
      <c r="J18" s="32" t="s">
        <v>1834</v>
      </c>
      <c r="L18" s="32" t="s">
        <v>1759</v>
      </c>
      <c r="M18" s="35" t="s">
        <v>1835</v>
      </c>
      <c r="N18" s="32"/>
    </row>
    <row r="19" spans="1:14">
      <c r="A19" s="33">
        <v>45133.579973518514</v>
      </c>
      <c r="B19" s="32" t="s">
        <v>1836</v>
      </c>
      <c r="C19" s="32" t="s">
        <v>29</v>
      </c>
      <c r="D19" s="32" t="s">
        <v>1837</v>
      </c>
      <c r="E19" s="32">
        <v>6310403107</v>
      </c>
      <c r="F19" s="32" t="s">
        <v>1770</v>
      </c>
      <c r="G19" s="32" t="s">
        <v>1728</v>
      </c>
      <c r="H19" s="32" t="s">
        <v>1838</v>
      </c>
      <c r="I19" s="34" t="s">
        <v>1839</v>
      </c>
      <c r="J19" s="32" t="s">
        <v>1840</v>
      </c>
      <c r="L19" s="32" t="s">
        <v>1841</v>
      </c>
      <c r="M19" s="35" t="s">
        <v>1842</v>
      </c>
      <c r="N19" s="32"/>
    </row>
    <row r="20" spans="1:14">
      <c r="A20" s="33">
        <v>45133.579981898147</v>
      </c>
      <c r="B20" s="32" t="s">
        <v>1843</v>
      </c>
      <c r="C20" s="32" t="s">
        <v>29</v>
      </c>
      <c r="D20" s="32" t="s">
        <v>1844</v>
      </c>
      <c r="E20" s="32">
        <v>6412743122</v>
      </c>
      <c r="F20" s="32" t="s">
        <v>1735</v>
      </c>
      <c r="G20" s="32" t="s">
        <v>1845</v>
      </c>
      <c r="H20" s="32" t="s">
        <v>1846</v>
      </c>
      <c r="I20" s="34" t="s">
        <v>1847</v>
      </c>
      <c r="J20" s="32" t="s">
        <v>1848</v>
      </c>
      <c r="L20" s="32" t="s">
        <v>1816</v>
      </c>
      <c r="M20" s="35" t="s">
        <v>1849</v>
      </c>
      <c r="N20" s="32"/>
    </row>
    <row r="21" spans="1:14">
      <c r="A21" s="33">
        <v>45133.579982164352</v>
      </c>
      <c r="B21" s="32" t="s">
        <v>1850</v>
      </c>
      <c r="C21" s="32" t="s">
        <v>22</v>
      </c>
      <c r="D21" s="32" t="s">
        <v>1851</v>
      </c>
      <c r="E21" s="32">
        <v>6315964103</v>
      </c>
      <c r="F21" s="32" t="s">
        <v>1770</v>
      </c>
      <c r="G21" s="32" t="s">
        <v>1763</v>
      </c>
      <c r="H21" s="32" t="s">
        <v>1852</v>
      </c>
      <c r="I21" s="34" t="s">
        <v>1853</v>
      </c>
      <c r="J21" s="32" t="s">
        <v>1851</v>
      </c>
      <c r="L21" s="32" t="s">
        <v>1854</v>
      </c>
      <c r="M21" s="35" t="s">
        <v>1855</v>
      </c>
      <c r="N21" s="32"/>
    </row>
    <row r="22" spans="1:14">
      <c r="A22" s="33">
        <v>45133.580002708331</v>
      </c>
      <c r="B22" s="32" t="s">
        <v>1856</v>
      </c>
      <c r="C22" s="32" t="s">
        <v>22</v>
      </c>
      <c r="D22" s="32" t="s">
        <v>1857</v>
      </c>
      <c r="E22" s="32">
        <v>6410488203</v>
      </c>
      <c r="F22" s="32" t="s">
        <v>1735</v>
      </c>
      <c r="G22" s="32" t="s">
        <v>1736</v>
      </c>
      <c r="H22" s="32" t="s">
        <v>1737</v>
      </c>
      <c r="I22" s="34" t="s">
        <v>1858</v>
      </c>
      <c r="J22" s="32" t="s">
        <v>1859</v>
      </c>
      <c r="L22" s="32" t="s">
        <v>1759</v>
      </c>
      <c r="M22" s="35" t="s">
        <v>1860</v>
      </c>
      <c r="N22" s="32"/>
    </row>
    <row r="23" spans="1:14">
      <c r="A23" s="33">
        <v>45133.580057615742</v>
      </c>
      <c r="B23" s="32" t="s">
        <v>1861</v>
      </c>
      <c r="C23" s="32" t="s">
        <v>29</v>
      </c>
      <c r="D23" s="32" t="s">
        <v>1862</v>
      </c>
      <c r="E23" s="32">
        <v>6310633114</v>
      </c>
      <c r="F23" s="32" t="s">
        <v>1770</v>
      </c>
      <c r="G23" s="32" t="s">
        <v>1736</v>
      </c>
      <c r="H23" s="32" t="s">
        <v>1820</v>
      </c>
      <c r="I23" s="34" t="s">
        <v>1863</v>
      </c>
      <c r="J23" s="32" t="s">
        <v>1864</v>
      </c>
      <c r="L23" s="32" t="s">
        <v>1865</v>
      </c>
      <c r="M23" s="35" t="s">
        <v>1866</v>
      </c>
      <c r="N23" s="32"/>
    </row>
    <row r="24" spans="1:14">
      <c r="A24" s="33">
        <v>45133.580074768513</v>
      </c>
      <c r="B24" s="32" t="s">
        <v>1867</v>
      </c>
      <c r="C24" s="32" t="s">
        <v>29</v>
      </c>
      <c r="D24" s="32" t="s">
        <v>1868</v>
      </c>
      <c r="E24" s="32">
        <v>6312798207</v>
      </c>
      <c r="F24" s="32" t="s">
        <v>1770</v>
      </c>
      <c r="G24" s="32" t="s">
        <v>1845</v>
      </c>
      <c r="H24" s="32" t="s">
        <v>1869</v>
      </c>
      <c r="I24" s="34" t="s">
        <v>1870</v>
      </c>
      <c r="J24" s="32" t="s">
        <v>1871</v>
      </c>
      <c r="L24" s="32" t="s">
        <v>1816</v>
      </c>
      <c r="M24" s="35" t="s">
        <v>1872</v>
      </c>
      <c r="N24" s="32"/>
    </row>
    <row r="25" spans="1:14">
      <c r="A25" s="33">
        <v>45133.580081134263</v>
      </c>
      <c r="B25" s="32" t="s">
        <v>1873</v>
      </c>
      <c r="C25" s="32" t="s">
        <v>29</v>
      </c>
      <c r="D25" s="32" t="s">
        <v>1874</v>
      </c>
      <c r="E25" s="32">
        <v>6510106114</v>
      </c>
      <c r="F25" s="32" t="s">
        <v>1743</v>
      </c>
      <c r="G25" s="32" t="s">
        <v>1845</v>
      </c>
      <c r="H25" s="32" t="s">
        <v>1000</v>
      </c>
      <c r="I25" s="34" t="s">
        <v>1875</v>
      </c>
      <c r="J25" s="32" t="s">
        <v>1876</v>
      </c>
      <c r="M25" s="35" t="s">
        <v>1877</v>
      </c>
      <c r="N25" s="32"/>
    </row>
    <row r="26" spans="1:14">
      <c r="A26" s="33">
        <v>45133.580084155095</v>
      </c>
      <c r="B26" s="32" t="s">
        <v>1878</v>
      </c>
      <c r="C26" s="32" t="s">
        <v>22</v>
      </c>
      <c r="D26" s="32" t="s">
        <v>1879</v>
      </c>
      <c r="E26" s="32">
        <v>6410488205</v>
      </c>
      <c r="F26" s="32" t="s">
        <v>1735</v>
      </c>
      <c r="G26" s="32" t="s">
        <v>1736</v>
      </c>
      <c r="H26" s="32" t="s">
        <v>1737</v>
      </c>
      <c r="I26" s="34" t="s">
        <v>1880</v>
      </c>
      <c r="J26" s="32" t="s">
        <v>1881</v>
      </c>
      <c r="L26" s="32" t="s">
        <v>1882</v>
      </c>
      <c r="M26" s="35" t="s">
        <v>1883</v>
      </c>
      <c r="N26" s="32"/>
    </row>
    <row r="27" spans="1:14">
      <c r="A27" s="33">
        <v>45133.580085497684</v>
      </c>
      <c r="B27" s="32" t="s">
        <v>1884</v>
      </c>
      <c r="C27" s="32" t="s">
        <v>22</v>
      </c>
      <c r="D27" s="32" t="s">
        <v>1885</v>
      </c>
      <c r="E27" s="32">
        <v>6410488104</v>
      </c>
      <c r="F27" s="32" t="s">
        <v>1735</v>
      </c>
      <c r="G27" s="32" t="s">
        <v>1736</v>
      </c>
      <c r="H27" s="32" t="s">
        <v>1737</v>
      </c>
      <c r="I27" s="34" t="s">
        <v>1886</v>
      </c>
      <c r="J27" s="32" t="s">
        <v>1887</v>
      </c>
      <c r="L27" s="32" t="s">
        <v>1816</v>
      </c>
      <c r="M27" s="35" t="s">
        <v>1888</v>
      </c>
      <c r="N27" s="32"/>
    </row>
    <row r="28" spans="1:14">
      <c r="A28" s="33">
        <v>45133.580086932867</v>
      </c>
      <c r="B28" s="32" t="s">
        <v>1889</v>
      </c>
      <c r="C28" s="32" t="s">
        <v>22</v>
      </c>
      <c r="D28" s="32" t="s">
        <v>1890</v>
      </c>
      <c r="E28" s="32">
        <v>6610488202</v>
      </c>
      <c r="F28" s="32" t="s">
        <v>1727</v>
      </c>
      <c r="G28" s="32" t="s">
        <v>1736</v>
      </c>
      <c r="H28" s="32" t="s">
        <v>1737</v>
      </c>
      <c r="I28" s="34" t="s">
        <v>1891</v>
      </c>
      <c r="J28" s="32" t="s">
        <v>1892</v>
      </c>
      <c r="M28" s="35" t="s">
        <v>1893</v>
      </c>
      <c r="N28" s="32"/>
    </row>
    <row r="29" spans="1:14">
      <c r="A29" s="33">
        <v>45133.58013224537</v>
      </c>
      <c r="B29" s="32" t="s">
        <v>1894</v>
      </c>
      <c r="C29" s="32" t="s">
        <v>29</v>
      </c>
      <c r="D29" s="32" t="s">
        <v>1895</v>
      </c>
      <c r="E29" s="32">
        <v>6310633133</v>
      </c>
      <c r="F29" s="32" t="s">
        <v>1770</v>
      </c>
      <c r="G29" s="32" t="s">
        <v>1736</v>
      </c>
      <c r="H29" s="32" t="s">
        <v>1820</v>
      </c>
      <c r="I29" s="34" t="s">
        <v>1896</v>
      </c>
      <c r="J29" s="32" t="s">
        <v>1897</v>
      </c>
      <c r="M29" s="35" t="s">
        <v>1898</v>
      </c>
      <c r="N29" s="32"/>
    </row>
    <row r="30" spans="1:14">
      <c r="A30" s="33">
        <v>45133.580155810181</v>
      </c>
      <c r="B30" s="32" t="s">
        <v>1899</v>
      </c>
      <c r="C30" s="32" t="s">
        <v>22</v>
      </c>
      <c r="D30" s="32" t="s">
        <v>1900</v>
      </c>
      <c r="E30" s="32">
        <v>6410048122</v>
      </c>
      <c r="F30" s="32" t="s">
        <v>1735</v>
      </c>
      <c r="G30" s="32" t="s">
        <v>1763</v>
      </c>
      <c r="H30" s="32" t="s">
        <v>1832</v>
      </c>
      <c r="I30" s="34" t="s">
        <v>1901</v>
      </c>
      <c r="J30" s="32" t="s">
        <v>1902</v>
      </c>
      <c r="M30" s="35" t="s">
        <v>1903</v>
      </c>
      <c r="N30" s="32"/>
    </row>
    <row r="31" spans="1:14">
      <c r="A31" s="33">
        <v>45133.580174583331</v>
      </c>
      <c r="B31" s="32" t="s">
        <v>1904</v>
      </c>
      <c r="C31" s="32" t="s">
        <v>29</v>
      </c>
      <c r="D31" s="32" t="s">
        <v>1905</v>
      </c>
      <c r="E31" s="32">
        <v>6410048157</v>
      </c>
      <c r="F31" s="32" t="s">
        <v>1735</v>
      </c>
      <c r="G31" s="32" t="s">
        <v>1763</v>
      </c>
      <c r="H31" s="32" t="s">
        <v>1832</v>
      </c>
      <c r="I31" s="34" t="s">
        <v>1906</v>
      </c>
      <c r="J31" s="32" t="s">
        <v>1907</v>
      </c>
      <c r="L31" s="32" t="s">
        <v>1816</v>
      </c>
      <c r="M31" s="35" t="s">
        <v>1908</v>
      </c>
      <c r="N31" s="32"/>
    </row>
    <row r="32" spans="1:14">
      <c r="A32" s="33">
        <v>45133.580195879629</v>
      </c>
      <c r="B32" s="32" t="s">
        <v>1909</v>
      </c>
      <c r="C32" s="32" t="s">
        <v>22</v>
      </c>
      <c r="D32" s="32" t="s">
        <v>1910</v>
      </c>
      <c r="E32" s="32">
        <v>6612732118</v>
      </c>
      <c r="F32" s="32" t="s">
        <v>1727</v>
      </c>
      <c r="G32" s="32" t="s">
        <v>1763</v>
      </c>
      <c r="H32" s="32" t="s">
        <v>1911</v>
      </c>
      <c r="I32" s="34" t="s">
        <v>1912</v>
      </c>
      <c r="J32" s="32" t="s">
        <v>1913</v>
      </c>
      <c r="M32" s="35" t="s">
        <v>1914</v>
      </c>
      <c r="N32" s="32"/>
    </row>
    <row r="33" spans="1:14">
      <c r="A33" s="33">
        <v>45133.58020585648</v>
      </c>
      <c r="B33" s="32" t="s">
        <v>1915</v>
      </c>
      <c r="C33" s="32" t="s">
        <v>22</v>
      </c>
      <c r="D33" s="32" t="s">
        <v>1916</v>
      </c>
      <c r="E33" s="32">
        <v>6310633201</v>
      </c>
      <c r="F33" s="32" t="s">
        <v>1770</v>
      </c>
      <c r="G33" s="32" t="s">
        <v>1736</v>
      </c>
      <c r="H33" s="32" t="s">
        <v>1820</v>
      </c>
      <c r="I33" s="34" t="s">
        <v>1917</v>
      </c>
      <c r="J33" s="32" t="s">
        <v>1918</v>
      </c>
      <c r="L33" s="32" t="s">
        <v>1919</v>
      </c>
      <c r="M33" s="35" t="s">
        <v>1920</v>
      </c>
      <c r="N33" s="32"/>
    </row>
    <row r="34" spans="1:14">
      <c r="A34" s="33">
        <v>45133.580219976851</v>
      </c>
      <c r="B34" s="32" t="s">
        <v>1921</v>
      </c>
      <c r="C34" s="32" t="s">
        <v>29</v>
      </c>
      <c r="D34" s="32" t="s">
        <v>1922</v>
      </c>
      <c r="E34" s="32">
        <v>6410106130</v>
      </c>
      <c r="F34" s="32" t="s">
        <v>1735</v>
      </c>
      <c r="G34" s="32" t="s">
        <v>1845</v>
      </c>
      <c r="H34" s="32" t="s">
        <v>1000</v>
      </c>
      <c r="I34" s="34" t="s">
        <v>1923</v>
      </c>
      <c r="J34" s="32" t="s">
        <v>1922</v>
      </c>
      <c r="L34" s="32" t="s">
        <v>1816</v>
      </c>
      <c r="M34" s="35" t="s">
        <v>1924</v>
      </c>
      <c r="N34" s="32"/>
    </row>
    <row r="35" spans="1:14">
      <c r="A35" s="33">
        <v>45133.580222488425</v>
      </c>
      <c r="B35" s="32" t="s">
        <v>1925</v>
      </c>
      <c r="C35" s="32" t="s">
        <v>29</v>
      </c>
      <c r="D35" s="32" t="s">
        <v>1926</v>
      </c>
      <c r="E35" s="32">
        <v>6310633113</v>
      </c>
      <c r="F35" s="32" t="s">
        <v>1770</v>
      </c>
      <c r="G35" s="32" t="s">
        <v>1736</v>
      </c>
      <c r="H35" s="32" t="s">
        <v>1927</v>
      </c>
      <c r="I35" s="34" t="s">
        <v>1928</v>
      </c>
      <c r="J35" s="32" t="s">
        <v>1929</v>
      </c>
      <c r="M35" s="35" t="s">
        <v>1930</v>
      </c>
      <c r="N35" s="32"/>
    </row>
    <row r="36" spans="1:14">
      <c r="A36" s="33">
        <v>45133.580228715276</v>
      </c>
      <c r="B36" s="32" t="s">
        <v>1931</v>
      </c>
      <c r="C36" s="32" t="s">
        <v>29</v>
      </c>
      <c r="D36" s="32" t="s">
        <v>1932</v>
      </c>
      <c r="E36" s="32">
        <v>661048822</v>
      </c>
      <c r="F36" s="32" t="s">
        <v>1727</v>
      </c>
      <c r="G36" s="32" t="s">
        <v>1736</v>
      </c>
      <c r="H36" s="32" t="s">
        <v>1737</v>
      </c>
      <c r="I36" s="34" t="s">
        <v>1933</v>
      </c>
      <c r="J36" s="32" t="s">
        <v>1934</v>
      </c>
      <c r="L36" s="32" t="s">
        <v>1759</v>
      </c>
      <c r="M36" s="35" t="s">
        <v>1935</v>
      </c>
      <c r="N36" s="32"/>
    </row>
    <row r="37" spans="1:14">
      <c r="A37" s="33">
        <v>45133.580265543977</v>
      </c>
      <c r="B37" s="32" t="s">
        <v>1936</v>
      </c>
      <c r="C37" s="32" t="s">
        <v>29</v>
      </c>
      <c r="D37" s="32" t="s">
        <v>1937</v>
      </c>
      <c r="E37" s="32">
        <v>6610403326</v>
      </c>
      <c r="F37" s="32" t="s">
        <v>1727</v>
      </c>
      <c r="G37" s="32" t="s">
        <v>1728</v>
      </c>
      <c r="H37" s="32" t="s">
        <v>1756</v>
      </c>
      <c r="I37" s="34" t="s">
        <v>1938</v>
      </c>
      <c r="J37" s="32" t="s">
        <v>1939</v>
      </c>
      <c r="L37" s="32" t="s">
        <v>1816</v>
      </c>
      <c r="M37" s="35" t="s">
        <v>1940</v>
      </c>
      <c r="N37" s="32"/>
    </row>
    <row r="38" spans="1:14">
      <c r="A38" s="33">
        <v>45133.580279791669</v>
      </c>
      <c r="B38" s="32" t="s">
        <v>1941</v>
      </c>
      <c r="C38" s="32" t="s">
        <v>29</v>
      </c>
      <c r="D38" s="32" t="s">
        <v>1942</v>
      </c>
      <c r="E38" s="32">
        <v>6412743228</v>
      </c>
      <c r="F38" s="32" t="s">
        <v>1735</v>
      </c>
      <c r="G38" s="32" t="s">
        <v>1845</v>
      </c>
      <c r="H38" s="32" t="s">
        <v>1846</v>
      </c>
      <c r="I38" s="34" t="s">
        <v>1943</v>
      </c>
      <c r="J38" s="32" t="s">
        <v>1944</v>
      </c>
      <c r="M38" s="35" t="s">
        <v>1945</v>
      </c>
      <c r="N38" s="32"/>
    </row>
    <row r="39" spans="1:14">
      <c r="A39" s="33">
        <v>45133.580314780091</v>
      </c>
      <c r="B39" s="32" t="s">
        <v>1946</v>
      </c>
      <c r="C39" s="32" t="s">
        <v>29</v>
      </c>
      <c r="D39" s="32" t="s">
        <v>1947</v>
      </c>
      <c r="E39" s="32">
        <v>6412236126</v>
      </c>
      <c r="F39" s="32" t="s">
        <v>1735</v>
      </c>
      <c r="G39" s="32" t="s">
        <v>1736</v>
      </c>
      <c r="H39" s="32" t="s">
        <v>1948</v>
      </c>
      <c r="I39" s="34" t="s">
        <v>1949</v>
      </c>
      <c r="J39" s="32" t="s">
        <v>1950</v>
      </c>
      <c r="L39" s="32" t="s">
        <v>1816</v>
      </c>
      <c r="M39" s="35" t="s">
        <v>1951</v>
      </c>
      <c r="N39" s="32"/>
    </row>
    <row r="40" spans="1:14">
      <c r="A40" s="33">
        <v>45133.580326041665</v>
      </c>
      <c r="B40" s="32" t="s">
        <v>1952</v>
      </c>
      <c r="C40" s="32" t="s">
        <v>22</v>
      </c>
      <c r="D40" s="32" t="s">
        <v>1953</v>
      </c>
      <c r="E40" s="32">
        <v>6410488105</v>
      </c>
      <c r="F40" s="32" t="s">
        <v>1735</v>
      </c>
      <c r="G40" s="32" t="s">
        <v>1736</v>
      </c>
      <c r="H40" s="32" t="s">
        <v>1737</v>
      </c>
      <c r="I40" s="34" t="s">
        <v>1954</v>
      </c>
      <c r="J40" s="32" t="s">
        <v>1955</v>
      </c>
      <c r="M40" s="35" t="s">
        <v>1956</v>
      </c>
      <c r="N40" s="32"/>
    </row>
    <row r="41" spans="1:14">
      <c r="A41" s="33">
        <v>45133.580347384261</v>
      </c>
      <c r="B41" s="32" t="s">
        <v>1957</v>
      </c>
      <c r="C41" s="32" t="s">
        <v>29</v>
      </c>
      <c r="D41" s="32" t="s">
        <v>1958</v>
      </c>
      <c r="E41" s="32">
        <v>6612314111</v>
      </c>
      <c r="F41" s="32" t="s">
        <v>1727</v>
      </c>
      <c r="G41" s="32" t="s">
        <v>1728</v>
      </c>
      <c r="H41" s="32" t="s">
        <v>1729</v>
      </c>
      <c r="I41" s="34" t="s">
        <v>1959</v>
      </c>
      <c r="J41" s="32" t="s">
        <v>1960</v>
      </c>
      <c r="L41" s="32" t="s">
        <v>1816</v>
      </c>
      <c r="M41" s="35" t="s">
        <v>1961</v>
      </c>
      <c r="N41" s="32"/>
    </row>
    <row r="42" spans="1:14">
      <c r="A42" s="33">
        <v>45133.580361608794</v>
      </c>
      <c r="B42" s="32" t="s">
        <v>1962</v>
      </c>
      <c r="C42" s="32" t="s">
        <v>22</v>
      </c>
      <c r="D42" s="32" t="s">
        <v>1963</v>
      </c>
      <c r="E42" s="32">
        <v>6610633104</v>
      </c>
      <c r="F42" s="32" t="s">
        <v>1727</v>
      </c>
      <c r="G42" s="32" t="s">
        <v>1736</v>
      </c>
      <c r="H42" s="32" t="s">
        <v>1820</v>
      </c>
      <c r="I42" s="34" t="s">
        <v>1964</v>
      </c>
      <c r="J42" s="32" t="s">
        <v>1963</v>
      </c>
      <c r="M42" s="35" t="s">
        <v>1965</v>
      </c>
      <c r="N42" s="32"/>
    </row>
    <row r="43" spans="1:14">
      <c r="A43" s="33">
        <v>45133.58038373843</v>
      </c>
      <c r="B43" s="32" t="s">
        <v>1966</v>
      </c>
      <c r="C43" s="32" t="s">
        <v>29</v>
      </c>
      <c r="D43" s="32" t="s">
        <v>1967</v>
      </c>
      <c r="E43" s="32">
        <v>6412236205</v>
      </c>
      <c r="F43" s="32" t="s">
        <v>1735</v>
      </c>
      <c r="G43" s="32" t="s">
        <v>1736</v>
      </c>
      <c r="H43" s="32" t="s">
        <v>1948</v>
      </c>
      <c r="I43" s="34" t="s">
        <v>1968</v>
      </c>
      <c r="J43" s="32" t="s">
        <v>1969</v>
      </c>
      <c r="M43" s="35" t="s">
        <v>1970</v>
      </c>
      <c r="N43" s="32"/>
    </row>
    <row r="44" spans="1:14">
      <c r="A44" s="33">
        <v>45133.580389861112</v>
      </c>
      <c r="B44" s="32" t="s">
        <v>1971</v>
      </c>
      <c r="C44" s="32" t="s">
        <v>22</v>
      </c>
      <c r="D44" s="32" t="s">
        <v>1972</v>
      </c>
      <c r="E44" s="32">
        <v>6412269124</v>
      </c>
      <c r="F44" s="32" t="s">
        <v>1735</v>
      </c>
      <c r="G44" s="32" t="s">
        <v>1763</v>
      </c>
      <c r="H44" s="32" t="s">
        <v>1778</v>
      </c>
      <c r="I44" s="34" t="s">
        <v>1973</v>
      </c>
      <c r="J44" s="32" t="s">
        <v>1972</v>
      </c>
      <c r="M44" s="35" t="s">
        <v>1974</v>
      </c>
      <c r="N44" s="32"/>
    </row>
    <row r="45" spans="1:14">
      <c r="A45" s="33">
        <v>45133.580400127314</v>
      </c>
      <c r="B45" s="32" t="s">
        <v>1975</v>
      </c>
      <c r="C45" s="32" t="s">
        <v>22</v>
      </c>
      <c r="D45" s="32" t="s">
        <v>1976</v>
      </c>
      <c r="E45" s="32">
        <v>6410048102</v>
      </c>
      <c r="F45" s="32" t="s">
        <v>1735</v>
      </c>
      <c r="G45" s="32" t="s">
        <v>1763</v>
      </c>
      <c r="H45" s="32" t="s">
        <v>1832</v>
      </c>
      <c r="I45" s="34" t="s">
        <v>1977</v>
      </c>
      <c r="J45" s="32" t="s">
        <v>1976</v>
      </c>
      <c r="L45" s="32" t="s">
        <v>1978</v>
      </c>
      <c r="M45" s="35" t="s">
        <v>1979</v>
      </c>
      <c r="N45" s="32"/>
    </row>
    <row r="46" spans="1:14">
      <c r="A46" s="33">
        <v>45133.580403692133</v>
      </c>
      <c r="B46" s="32" t="s">
        <v>1980</v>
      </c>
      <c r="C46" s="32" t="s">
        <v>29</v>
      </c>
      <c r="D46" s="32" t="s">
        <v>1981</v>
      </c>
      <c r="E46" s="32">
        <v>6310106204</v>
      </c>
      <c r="F46" s="32" t="s">
        <v>1770</v>
      </c>
      <c r="G46" s="32" t="s">
        <v>1845</v>
      </c>
      <c r="H46" s="32" t="s">
        <v>1000</v>
      </c>
      <c r="I46" s="34" t="s">
        <v>1982</v>
      </c>
      <c r="J46" s="32" t="s">
        <v>1983</v>
      </c>
      <c r="L46" s="32" t="s">
        <v>1984</v>
      </c>
      <c r="M46" s="35" t="s">
        <v>1985</v>
      </c>
      <c r="N46" s="32"/>
    </row>
    <row r="47" spans="1:14">
      <c r="A47" s="33">
        <v>45133.580406828703</v>
      </c>
      <c r="B47" s="32" t="s">
        <v>1986</v>
      </c>
      <c r="C47" s="32" t="s">
        <v>29</v>
      </c>
      <c r="D47" s="32" t="s">
        <v>1987</v>
      </c>
      <c r="E47" s="32">
        <v>6315964119</v>
      </c>
      <c r="F47" s="32" t="s">
        <v>1770</v>
      </c>
      <c r="G47" s="32" t="s">
        <v>1763</v>
      </c>
      <c r="H47" s="32" t="s">
        <v>1988</v>
      </c>
      <c r="I47" s="34" t="s">
        <v>1989</v>
      </c>
      <c r="J47" s="32" t="s">
        <v>1990</v>
      </c>
      <c r="M47" s="35" t="s">
        <v>1991</v>
      </c>
      <c r="N47" s="32"/>
    </row>
    <row r="48" spans="1:14">
      <c r="A48" s="33">
        <v>45133.580414236116</v>
      </c>
      <c r="B48" s="32" t="s">
        <v>1992</v>
      </c>
      <c r="C48" s="32" t="s">
        <v>29</v>
      </c>
      <c r="D48" s="32" t="s">
        <v>1993</v>
      </c>
      <c r="E48" s="32">
        <v>6612236224</v>
      </c>
      <c r="F48" s="32" t="s">
        <v>1727</v>
      </c>
      <c r="G48" s="32" t="s">
        <v>1736</v>
      </c>
      <c r="H48" s="32" t="s">
        <v>1948</v>
      </c>
      <c r="I48" s="34" t="s">
        <v>1994</v>
      </c>
      <c r="J48" s="32" t="s">
        <v>1995</v>
      </c>
      <c r="L48" s="32" t="s">
        <v>1816</v>
      </c>
      <c r="M48" s="35" t="s">
        <v>1996</v>
      </c>
      <c r="N48" s="32"/>
    </row>
    <row r="49" spans="1:14">
      <c r="A49" s="33">
        <v>45133.580414780095</v>
      </c>
      <c r="B49" s="32" t="s">
        <v>1997</v>
      </c>
      <c r="C49" s="32" t="s">
        <v>29</v>
      </c>
      <c r="D49" s="32" t="s">
        <v>1998</v>
      </c>
      <c r="E49" s="32">
        <v>6412743133</v>
      </c>
      <c r="F49" s="32" t="s">
        <v>1735</v>
      </c>
      <c r="G49" s="32" t="s">
        <v>1845</v>
      </c>
      <c r="H49" s="32" t="s">
        <v>1999</v>
      </c>
      <c r="I49" s="34" t="s">
        <v>2000</v>
      </c>
      <c r="J49" s="32" t="s">
        <v>2001</v>
      </c>
      <c r="L49" s="32" t="s">
        <v>2002</v>
      </c>
      <c r="M49" s="35" t="s">
        <v>2003</v>
      </c>
      <c r="N49" s="32"/>
    </row>
    <row r="50" spans="1:14">
      <c r="A50" s="33">
        <v>45133.580436226854</v>
      </c>
      <c r="B50" s="32" t="s">
        <v>2004</v>
      </c>
      <c r="C50" s="32" t="s">
        <v>22</v>
      </c>
      <c r="D50" s="32" t="s">
        <v>2005</v>
      </c>
      <c r="E50" s="32">
        <v>6612732108</v>
      </c>
      <c r="F50" s="32" t="s">
        <v>1727</v>
      </c>
      <c r="G50" s="32" t="s">
        <v>1763</v>
      </c>
      <c r="H50" s="32" t="s">
        <v>1911</v>
      </c>
      <c r="I50" s="34" t="s">
        <v>2006</v>
      </c>
      <c r="J50" s="32" t="s">
        <v>2007</v>
      </c>
      <c r="M50" s="35" t="s">
        <v>2008</v>
      </c>
      <c r="N50" s="32"/>
    </row>
    <row r="51" spans="1:14">
      <c r="A51" s="33">
        <v>45133.580456655094</v>
      </c>
      <c r="B51" s="32" t="s">
        <v>2009</v>
      </c>
      <c r="C51" s="32" t="s">
        <v>29</v>
      </c>
      <c r="D51" s="32" t="s">
        <v>2010</v>
      </c>
      <c r="E51" s="32">
        <v>6610633223</v>
      </c>
      <c r="F51" s="32" t="s">
        <v>1727</v>
      </c>
      <c r="G51" s="32" t="s">
        <v>1736</v>
      </c>
      <c r="H51" s="32" t="s">
        <v>1820</v>
      </c>
      <c r="I51" s="34" t="s">
        <v>2011</v>
      </c>
      <c r="J51" s="32" t="s">
        <v>2012</v>
      </c>
      <c r="M51" s="35" t="s">
        <v>2013</v>
      </c>
      <c r="N51" s="32"/>
    </row>
    <row r="52" spans="1:14">
      <c r="A52" s="33">
        <v>45133.58046070602</v>
      </c>
      <c r="B52" s="32" t="s">
        <v>2014</v>
      </c>
      <c r="C52" s="32" t="s">
        <v>29</v>
      </c>
      <c r="D52" s="32" t="s">
        <v>2015</v>
      </c>
      <c r="E52" s="32">
        <v>6310106109</v>
      </c>
      <c r="F52" s="32" t="s">
        <v>1770</v>
      </c>
      <c r="G52" s="32" t="s">
        <v>1845</v>
      </c>
      <c r="H52" s="32" t="s">
        <v>1000</v>
      </c>
      <c r="I52" s="34" t="s">
        <v>2016</v>
      </c>
      <c r="J52" s="32" t="s">
        <v>2017</v>
      </c>
      <c r="L52" s="32" t="s">
        <v>2018</v>
      </c>
      <c r="M52" s="35" t="s">
        <v>2019</v>
      </c>
      <c r="N52" s="32"/>
    </row>
    <row r="53" spans="1:14">
      <c r="A53" s="33">
        <v>45133.580469722219</v>
      </c>
      <c r="B53" s="32" t="s">
        <v>2020</v>
      </c>
      <c r="C53" s="32" t="s">
        <v>29</v>
      </c>
      <c r="D53" s="32" t="s">
        <v>2021</v>
      </c>
      <c r="E53" s="32">
        <v>6512247114</v>
      </c>
      <c r="F53" s="32" t="s">
        <v>1743</v>
      </c>
      <c r="G53" s="32" t="s">
        <v>1736</v>
      </c>
      <c r="H53" s="32" t="s">
        <v>2022</v>
      </c>
      <c r="I53" s="34" t="s">
        <v>2023</v>
      </c>
      <c r="J53" s="32" t="s">
        <v>2024</v>
      </c>
      <c r="L53" s="32" t="s">
        <v>2025</v>
      </c>
      <c r="M53" s="35" t="s">
        <v>2026</v>
      </c>
      <c r="N53" s="32"/>
    </row>
    <row r="54" spans="1:14">
      <c r="A54" s="33">
        <v>45133.580494351852</v>
      </c>
      <c r="B54" s="32" t="s">
        <v>2027</v>
      </c>
      <c r="C54" s="32" t="s">
        <v>22</v>
      </c>
      <c r="D54" s="32" t="s">
        <v>2028</v>
      </c>
      <c r="E54" s="32">
        <v>6412888103</v>
      </c>
      <c r="F54" s="32" t="s">
        <v>1735</v>
      </c>
      <c r="G54" s="32" t="s">
        <v>1771</v>
      </c>
      <c r="H54" s="32" t="s">
        <v>2029</v>
      </c>
      <c r="I54" s="34" t="s">
        <v>2030</v>
      </c>
      <c r="J54" s="32" t="s">
        <v>2031</v>
      </c>
      <c r="M54" s="35" t="s">
        <v>2032</v>
      </c>
      <c r="N54" s="32"/>
    </row>
    <row r="55" spans="1:14">
      <c r="A55" s="33">
        <v>45133.580508946761</v>
      </c>
      <c r="B55" s="32" t="s">
        <v>2033</v>
      </c>
      <c r="C55" s="32" t="s">
        <v>29</v>
      </c>
      <c r="D55" s="32" t="s">
        <v>2034</v>
      </c>
      <c r="E55" s="32">
        <v>6610488118</v>
      </c>
      <c r="F55" s="32" t="s">
        <v>1727</v>
      </c>
      <c r="G55" s="32" t="s">
        <v>1736</v>
      </c>
      <c r="H55" s="32" t="s">
        <v>1737</v>
      </c>
      <c r="I55" s="34" t="s">
        <v>2035</v>
      </c>
      <c r="J55" s="32" t="s">
        <v>2034</v>
      </c>
      <c r="M55" s="35" t="s">
        <v>2036</v>
      </c>
      <c r="N55" s="32"/>
    </row>
    <row r="56" spans="1:14">
      <c r="A56" s="33">
        <v>45133.580518368057</v>
      </c>
      <c r="B56" s="32" t="s">
        <v>2037</v>
      </c>
      <c r="C56" s="32" t="s">
        <v>29</v>
      </c>
      <c r="D56" s="32" t="s">
        <v>2038</v>
      </c>
      <c r="E56" s="32">
        <v>6310403120</v>
      </c>
      <c r="F56" s="32" t="s">
        <v>1770</v>
      </c>
      <c r="G56" s="32" t="s">
        <v>1728</v>
      </c>
      <c r="H56" s="32" t="s">
        <v>1756</v>
      </c>
      <c r="I56" s="34" t="s">
        <v>2039</v>
      </c>
      <c r="J56" s="32" t="s">
        <v>2040</v>
      </c>
      <c r="M56" s="35" t="s">
        <v>2041</v>
      </c>
      <c r="N56" s="32"/>
    </row>
    <row r="57" spans="1:14">
      <c r="A57" s="33">
        <v>45133.580520787036</v>
      </c>
      <c r="B57" s="32" t="s">
        <v>2042</v>
      </c>
      <c r="C57" s="32" t="s">
        <v>22</v>
      </c>
      <c r="D57" s="32" t="s">
        <v>2043</v>
      </c>
      <c r="E57" s="32">
        <v>6510633106</v>
      </c>
      <c r="F57" s="32" t="s">
        <v>1743</v>
      </c>
      <c r="G57" s="32" t="s">
        <v>1736</v>
      </c>
      <c r="H57" s="32" t="s">
        <v>1820</v>
      </c>
      <c r="I57" s="34" t="s">
        <v>2044</v>
      </c>
      <c r="J57" s="32" t="s">
        <v>2045</v>
      </c>
      <c r="L57" s="32" t="s">
        <v>1759</v>
      </c>
      <c r="M57" s="35" t="s">
        <v>2046</v>
      </c>
      <c r="N57" s="32"/>
    </row>
    <row r="58" spans="1:14">
      <c r="A58" s="33">
        <v>45133.580522268516</v>
      </c>
      <c r="B58" s="32" t="s">
        <v>2047</v>
      </c>
      <c r="C58" s="32" t="s">
        <v>29</v>
      </c>
      <c r="D58" s="32" t="s">
        <v>2048</v>
      </c>
      <c r="E58" s="32">
        <v>6310633134</v>
      </c>
      <c r="F58" s="32" t="s">
        <v>1770</v>
      </c>
      <c r="G58" s="32" t="s">
        <v>1736</v>
      </c>
      <c r="H58" s="32" t="s">
        <v>1820</v>
      </c>
      <c r="I58" s="34" t="s">
        <v>2049</v>
      </c>
      <c r="J58" s="32" t="s">
        <v>2050</v>
      </c>
      <c r="M58" s="35" t="s">
        <v>2051</v>
      </c>
      <c r="N58" s="32"/>
    </row>
    <row r="59" spans="1:14">
      <c r="A59" s="33">
        <v>45133.580532731481</v>
      </c>
      <c r="B59" s="32" t="s">
        <v>2052</v>
      </c>
      <c r="C59" s="32" t="s">
        <v>29</v>
      </c>
      <c r="D59" s="32" t="s">
        <v>2053</v>
      </c>
      <c r="E59" s="32">
        <v>6310633128</v>
      </c>
      <c r="F59" s="32" t="s">
        <v>1770</v>
      </c>
      <c r="G59" s="32" t="s">
        <v>1736</v>
      </c>
      <c r="H59" s="32" t="s">
        <v>1820</v>
      </c>
      <c r="I59" s="34" t="s">
        <v>2054</v>
      </c>
      <c r="J59" s="32" t="s">
        <v>2055</v>
      </c>
      <c r="M59" s="35" t="s">
        <v>2056</v>
      </c>
      <c r="N59" s="32"/>
    </row>
    <row r="60" spans="1:14">
      <c r="A60" s="33">
        <v>45133.580543553238</v>
      </c>
      <c r="B60" s="32" t="s">
        <v>2057</v>
      </c>
      <c r="C60" s="32" t="s">
        <v>29</v>
      </c>
      <c r="D60" s="32" t="s">
        <v>2058</v>
      </c>
      <c r="E60" s="32">
        <v>6410633113</v>
      </c>
      <c r="F60" s="32" t="s">
        <v>1735</v>
      </c>
      <c r="G60" s="32" t="s">
        <v>1736</v>
      </c>
      <c r="H60" s="32" t="s">
        <v>1820</v>
      </c>
      <c r="I60" s="34" t="s">
        <v>2059</v>
      </c>
      <c r="J60" s="32" t="s">
        <v>2058</v>
      </c>
      <c r="L60" s="32" t="s">
        <v>1816</v>
      </c>
      <c r="M60" s="35" t="s">
        <v>2060</v>
      </c>
      <c r="N60" s="32"/>
    </row>
    <row r="61" spans="1:14">
      <c r="A61" s="33">
        <v>45133.580558923612</v>
      </c>
      <c r="B61" s="32" t="s">
        <v>2061</v>
      </c>
      <c r="C61" s="32" t="s">
        <v>29</v>
      </c>
      <c r="D61" s="32" t="s">
        <v>2062</v>
      </c>
      <c r="E61" s="32">
        <v>6312247109</v>
      </c>
      <c r="F61" s="32" t="s">
        <v>1770</v>
      </c>
      <c r="G61" s="32" t="s">
        <v>1736</v>
      </c>
      <c r="H61" s="32" t="s">
        <v>2022</v>
      </c>
      <c r="I61" s="34" t="s">
        <v>2063</v>
      </c>
      <c r="J61" s="32" t="s">
        <v>2064</v>
      </c>
      <c r="M61" s="35" t="s">
        <v>2065</v>
      </c>
      <c r="N61" s="32"/>
    </row>
    <row r="62" spans="1:14">
      <c r="A62" s="33">
        <v>45133.580566597222</v>
      </c>
      <c r="B62" s="32" t="s">
        <v>2066</v>
      </c>
      <c r="C62" s="32" t="s">
        <v>22</v>
      </c>
      <c r="D62" s="32" t="s">
        <v>2067</v>
      </c>
      <c r="E62" s="32">
        <v>6610633107</v>
      </c>
      <c r="F62" s="32" t="s">
        <v>1727</v>
      </c>
      <c r="G62" s="32" t="s">
        <v>1736</v>
      </c>
      <c r="H62" s="32" t="s">
        <v>1820</v>
      </c>
      <c r="I62" s="34" t="s">
        <v>2068</v>
      </c>
      <c r="J62" s="32" t="s">
        <v>2067</v>
      </c>
      <c r="L62" s="32" t="s">
        <v>1759</v>
      </c>
      <c r="M62" s="35" t="s">
        <v>2069</v>
      </c>
      <c r="N62" s="32"/>
    </row>
    <row r="63" spans="1:14">
      <c r="A63" s="33">
        <v>45133.580591365739</v>
      </c>
      <c r="B63" s="32" t="s">
        <v>2070</v>
      </c>
      <c r="C63" s="32" t="s">
        <v>29</v>
      </c>
      <c r="D63" s="32" t="s">
        <v>2071</v>
      </c>
      <c r="E63" s="32">
        <v>6412236113</v>
      </c>
      <c r="F63" s="32" t="s">
        <v>1735</v>
      </c>
      <c r="G63" s="32" t="s">
        <v>1736</v>
      </c>
      <c r="H63" s="32" t="s">
        <v>1948</v>
      </c>
      <c r="I63" s="32" t="s">
        <v>2072</v>
      </c>
      <c r="J63" s="32" t="s">
        <v>2073</v>
      </c>
      <c r="M63" s="35" t="s">
        <v>2074</v>
      </c>
      <c r="N63" s="32"/>
    </row>
    <row r="64" spans="1:14">
      <c r="A64" s="33">
        <v>45133.580604236107</v>
      </c>
      <c r="B64" s="32" t="s">
        <v>2075</v>
      </c>
      <c r="C64" s="32" t="s">
        <v>22</v>
      </c>
      <c r="D64" s="32" t="s">
        <v>2076</v>
      </c>
      <c r="E64" s="32">
        <v>6610633106</v>
      </c>
      <c r="F64" s="32" t="s">
        <v>1727</v>
      </c>
      <c r="G64" s="32" t="s">
        <v>1736</v>
      </c>
      <c r="H64" s="32" t="s">
        <v>1820</v>
      </c>
      <c r="I64" s="34" t="s">
        <v>2077</v>
      </c>
      <c r="J64" s="32" t="s">
        <v>2078</v>
      </c>
      <c r="L64" s="32" t="s">
        <v>2079</v>
      </c>
      <c r="M64" s="35" t="s">
        <v>2080</v>
      </c>
      <c r="N64" s="32"/>
    </row>
    <row r="65" spans="1:14">
      <c r="A65" s="33">
        <v>45133.580617951389</v>
      </c>
      <c r="B65" s="32" t="s">
        <v>2081</v>
      </c>
      <c r="C65" s="32" t="s">
        <v>29</v>
      </c>
      <c r="D65" s="32" t="s">
        <v>2082</v>
      </c>
      <c r="E65" s="32">
        <v>6610633132</v>
      </c>
      <c r="F65" s="32" t="s">
        <v>1727</v>
      </c>
      <c r="G65" s="32" t="s">
        <v>1736</v>
      </c>
      <c r="H65" s="32" t="s">
        <v>1820</v>
      </c>
      <c r="I65" s="34" t="s">
        <v>2083</v>
      </c>
      <c r="J65" s="32" t="s">
        <v>2084</v>
      </c>
      <c r="M65" s="35" t="s">
        <v>2085</v>
      </c>
      <c r="N65" s="32"/>
    </row>
    <row r="66" spans="1:14">
      <c r="A66" s="33">
        <v>45133.580619722226</v>
      </c>
      <c r="B66" s="32" t="s">
        <v>2086</v>
      </c>
      <c r="C66" s="32" t="s">
        <v>22</v>
      </c>
      <c r="D66" s="32" t="s">
        <v>2087</v>
      </c>
      <c r="E66" s="32">
        <v>6312269101</v>
      </c>
      <c r="F66" s="32" t="s">
        <v>1770</v>
      </c>
      <c r="G66" s="32" t="s">
        <v>1763</v>
      </c>
      <c r="H66" s="32" t="s">
        <v>1778</v>
      </c>
      <c r="I66" s="34" t="s">
        <v>2088</v>
      </c>
      <c r="J66" s="32" t="s">
        <v>2089</v>
      </c>
      <c r="M66" s="35" t="s">
        <v>2090</v>
      </c>
      <c r="N66" s="32"/>
    </row>
    <row r="67" spans="1:14">
      <c r="A67" s="33">
        <v>45133.580621157409</v>
      </c>
      <c r="B67" s="32" t="s">
        <v>2091</v>
      </c>
      <c r="C67" s="32" t="s">
        <v>29</v>
      </c>
      <c r="D67" s="32" t="s">
        <v>2092</v>
      </c>
      <c r="E67" s="32">
        <v>6512743224</v>
      </c>
      <c r="F67" s="32" t="s">
        <v>1743</v>
      </c>
      <c r="G67" s="32" t="s">
        <v>1845</v>
      </c>
      <c r="H67" s="32" t="s">
        <v>2093</v>
      </c>
      <c r="I67" s="34" t="s">
        <v>2094</v>
      </c>
      <c r="J67" s="32" t="s">
        <v>2095</v>
      </c>
      <c r="M67" s="35" t="s">
        <v>2096</v>
      </c>
      <c r="N67" s="32"/>
    </row>
    <row r="68" spans="1:14">
      <c r="A68" s="33">
        <v>45133.580627951393</v>
      </c>
      <c r="B68" s="32" t="s">
        <v>2097</v>
      </c>
      <c r="C68" s="32" t="s">
        <v>29</v>
      </c>
      <c r="D68" s="32" t="s">
        <v>2098</v>
      </c>
      <c r="E68" s="32">
        <v>6410633119</v>
      </c>
      <c r="F68" s="32" t="s">
        <v>1735</v>
      </c>
      <c r="G68" s="32" t="s">
        <v>1736</v>
      </c>
      <c r="H68" s="32" t="s">
        <v>1820</v>
      </c>
      <c r="I68" s="34" t="s">
        <v>2099</v>
      </c>
      <c r="J68" s="32" t="s">
        <v>2100</v>
      </c>
      <c r="M68" s="35" t="s">
        <v>2101</v>
      </c>
      <c r="N68" s="32"/>
    </row>
    <row r="69" spans="1:14">
      <c r="A69" s="33">
        <v>45133.58064670139</v>
      </c>
      <c r="B69" s="32" t="s">
        <v>2102</v>
      </c>
      <c r="C69" s="32" t="s">
        <v>29</v>
      </c>
      <c r="D69" s="32" t="s">
        <v>2103</v>
      </c>
      <c r="E69" s="32">
        <v>6512247127</v>
      </c>
      <c r="F69" s="32" t="s">
        <v>1743</v>
      </c>
      <c r="G69" s="32" t="s">
        <v>1736</v>
      </c>
      <c r="H69" s="32" t="s">
        <v>2022</v>
      </c>
      <c r="I69" s="34" t="s">
        <v>2104</v>
      </c>
      <c r="J69" s="32" t="s">
        <v>2105</v>
      </c>
      <c r="M69" s="35" t="s">
        <v>2106</v>
      </c>
      <c r="N69" s="32"/>
    </row>
    <row r="70" spans="1:14">
      <c r="A70" s="33">
        <v>45133.580664016205</v>
      </c>
      <c r="B70" s="32" t="s">
        <v>2107</v>
      </c>
      <c r="C70" s="32" t="s">
        <v>29</v>
      </c>
      <c r="D70" s="32" t="s">
        <v>2108</v>
      </c>
      <c r="E70" s="32">
        <v>6510633125</v>
      </c>
      <c r="F70" s="32" t="s">
        <v>1743</v>
      </c>
      <c r="G70" s="32" t="s">
        <v>1736</v>
      </c>
      <c r="H70" s="32" t="s">
        <v>1820</v>
      </c>
      <c r="I70" s="34" t="s">
        <v>2109</v>
      </c>
      <c r="J70" s="32" t="s">
        <v>2108</v>
      </c>
      <c r="L70" s="32" t="s">
        <v>2110</v>
      </c>
      <c r="M70" s="35" t="s">
        <v>2111</v>
      </c>
      <c r="N70" s="32"/>
    </row>
    <row r="71" spans="1:14">
      <c r="A71" s="33">
        <v>45133.580673483797</v>
      </c>
      <c r="B71" s="32" t="s">
        <v>2112</v>
      </c>
      <c r="C71" s="32" t="s">
        <v>22</v>
      </c>
      <c r="D71" s="32" t="s">
        <v>2113</v>
      </c>
      <c r="E71" s="32">
        <v>6410488102</v>
      </c>
      <c r="F71" s="32" t="s">
        <v>1735</v>
      </c>
      <c r="G71" s="32" t="s">
        <v>1736</v>
      </c>
      <c r="H71" s="32" t="s">
        <v>1737</v>
      </c>
      <c r="I71" s="34" t="s">
        <v>2114</v>
      </c>
      <c r="J71" s="32" t="s">
        <v>2115</v>
      </c>
      <c r="M71" s="35" t="s">
        <v>2116</v>
      </c>
      <c r="N71" s="32"/>
    </row>
    <row r="72" spans="1:14">
      <c r="A72" s="33">
        <v>45133.580676423611</v>
      </c>
      <c r="B72" s="32" t="s">
        <v>2117</v>
      </c>
      <c r="C72" s="32" t="s">
        <v>29</v>
      </c>
      <c r="D72" s="32" t="s">
        <v>2118</v>
      </c>
      <c r="E72" s="32">
        <v>6610488114</v>
      </c>
      <c r="F72" s="32" t="s">
        <v>1727</v>
      </c>
      <c r="G72" s="32" t="s">
        <v>1736</v>
      </c>
      <c r="H72" s="32" t="s">
        <v>1737</v>
      </c>
      <c r="I72" s="34" t="s">
        <v>2119</v>
      </c>
      <c r="J72" s="32" t="s">
        <v>2120</v>
      </c>
      <c r="L72" s="32" t="s">
        <v>1766</v>
      </c>
      <c r="M72" s="35" t="s">
        <v>2121</v>
      </c>
      <c r="N72" s="32"/>
    </row>
    <row r="73" spans="1:14">
      <c r="A73" s="33">
        <v>45133.580686793983</v>
      </c>
      <c r="B73" s="32" t="s">
        <v>2122</v>
      </c>
      <c r="C73" s="32" t="s">
        <v>29</v>
      </c>
      <c r="D73" s="32" t="s">
        <v>2123</v>
      </c>
      <c r="E73" s="32">
        <v>6410633230</v>
      </c>
      <c r="F73" s="32" t="s">
        <v>1735</v>
      </c>
      <c r="G73" s="32" t="s">
        <v>1736</v>
      </c>
      <c r="H73" s="32" t="s">
        <v>1820</v>
      </c>
      <c r="I73" s="34" t="s">
        <v>2124</v>
      </c>
      <c r="J73" s="32" t="s">
        <v>2125</v>
      </c>
      <c r="M73" s="35" t="s">
        <v>2126</v>
      </c>
      <c r="N73" s="32"/>
    </row>
    <row r="74" spans="1:14">
      <c r="A74" s="33">
        <v>45133.580706053239</v>
      </c>
      <c r="B74" s="32" t="s">
        <v>2127</v>
      </c>
      <c r="C74" s="32" t="s">
        <v>29</v>
      </c>
      <c r="D74" s="32" t="s">
        <v>2128</v>
      </c>
      <c r="E74" s="32">
        <v>6310403124</v>
      </c>
      <c r="F74" s="32" t="s">
        <v>1770</v>
      </c>
      <c r="G74" s="32" t="s">
        <v>1728</v>
      </c>
      <c r="H74" s="32" t="s">
        <v>1756</v>
      </c>
      <c r="I74" s="34" t="s">
        <v>2129</v>
      </c>
      <c r="J74" s="32" t="s">
        <v>2130</v>
      </c>
      <c r="M74" s="35" t="s">
        <v>2131</v>
      </c>
      <c r="N74" s="32"/>
    </row>
    <row r="75" spans="1:14">
      <c r="A75" s="33">
        <v>45133.580729918976</v>
      </c>
      <c r="B75" s="32" t="s">
        <v>2132</v>
      </c>
      <c r="C75" s="32" t="s">
        <v>29</v>
      </c>
      <c r="D75" s="32" t="s">
        <v>2133</v>
      </c>
      <c r="E75" s="32">
        <v>6410048260</v>
      </c>
      <c r="F75" s="32" t="s">
        <v>1735</v>
      </c>
      <c r="G75" s="32" t="s">
        <v>1763</v>
      </c>
      <c r="H75" s="32" t="s">
        <v>1832</v>
      </c>
      <c r="I75" s="34" t="s">
        <v>2134</v>
      </c>
      <c r="J75" s="32" t="s">
        <v>2135</v>
      </c>
      <c r="L75" s="32" t="s">
        <v>1816</v>
      </c>
      <c r="M75" s="35" t="s">
        <v>2136</v>
      </c>
      <c r="N75" s="32"/>
    </row>
    <row r="76" spans="1:14">
      <c r="A76" s="33">
        <v>45133.580738761579</v>
      </c>
      <c r="B76" s="32" t="s">
        <v>2137</v>
      </c>
      <c r="C76" s="32" t="s">
        <v>29</v>
      </c>
      <c r="D76" s="32" t="s">
        <v>2138</v>
      </c>
      <c r="E76" s="32">
        <v>6510488225</v>
      </c>
      <c r="F76" s="32" t="s">
        <v>1743</v>
      </c>
      <c r="G76" s="32" t="s">
        <v>1736</v>
      </c>
      <c r="H76" s="32" t="s">
        <v>1737</v>
      </c>
      <c r="I76" s="34" t="s">
        <v>2139</v>
      </c>
      <c r="J76" s="32" t="s">
        <v>2140</v>
      </c>
      <c r="M76" s="35" t="s">
        <v>2141</v>
      </c>
      <c r="N76" s="32"/>
    </row>
    <row r="77" spans="1:14">
      <c r="A77" s="33">
        <v>45133.580744131948</v>
      </c>
      <c r="B77" s="32" t="s">
        <v>2142</v>
      </c>
      <c r="C77" s="32" t="s">
        <v>22</v>
      </c>
      <c r="D77" s="32" t="s">
        <v>2143</v>
      </c>
      <c r="E77" s="32">
        <v>6410488204</v>
      </c>
      <c r="F77" s="32" t="s">
        <v>1735</v>
      </c>
      <c r="G77" s="32" t="s">
        <v>1736</v>
      </c>
      <c r="H77" s="32" t="s">
        <v>1737</v>
      </c>
      <c r="I77" s="34" t="s">
        <v>2144</v>
      </c>
      <c r="J77" s="32" t="s">
        <v>2145</v>
      </c>
      <c r="M77" s="35" t="s">
        <v>2146</v>
      </c>
      <c r="N77" s="32"/>
    </row>
    <row r="78" spans="1:14">
      <c r="A78" s="33">
        <v>45133.580748912034</v>
      </c>
      <c r="B78" s="32" t="s">
        <v>2147</v>
      </c>
      <c r="C78" s="32" t="s">
        <v>29</v>
      </c>
      <c r="D78" s="32" t="s">
        <v>2148</v>
      </c>
      <c r="E78" s="32">
        <v>6410106121</v>
      </c>
      <c r="F78" s="32" t="s">
        <v>1735</v>
      </c>
      <c r="G78" s="32" t="s">
        <v>1845</v>
      </c>
      <c r="H78" s="32" t="s">
        <v>1000</v>
      </c>
      <c r="I78" s="34" t="s">
        <v>2149</v>
      </c>
      <c r="J78" s="32" t="s">
        <v>2150</v>
      </c>
      <c r="M78" s="35" t="s">
        <v>2151</v>
      </c>
      <c r="N78" s="32"/>
    </row>
    <row r="79" spans="1:14">
      <c r="A79" s="33">
        <v>45133.580751030095</v>
      </c>
      <c r="B79" s="32" t="s">
        <v>2152</v>
      </c>
      <c r="C79" s="32" t="s">
        <v>22</v>
      </c>
      <c r="D79" s="32" t="s">
        <v>2153</v>
      </c>
      <c r="E79" s="32">
        <v>6610488210</v>
      </c>
      <c r="F79" s="32" t="s">
        <v>1727</v>
      </c>
      <c r="G79" s="32" t="s">
        <v>1736</v>
      </c>
      <c r="H79" s="32" t="s">
        <v>1737</v>
      </c>
      <c r="I79" s="34" t="s">
        <v>2154</v>
      </c>
      <c r="J79" s="32" t="s">
        <v>2155</v>
      </c>
      <c r="M79" s="35" t="s">
        <v>2156</v>
      </c>
      <c r="N79" s="32"/>
    </row>
    <row r="80" spans="1:14">
      <c r="A80" s="33">
        <v>45133.580756157404</v>
      </c>
      <c r="B80" s="32" t="s">
        <v>2157</v>
      </c>
      <c r="C80" s="32" t="s">
        <v>29</v>
      </c>
      <c r="D80" s="32" t="s">
        <v>2158</v>
      </c>
      <c r="E80" s="32">
        <v>6310633129</v>
      </c>
      <c r="F80" s="32" t="s">
        <v>1770</v>
      </c>
      <c r="G80" s="32" t="s">
        <v>1736</v>
      </c>
      <c r="H80" s="32" t="s">
        <v>1820</v>
      </c>
      <c r="I80" s="34" t="s">
        <v>2159</v>
      </c>
      <c r="J80" s="32" t="s">
        <v>2160</v>
      </c>
      <c r="M80" s="35" t="s">
        <v>2161</v>
      </c>
      <c r="N80" s="32"/>
    </row>
    <row r="81" spans="1:14">
      <c r="A81" s="33">
        <v>45133.580768483793</v>
      </c>
      <c r="B81" s="32" t="s">
        <v>2162</v>
      </c>
      <c r="C81" s="32" t="s">
        <v>22</v>
      </c>
      <c r="D81" s="32" t="s">
        <v>2163</v>
      </c>
      <c r="E81" s="32">
        <v>6410048103</v>
      </c>
      <c r="F81" s="32" t="s">
        <v>1735</v>
      </c>
      <c r="G81" s="32" t="s">
        <v>1763</v>
      </c>
      <c r="H81" s="32" t="s">
        <v>1832</v>
      </c>
      <c r="I81" s="34" t="s">
        <v>2164</v>
      </c>
      <c r="J81" s="32" t="s">
        <v>1816</v>
      </c>
      <c r="M81" s="35" t="s">
        <v>2165</v>
      </c>
      <c r="N81" s="32"/>
    </row>
    <row r="82" spans="1:14">
      <c r="A82" s="33">
        <v>45133.580769247681</v>
      </c>
      <c r="B82" s="32" t="s">
        <v>2166</v>
      </c>
      <c r="C82" s="32" t="s">
        <v>29</v>
      </c>
      <c r="D82" s="32" t="s">
        <v>2167</v>
      </c>
      <c r="E82" s="32">
        <v>6410073117</v>
      </c>
      <c r="F82" s="32" t="s">
        <v>1735</v>
      </c>
      <c r="G82" s="32" t="s">
        <v>1763</v>
      </c>
      <c r="H82" s="32" t="s">
        <v>1790</v>
      </c>
      <c r="I82" s="34" t="s">
        <v>2168</v>
      </c>
      <c r="J82" s="32" t="s">
        <v>2169</v>
      </c>
      <c r="L82" s="32" t="s">
        <v>1816</v>
      </c>
      <c r="M82" s="35" t="s">
        <v>2170</v>
      </c>
      <c r="N82" s="32"/>
    </row>
    <row r="83" spans="1:14">
      <c r="A83" s="33">
        <v>45133.580779108801</v>
      </c>
      <c r="B83" s="32" t="s">
        <v>2171</v>
      </c>
      <c r="C83" s="32" t="s">
        <v>29</v>
      </c>
      <c r="D83" s="32" t="s">
        <v>2172</v>
      </c>
      <c r="E83" s="32">
        <v>6410403224</v>
      </c>
      <c r="F83" s="32" t="s">
        <v>1735</v>
      </c>
      <c r="G83" s="32" t="s">
        <v>1728</v>
      </c>
      <c r="H83" s="32" t="s">
        <v>1838</v>
      </c>
      <c r="I83" s="34" t="s">
        <v>2173</v>
      </c>
      <c r="J83" s="32" t="s">
        <v>2174</v>
      </c>
      <c r="M83" s="35" t="s">
        <v>2175</v>
      </c>
      <c r="N83" s="32"/>
    </row>
    <row r="84" spans="1:14">
      <c r="A84" s="33">
        <v>45133.580785416663</v>
      </c>
      <c r="B84" s="32" t="s">
        <v>2176</v>
      </c>
      <c r="C84" s="32" t="s">
        <v>29</v>
      </c>
      <c r="D84" s="32" t="s">
        <v>2177</v>
      </c>
      <c r="E84" s="32">
        <v>6610488129</v>
      </c>
      <c r="F84" s="32" t="s">
        <v>1727</v>
      </c>
      <c r="G84" s="32" t="s">
        <v>1736</v>
      </c>
      <c r="H84" s="32" t="s">
        <v>1737</v>
      </c>
      <c r="I84" s="34" t="s">
        <v>2178</v>
      </c>
      <c r="J84" s="32" t="s">
        <v>2179</v>
      </c>
      <c r="L84" s="32" t="s">
        <v>1816</v>
      </c>
      <c r="M84" s="35" t="s">
        <v>2180</v>
      </c>
      <c r="N84" s="32"/>
    </row>
    <row r="85" spans="1:14">
      <c r="A85" s="33">
        <v>45133.580786874998</v>
      </c>
      <c r="B85" s="32" t="s">
        <v>2181</v>
      </c>
      <c r="C85" s="32" t="s">
        <v>29</v>
      </c>
      <c r="D85" s="32" t="s">
        <v>2182</v>
      </c>
      <c r="E85" s="32">
        <v>6310488219</v>
      </c>
      <c r="F85" s="32" t="s">
        <v>1770</v>
      </c>
      <c r="G85" s="32" t="s">
        <v>1736</v>
      </c>
      <c r="H85" s="32" t="s">
        <v>1737</v>
      </c>
      <c r="I85" s="34" t="s">
        <v>2183</v>
      </c>
      <c r="J85" s="32" t="s">
        <v>2184</v>
      </c>
      <c r="L85" s="32" t="s">
        <v>2185</v>
      </c>
      <c r="M85" s="35" t="s">
        <v>2186</v>
      </c>
      <c r="N85" s="32"/>
    </row>
    <row r="86" spans="1:14">
      <c r="A86" s="33">
        <v>45133.580813842593</v>
      </c>
      <c r="B86" s="32" t="s">
        <v>2187</v>
      </c>
      <c r="C86" s="32" t="s">
        <v>22</v>
      </c>
      <c r="D86" s="32" t="s">
        <v>2188</v>
      </c>
      <c r="E86" s="32">
        <v>6310392217</v>
      </c>
      <c r="F86" s="32" t="s">
        <v>1770</v>
      </c>
      <c r="G86" s="32" t="s">
        <v>1736</v>
      </c>
      <c r="H86" s="32" t="s">
        <v>1797</v>
      </c>
      <c r="I86" s="34" t="s">
        <v>2189</v>
      </c>
      <c r="J86" s="32" t="s">
        <v>2190</v>
      </c>
      <c r="L86" s="32" t="s">
        <v>2191</v>
      </c>
      <c r="M86" s="35" t="s">
        <v>2192</v>
      </c>
      <c r="N86" s="32"/>
    </row>
    <row r="87" spans="1:14">
      <c r="A87" s="33">
        <v>45133.580833530097</v>
      </c>
      <c r="B87" s="32" t="s">
        <v>2193</v>
      </c>
      <c r="C87" s="32" t="s">
        <v>22</v>
      </c>
      <c r="D87" s="32" t="s">
        <v>2194</v>
      </c>
      <c r="E87" s="32">
        <v>6510106102</v>
      </c>
      <c r="F87" s="32" t="s">
        <v>1743</v>
      </c>
      <c r="G87" s="32" t="s">
        <v>1845</v>
      </c>
      <c r="H87" s="32" t="s">
        <v>1000</v>
      </c>
      <c r="I87" s="34" t="s">
        <v>2195</v>
      </c>
      <c r="J87" s="32" t="s">
        <v>2196</v>
      </c>
      <c r="L87" s="32" t="s">
        <v>1816</v>
      </c>
      <c r="M87" s="35" t="s">
        <v>2197</v>
      </c>
      <c r="N87" s="32"/>
    </row>
    <row r="88" spans="1:14">
      <c r="A88" s="33">
        <v>45133.580834386579</v>
      </c>
      <c r="B88" s="32" t="s">
        <v>2198</v>
      </c>
      <c r="C88" s="32" t="s">
        <v>22</v>
      </c>
      <c r="D88" s="32" t="s">
        <v>2199</v>
      </c>
      <c r="E88" s="32">
        <v>6410048131</v>
      </c>
      <c r="F88" s="32" t="s">
        <v>1735</v>
      </c>
      <c r="G88" s="32" t="s">
        <v>1763</v>
      </c>
      <c r="H88" s="32" t="s">
        <v>1832</v>
      </c>
      <c r="I88" s="34" t="s">
        <v>2200</v>
      </c>
      <c r="J88" s="32" t="s">
        <v>2201</v>
      </c>
      <c r="M88" s="35" t="s">
        <v>2202</v>
      </c>
      <c r="N88" s="32"/>
    </row>
    <row r="89" spans="1:14">
      <c r="A89" s="33">
        <v>45133.580880439811</v>
      </c>
      <c r="B89" s="32" t="s">
        <v>2203</v>
      </c>
      <c r="C89" s="32" t="s">
        <v>29</v>
      </c>
      <c r="D89" s="32" t="s">
        <v>2204</v>
      </c>
      <c r="E89" s="32">
        <v>6610633219</v>
      </c>
      <c r="F89" s="32" t="s">
        <v>1727</v>
      </c>
      <c r="G89" s="32" t="s">
        <v>1736</v>
      </c>
      <c r="H89" s="32" t="s">
        <v>1820</v>
      </c>
      <c r="I89" s="34" t="s">
        <v>2205</v>
      </c>
      <c r="J89" s="32" t="s">
        <v>2206</v>
      </c>
      <c r="L89" s="32" t="s">
        <v>1816</v>
      </c>
      <c r="M89" s="35" t="s">
        <v>2207</v>
      </c>
      <c r="N89" s="32"/>
    </row>
    <row r="90" spans="1:14">
      <c r="A90" s="33">
        <v>45133.580896354164</v>
      </c>
      <c r="B90" s="32" t="s">
        <v>2208</v>
      </c>
      <c r="C90" s="32" t="s">
        <v>29</v>
      </c>
      <c r="D90" s="32" t="s">
        <v>2209</v>
      </c>
      <c r="E90" s="32">
        <v>6511506215</v>
      </c>
      <c r="F90" s="32" t="s">
        <v>1743</v>
      </c>
      <c r="G90" s="32" t="s">
        <v>1763</v>
      </c>
      <c r="H90" s="32" t="s">
        <v>2210</v>
      </c>
      <c r="I90" s="34" t="s">
        <v>2211</v>
      </c>
      <c r="J90" s="32" t="s">
        <v>2212</v>
      </c>
      <c r="L90" s="32" t="s">
        <v>1816</v>
      </c>
      <c r="M90" s="35" t="s">
        <v>2213</v>
      </c>
      <c r="N90" s="32"/>
    </row>
    <row r="91" spans="1:14">
      <c r="A91" s="33">
        <v>45133.580898078704</v>
      </c>
      <c r="B91" s="32" t="s">
        <v>2214</v>
      </c>
      <c r="C91" s="32" t="s">
        <v>29</v>
      </c>
      <c r="D91" s="32" t="s">
        <v>2215</v>
      </c>
      <c r="E91" s="32">
        <v>6612721127</v>
      </c>
      <c r="F91" s="32" t="s">
        <v>1727</v>
      </c>
      <c r="G91" s="32" t="s">
        <v>1736</v>
      </c>
      <c r="H91" s="32" t="s">
        <v>2216</v>
      </c>
      <c r="I91" s="34" t="s">
        <v>2217</v>
      </c>
      <c r="J91" s="32" t="s">
        <v>2218</v>
      </c>
      <c r="L91" s="32" t="s">
        <v>1816</v>
      </c>
      <c r="M91" s="35" t="s">
        <v>2219</v>
      </c>
      <c r="N91" s="32"/>
    </row>
    <row r="92" spans="1:14">
      <c r="A92" s="33">
        <v>45133.580905069444</v>
      </c>
      <c r="B92" s="32" t="s">
        <v>2220</v>
      </c>
      <c r="C92" s="32" t="s">
        <v>22</v>
      </c>
      <c r="D92" s="32" t="s">
        <v>2221</v>
      </c>
      <c r="E92" s="32">
        <v>6410048242</v>
      </c>
      <c r="F92" s="32" t="s">
        <v>1735</v>
      </c>
      <c r="G92" s="32" t="s">
        <v>1763</v>
      </c>
      <c r="H92" s="32" t="s">
        <v>1832</v>
      </c>
      <c r="I92" s="34" t="s">
        <v>2222</v>
      </c>
      <c r="J92" s="32" t="s">
        <v>2223</v>
      </c>
      <c r="L92" s="32" t="s">
        <v>1816</v>
      </c>
      <c r="M92" s="35" t="s">
        <v>2224</v>
      </c>
      <c r="N92" s="32"/>
    </row>
    <row r="93" spans="1:14">
      <c r="A93" s="33">
        <v>45133.580909942131</v>
      </c>
      <c r="B93" s="32" t="s">
        <v>2225</v>
      </c>
      <c r="C93" s="32" t="s">
        <v>22</v>
      </c>
      <c r="D93" s="32" t="s">
        <v>2226</v>
      </c>
      <c r="E93" s="32">
        <v>6412269126</v>
      </c>
      <c r="F93" s="32" t="s">
        <v>1735</v>
      </c>
      <c r="G93" s="32" t="s">
        <v>1763</v>
      </c>
      <c r="H93" s="32" t="s">
        <v>1778</v>
      </c>
      <c r="I93" s="34" t="s">
        <v>2227</v>
      </c>
      <c r="J93" s="32" t="s">
        <v>2228</v>
      </c>
      <c r="L93" s="32" t="s">
        <v>2229</v>
      </c>
      <c r="M93" s="35" t="s">
        <v>2230</v>
      </c>
      <c r="N93" s="32"/>
    </row>
    <row r="94" spans="1:14">
      <c r="A94" s="33">
        <v>45133.580917106483</v>
      </c>
      <c r="B94" s="32" t="s">
        <v>2231</v>
      </c>
      <c r="C94" s="32" t="s">
        <v>22</v>
      </c>
      <c r="D94" s="32" t="s">
        <v>2232</v>
      </c>
      <c r="E94" s="32">
        <v>6410488103</v>
      </c>
      <c r="F94" s="32" t="s">
        <v>1735</v>
      </c>
      <c r="G94" s="32" t="s">
        <v>1736</v>
      </c>
      <c r="H94" s="32" t="s">
        <v>1737</v>
      </c>
      <c r="I94" s="34" t="s">
        <v>2233</v>
      </c>
      <c r="J94" s="32" t="s">
        <v>2234</v>
      </c>
      <c r="L94" s="32" t="s">
        <v>2235</v>
      </c>
      <c r="M94" s="35" t="s">
        <v>2236</v>
      </c>
      <c r="N94" s="32"/>
    </row>
    <row r="95" spans="1:14">
      <c r="A95" s="33">
        <v>45133.580929629628</v>
      </c>
      <c r="B95" s="32" t="s">
        <v>2237</v>
      </c>
      <c r="C95" s="32" t="s">
        <v>29</v>
      </c>
      <c r="D95" s="32" t="s">
        <v>2238</v>
      </c>
      <c r="E95" s="32">
        <v>6410633120</v>
      </c>
      <c r="F95" s="32" t="s">
        <v>1735</v>
      </c>
      <c r="G95" s="32" t="s">
        <v>1736</v>
      </c>
      <c r="H95" s="32" t="s">
        <v>1820</v>
      </c>
      <c r="I95" s="34" t="s">
        <v>2239</v>
      </c>
      <c r="J95" s="32" t="s">
        <v>2240</v>
      </c>
      <c r="L95" s="32" t="s">
        <v>1766</v>
      </c>
      <c r="M95" s="35" t="s">
        <v>2241</v>
      </c>
      <c r="N95" s="32"/>
    </row>
    <row r="96" spans="1:14">
      <c r="A96" s="33">
        <v>45133.580944675923</v>
      </c>
      <c r="B96" s="32" t="s">
        <v>2242</v>
      </c>
      <c r="C96" s="32" t="s">
        <v>22</v>
      </c>
      <c r="D96" s="32" t="s">
        <v>2243</v>
      </c>
      <c r="E96" s="32">
        <v>6410048104</v>
      </c>
      <c r="F96" s="32" t="s">
        <v>1735</v>
      </c>
      <c r="G96" s="32" t="s">
        <v>1763</v>
      </c>
      <c r="H96" s="32" t="s">
        <v>1832</v>
      </c>
      <c r="I96" s="34" t="s">
        <v>2244</v>
      </c>
      <c r="J96" s="32" t="s">
        <v>2245</v>
      </c>
      <c r="L96" s="32" t="s">
        <v>1816</v>
      </c>
      <c r="M96" s="35" t="s">
        <v>2246</v>
      </c>
      <c r="N96" s="32"/>
    </row>
    <row r="97" spans="1:14">
      <c r="A97" s="33">
        <v>45133.580966898153</v>
      </c>
      <c r="B97" s="32" t="s">
        <v>2247</v>
      </c>
      <c r="C97" s="32" t="s">
        <v>29</v>
      </c>
      <c r="D97" s="32" t="s">
        <v>2248</v>
      </c>
      <c r="E97" s="32">
        <v>6512247130</v>
      </c>
      <c r="F97" s="32" t="s">
        <v>1743</v>
      </c>
      <c r="G97" s="32" t="s">
        <v>1736</v>
      </c>
      <c r="H97" s="32" t="s">
        <v>2022</v>
      </c>
      <c r="I97" s="34" t="s">
        <v>2249</v>
      </c>
      <c r="J97" s="32" t="s">
        <v>2250</v>
      </c>
      <c r="L97" s="32" t="s">
        <v>2251</v>
      </c>
      <c r="M97" s="35" t="s">
        <v>2252</v>
      </c>
      <c r="N97" s="32"/>
    </row>
    <row r="98" spans="1:14">
      <c r="A98" s="33">
        <v>45133.580986041663</v>
      </c>
      <c r="B98" s="32" t="s">
        <v>2253</v>
      </c>
      <c r="C98" s="32" t="s">
        <v>22</v>
      </c>
      <c r="D98" s="32" t="s">
        <v>2254</v>
      </c>
      <c r="E98" s="32">
        <v>6410488206</v>
      </c>
      <c r="F98" s="32" t="s">
        <v>1735</v>
      </c>
      <c r="G98" s="32" t="s">
        <v>1736</v>
      </c>
      <c r="H98" s="32" t="s">
        <v>1737</v>
      </c>
      <c r="I98" s="34" t="s">
        <v>2255</v>
      </c>
      <c r="J98" s="32" t="s">
        <v>2256</v>
      </c>
      <c r="L98" s="32" t="s">
        <v>2257</v>
      </c>
      <c r="M98" s="35" t="s">
        <v>2258</v>
      </c>
      <c r="N98" s="32"/>
    </row>
    <row r="99" spans="1:14">
      <c r="A99" s="33">
        <v>45133.580994143515</v>
      </c>
      <c r="B99" s="32" t="s">
        <v>2259</v>
      </c>
      <c r="C99" s="32" t="s">
        <v>22</v>
      </c>
      <c r="D99" s="32" t="s">
        <v>2260</v>
      </c>
      <c r="E99" s="32">
        <v>6410073106</v>
      </c>
      <c r="F99" s="32" t="s">
        <v>1735</v>
      </c>
      <c r="G99" s="32" t="s">
        <v>1763</v>
      </c>
      <c r="H99" s="32" t="s">
        <v>1790</v>
      </c>
      <c r="I99" s="34" t="s">
        <v>2261</v>
      </c>
      <c r="J99" s="32" t="s">
        <v>2262</v>
      </c>
      <c r="M99" s="35" t="s">
        <v>2263</v>
      </c>
      <c r="N99" s="32"/>
    </row>
    <row r="100" spans="1:14">
      <c r="A100" s="33">
        <v>45133.580996111108</v>
      </c>
      <c r="B100" s="32" t="s">
        <v>2264</v>
      </c>
      <c r="C100" s="32" t="s">
        <v>29</v>
      </c>
      <c r="D100" s="32" t="s">
        <v>2265</v>
      </c>
      <c r="E100" s="32">
        <v>6310633215</v>
      </c>
      <c r="F100" s="32" t="s">
        <v>1770</v>
      </c>
      <c r="G100" s="32" t="s">
        <v>1736</v>
      </c>
      <c r="H100" s="32" t="s">
        <v>1820</v>
      </c>
      <c r="I100" s="34" t="s">
        <v>2266</v>
      </c>
      <c r="J100" s="32" t="s">
        <v>2267</v>
      </c>
      <c r="L100" s="32" t="s">
        <v>2268</v>
      </c>
      <c r="M100" s="35" t="s">
        <v>2269</v>
      </c>
      <c r="N100" s="32"/>
    </row>
    <row r="101" spans="1:14">
      <c r="A101" s="33">
        <v>45133.581007280096</v>
      </c>
      <c r="B101" s="32" t="s">
        <v>2270</v>
      </c>
      <c r="C101" s="32" t="s">
        <v>29</v>
      </c>
      <c r="D101" s="32" t="s">
        <v>2271</v>
      </c>
      <c r="E101" s="32">
        <v>6610488220</v>
      </c>
      <c r="F101" s="32" t="s">
        <v>1727</v>
      </c>
      <c r="G101" s="32" t="s">
        <v>1736</v>
      </c>
      <c r="H101" s="32" t="s">
        <v>1750</v>
      </c>
      <c r="I101" s="34" t="s">
        <v>2272</v>
      </c>
      <c r="J101" s="32" t="s">
        <v>2273</v>
      </c>
      <c r="L101" s="32" t="s">
        <v>1816</v>
      </c>
      <c r="M101" s="35" t="s">
        <v>2274</v>
      </c>
      <c r="N101" s="32"/>
    </row>
    <row r="102" spans="1:14">
      <c r="A102" s="33">
        <v>45133.581016111115</v>
      </c>
      <c r="B102" s="32" t="s">
        <v>2275</v>
      </c>
      <c r="C102" s="32" t="s">
        <v>29</v>
      </c>
      <c r="D102" s="32" t="s">
        <v>2276</v>
      </c>
      <c r="E102" s="32">
        <v>6610392226</v>
      </c>
      <c r="F102" s="32" t="s">
        <v>1727</v>
      </c>
      <c r="G102" s="32" t="s">
        <v>1736</v>
      </c>
      <c r="H102" s="32" t="s">
        <v>1797</v>
      </c>
      <c r="I102" s="34" t="s">
        <v>2277</v>
      </c>
      <c r="J102" s="32" t="s">
        <v>2278</v>
      </c>
      <c r="L102" s="32" t="s">
        <v>1759</v>
      </c>
      <c r="M102" s="35" t="s">
        <v>2279</v>
      </c>
      <c r="N102" s="32"/>
    </row>
    <row r="103" spans="1:14">
      <c r="A103" s="33">
        <v>45133.581018680554</v>
      </c>
      <c r="B103" s="32" t="s">
        <v>2280</v>
      </c>
      <c r="C103" s="32" t="s">
        <v>29</v>
      </c>
      <c r="D103" s="32" t="s">
        <v>2281</v>
      </c>
      <c r="E103" s="32">
        <v>6310403317</v>
      </c>
      <c r="F103" s="32" t="s">
        <v>1770</v>
      </c>
      <c r="G103" s="32" t="s">
        <v>1728</v>
      </c>
      <c r="H103" s="32" t="s">
        <v>1756</v>
      </c>
      <c r="I103" s="34" t="s">
        <v>2282</v>
      </c>
      <c r="J103" s="32" t="s">
        <v>2283</v>
      </c>
      <c r="M103" s="35" t="s">
        <v>2284</v>
      </c>
      <c r="N103" s="32"/>
    </row>
    <row r="104" spans="1:14">
      <c r="A104" s="33">
        <v>45133.581020833335</v>
      </c>
      <c r="B104" s="32" t="s">
        <v>2285</v>
      </c>
      <c r="C104" s="32" t="s">
        <v>29</v>
      </c>
      <c r="D104" s="32" t="s">
        <v>2286</v>
      </c>
      <c r="E104" s="32">
        <v>6315964118</v>
      </c>
      <c r="F104" s="32" t="s">
        <v>1770</v>
      </c>
      <c r="G104" s="32" t="s">
        <v>1763</v>
      </c>
      <c r="H104" s="32" t="s">
        <v>1988</v>
      </c>
      <c r="I104" s="34" t="s">
        <v>2287</v>
      </c>
      <c r="J104" s="32" t="s">
        <v>2288</v>
      </c>
      <c r="M104" s="35" t="s">
        <v>2289</v>
      </c>
      <c r="N104" s="32"/>
    </row>
    <row r="105" spans="1:14">
      <c r="A105" s="33">
        <v>45133.581025532403</v>
      </c>
      <c r="B105" s="32" t="s">
        <v>2290</v>
      </c>
      <c r="C105" s="32" t="s">
        <v>29</v>
      </c>
      <c r="D105" s="32" t="s">
        <v>2291</v>
      </c>
      <c r="E105" s="32">
        <v>6610488214</v>
      </c>
      <c r="F105" s="32" t="s">
        <v>1727</v>
      </c>
      <c r="G105" s="32" t="s">
        <v>1736</v>
      </c>
      <c r="H105" s="32" t="s">
        <v>2292</v>
      </c>
      <c r="I105" s="34" t="s">
        <v>2293</v>
      </c>
      <c r="J105" s="32" t="s">
        <v>2294</v>
      </c>
      <c r="L105" s="32" t="s">
        <v>1816</v>
      </c>
      <c r="M105" s="35" t="s">
        <v>2295</v>
      </c>
      <c r="N105" s="32"/>
    </row>
    <row r="106" spans="1:14">
      <c r="A106" s="33">
        <v>45133.581037743061</v>
      </c>
      <c r="B106" s="32" t="s">
        <v>2296</v>
      </c>
      <c r="C106" s="32" t="s">
        <v>22</v>
      </c>
      <c r="D106" s="32" t="s">
        <v>2297</v>
      </c>
      <c r="E106" s="32">
        <v>6310633110</v>
      </c>
      <c r="F106" s="32" t="s">
        <v>1770</v>
      </c>
      <c r="G106" s="32" t="s">
        <v>1736</v>
      </c>
      <c r="H106" s="32" t="s">
        <v>1820</v>
      </c>
      <c r="I106" s="34" t="s">
        <v>2298</v>
      </c>
      <c r="J106" s="32" t="s">
        <v>2297</v>
      </c>
      <c r="M106" s="35" t="s">
        <v>2299</v>
      </c>
      <c r="N106" s="32"/>
    </row>
    <row r="107" spans="1:14">
      <c r="A107" s="33">
        <v>45133.581040567129</v>
      </c>
      <c r="B107" s="32" t="s">
        <v>2300</v>
      </c>
      <c r="C107" s="32" t="s">
        <v>29</v>
      </c>
      <c r="D107" s="32" t="s">
        <v>2301</v>
      </c>
      <c r="E107" s="32">
        <v>6410414213</v>
      </c>
      <c r="F107" s="32" t="s">
        <v>1735</v>
      </c>
      <c r="G107" s="32" t="s">
        <v>1736</v>
      </c>
      <c r="H107" s="32" t="s">
        <v>2302</v>
      </c>
      <c r="I107" s="34" t="s">
        <v>2303</v>
      </c>
      <c r="J107" s="32" t="s">
        <v>2304</v>
      </c>
      <c r="L107" s="32" t="s">
        <v>1816</v>
      </c>
      <c r="M107" s="35" t="s">
        <v>2305</v>
      </c>
      <c r="N107" s="32"/>
    </row>
    <row r="108" spans="1:14">
      <c r="A108" s="33">
        <v>45133.581047581014</v>
      </c>
      <c r="B108" s="32" t="s">
        <v>2306</v>
      </c>
      <c r="C108" s="32" t="s">
        <v>29</v>
      </c>
      <c r="D108" s="32" t="s">
        <v>2307</v>
      </c>
      <c r="E108" s="32">
        <v>6411506131</v>
      </c>
      <c r="F108" s="32" t="s">
        <v>1735</v>
      </c>
      <c r="G108" s="32" t="s">
        <v>1763</v>
      </c>
      <c r="H108" s="32" t="s">
        <v>2210</v>
      </c>
      <c r="I108" s="34" t="s">
        <v>2308</v>
      </c>
      <c r="J108" s="32" t="s">
        <v>2307</v>
      </c>
      <c r="M108" s="35" t="s">
        <v>2309</v>
      </c>
      <c r="N108" s="32"/>
    </row>
    <row r="109" spans="1:14">
      <c r="A109" s="33">
        <v>45133.581055347226</v>
      </c>
      <c r="B109" s="32" t="s">
        <v>2310</v>
      </c>
      <c r="C109" s="32" t="s">
        <v>29</v>
      </c>
      <c r="D109" s="32" t="s">
        <v>2311</v>
      </c>
      <c r="E109" s="32">
        <v>6512798107</v>
      </c>
      <c r="F109" s="32" t="s">
        <v>1743</v>
      </c>
      <c r="G109" s="32" t="s">
        <v>1845</v>
      </c>
      <c r="H109" s="32" t="s">
        <v>1869</v>
      </c>
      <c r="I109" s="34" t="s">
        <v>2312</v>
      </c>
      <c r="J109" s="32" t="s">
        <v>2313</v>
      </c>
      <c r="M109" s="35" t="s">
        <v>2314</v>
      </c>
      <c r="N109" s="32"/>
    </row>
    <row r="110" spans="1:14">
      <c r="A110" s="33">
        <v>45133.581057951393</v>
      </c>
      <c r="B110" s="32" t="s">
        <v>2315</v>
      </c>
      <c r="C110" s="32" t="s">
        <v>29</v>
      </c>
      <c r="D110" s="32" t="s">
        <v>2316</v>
      </c>
      <c r="E110" s="32">
        <v>6410633223</v>
      </c>
      <c r="F110" s="32" t="s">
        <v>1735</v>
      </c>
      <c r="G110" s="32" t="s">
        <v>1736</v>
      </c>
      <c r="H110" s="32" t="s">
        <v>1820</v>
      </c>
      <c r="I110" s="34" t="s">
        <v>2317</v>
      </c>
      <c r="J110" s="32" t="s">
        <v>2318</v>
      </c>
      <c r="M110" s="35" t="s">
        <v>2319</v>
      </c>
      <c r="N110" s="32"/>
    </row>
    <row r="111" spans="1:14">
      <c r="A111" s="33">
        <v>45133.581066041668</v>
      </c>
      <c r="B111" s="32" t="s">
        <v>2320</v>
      </c>
      <c r="C111" s="32" t="s">
        <v>29</v>
      </c>
      <c r="D111" s="32" t="s">
        <v>2321</v>
      </c>
      <c r="E111" s="32">
        <v>6510633230</v>
      </c>
      <c r="F111" s="32" t="s">
        <v>1743</v>
      </c>
      <c r="G111" s="32" t="s">
        <v>1736</v>
      </c>
      <c r="H111" s="32" t="s">
        <v>1820</v>
      </c>
      <c r="I111" s="34" t="s">
        <v>2322</v>
      </c>
      <c r="J111" s="32" t="s">
        <v>2321</v>
      </c>
      <c r="L111" s="32" t="s">
        <v>1766</v>
      </c>
      <c r="M111" s="35" t="s">
        <v>2323</v>
      </c>
      <c r="N111" s="32"/>
    </row>
    <row r="112" spans="1:14">
      <c r="A112" s="33">
        <v>45133.581077511575</v>
      </c>
      <c r="B112" s="32" t="s">
        <v>2324</v>
      </c>
      <c r="C112" s="32" t="s">
        <v>22</v>
      </c>
      <c r="D112" s="32" t="s">
        <v>2325</v>
      </c>
      <c r="E112" s="32">
        <v>6410083101</v>
      </c>
      <c r="F112" s="32" t="s">
        <v>1735</v>
      </c>
      <c r="G112" s="32" t="s">
        <v>1845</v>
      </c>
      <c r="H112" s="32" t="s">
        <v>2326</v>
      </c>
      <c r="I112" s="34" t="s">
        <v>2327</v>
      </c>
      <c r="J112" s="32" t="s">
        <v>2328</v>
      </c>
      <c r="M112" s="35" t="s">
        <v>2329</v>
      </c>
      <c r="N112" s="32"/>
    </row>
    <row r="113" spans="1:14">
      <c r="A113" s="33">
        <v>45133.581081284719</v>
      </c>
      <c r="B113" s="32" t="s">
        <v>2330</v>
      </c>
      <c r="C113" s="32" t="s">
        <v>29</v>
      </c>
      <c r="D113" s="32" t="s">
        <v>2331</v>
      </c>
      <c r="E113" s="32">
        <v>6519633216</v>
      </c>
      <c r="F113" s="32" t="s">
        <v>1743</v>
      </c>
      <c r="G113" s="32" t="s">
        <v>1736</v>
      </c>
      <c r="H113" s="32" t="s">
        <v>1820</v>
      </c>
      <c r="I113" s="34" t="s">
        <v>2332</v>
      </c>
      <c r="J113" s="32" t="s">
        <v>2333</v>
      </c>
      <c r="L113" s="32" t="s">
        <v>2334</v>
      </c>
      <c r="M113" s="35" t="s">
        <v>2335</v>
      </c>
      <c r="N113" s="32"/>
    </row>
    <row r="114" spans="1:14">
      <c r="A114" s="33">
        <v>45133.581090624997</v>
      </c>
      <c r="B114" s="32" t="s">
        <v>2336</v>
      </c>
      <c r="C114" s="32" t="s">
        <v>29</v>
      </c>
      <c r="D114" s="32" t="s">
        <v>2337</v>
      </c>
      <c r="E114" s="32">
        <v>6310403326</v>
      </c>
      <c r="F114" s="32" t="s">
        <v>1770</v>
      </c>
      <c r="G114" s="32" t="s">
        <v>1728</v>
      </c>
      <c r="H114" s="32" t="s">
        <v>1756</v>
      </c>
      <c r="I114" s="34" t="s">
        <v>2338</v>
      </c>
      <c r="J114" s="32" t="s">
        <v>2339</v>
      </c>
      <c r="L114" s="32" t="s">
        <v>2340</v>
      </c>
      <c r="M114" s="35" t="s">
        <v>2341</v>
      </c>
      <c r="N114" s="32"/>
    </row>
    <row r="115" spans="1:14">
      <c r="A115" s="33">
        <v>45133.581091597225</v>
      </c>
      <c r="B115" s="32" t="s">
        <v>2342</v>
      </c>
      <c r="C115" s="32" t="s">
        <v>29</v>
      </c>
      <c r="D115" s="32" t="s">
        <v>2343</v>
      </c>
      <c r="E115" s="32">
        <v>6610633118</v>
      </c>
      <c r="F115" s="32" t="s">
        <v>1727</v>
      </c>
      <c r="G115" s="32" t="s">
        <v>1736</v>
      </c>
      <c r="H115" s="32" t="s">
        <v>1820</v>
      </c>
      <c r="I115" s="34" t="s">
        <v>2344</v>
      </c>
      <c r="J115" s="32" t="s">
        <v>2345</v>
      </c>
      <c r="L115" s="32" t="s">
        <v>2251</v>
      </c>
      <c r="M115" s="35" t="s">
        <v>2346</v>
      </c>
      <c r="N115" s="32"/>
    </row>
    <row r="116" spans="1:14">
      <c r="A116" s="33">
        <v>45133.581094513887</v>
      </c>
      <c r="B116" s="32" t="s">
        <v>2347</v>
      </c>
      <c r="C116" s="32" t="s">
        <v>29</v>
      </c>
      <c r="D116" s="32" t="s">
        <v>2348</v>
      </c>
      <c r="E116" s="32">
        <v>6410488224</v>
      </c>
      <c r="F116" s="32" t="s">
        <v>1735</v>
      </c>
      <c r="G116" s="32" t="s">
        <v>1736</v>
      </c>
      <c r="H116" s="32" t="s">
        <v>1737</v>
      </c>
      <c r="I116" s="34" t="s">
        <v>2349</v>
      </c>
      <c r="J116" s="32" t="s">
        <v>2350</v>
      </c>
      <c r="L116" s="32" t="s">
        <v>1816</v>
      </c>
      <c r="M116" s="35" t="s">
        <v>2351</v>
      </c>
      <c r="N116" s="32"/>
    </row>
    <row r="117" spans="1:14">
      <c r="A117" s="33">
        <v>45133.581096666661</v>
      </c>
      <c r="B117" s="32" t="s">
        <v>2352</v>
      </c>
      <c r="C117" s="32" t="s">
        <v>22</v>
      </c>
      <c r="D117" s="32" t="s">
        <v>2353</v>
      </c>
      <c r="E117" s="32">
        <v>6410048207</v>
      </c>
      <c r="F117" s="32" t="s">
        <v>1735</v>
      </c>
      <c r="G117" s="32" t="s">
        <v>1763</v>
      </c>
      <c r="H117" s="32" t="s">
        <v>1832</v>
      </c>
      <c r="I117" s="34" t="s">
        <v>2354</v>
      </c>
      <c r="J117" s="32" t="s">
        <v>2355</v>
      </c>
      <c r="M117" s="35" t="s">
        <v>2356</v>
      </c>
      <c r="N117" s="32"/>
    </row>
    <row r="118" spans="1:14">
      <c r="A118" s="33">
        <v>45133.581100740739</v>
      </c>
      <c r="B118" s="32" t="s">
        <v>2357</v>
      </c>
      <c r="C118" s="32" t="s">
        <v>29</v>
      </c>
      <c r="D118" s="32" t="s">
        <v>2358</v>
      </c>
      <c r="E118" s="32">
        <v>6410633229</v>
      </c>
      <c r="F118" s="32" t="s">
        <v>1735</v>
      </c>
      <c r="G118" s="32" t="s">
        <v>1736</v>
      </c>
      <c r="H118" s="32" t="s">
        <v>1820</v>
      </c>
      <c r="I118" s="34" t="s">
        <v>2359</v>
      </c>
      <c r="J118" s="32" t="s">
        <v>2360</v>
      </c>
      <c r="M118" s="35" t="s">
        <v>2361</v>
      </c>
      <c r="N118" s="32"/>
    </row>
    <row r="119" spans="1:14">
      <c r="A119" s="33">
        <v>45133.581103009259</v>
      </c>
      <c r="B119" s="32" t="s">
        <v>2362</v>
      </c>
      <c r="C119" s="32" t="s">
        <v>29</v>
      </c>
      <c r="D119" s="32" t="s">
        <v>2363</v>
      </c>
      <c r="E119" s="32">
        <v>6310633131</v>
      </c>
      <c r="F119" s="32" t="s">
        <v>1770</v>
      </c>
      <c r="G119" s="32" t="s">
        <v>1736</v>
      </c>
      <c r="H119" s="32" t="s">
        <v>1820</v>
      </c>
      <c r="I119" s="34" t="s">
        <v>2364</v>
      </c>
      <c r="J119" s="32" t="s">
        <v>2363</v>
      </c>
      <c r="M119" s="35" t="s">
        <v>2365</v>
      </c>
      <c r="N119" s="32"/>
    </row>
    <row r="120" spans="1:14">
      <c r="A120" s="33">
        <v>45133.581107013888</v>
      </c>
      <c r="B120" s="32" t="s">
        <v>2366</v>
      </c>
      <c r="C120" s="32" t="s">
        <v>29</v>
      </c>
      <c r="D120" s="32" t="s">
        <v>2367</v>
      </c>
      <c r="E120" s="32">
        <v>6512798114</v>
      </c>
      <c r="F120" s="32" t="s">
        <v>1743</v>
      </c>
      <c r="G120" s="32" t="s">
        <v>1845</v>
      </c>
      <c r="H120" s="32" t="s">
        <v>1869</v>
      </c>
      <c r="I120" s="34" t="s">
        <v>2368</v>
      </c>
      <c r="J120" s="32" t="s">
        <v>2369</v>
      </c>
      <c r="L120" s="32" t="s">
        <v>1816</v>
      </c>
      <c r="M120" s="35" t="s">
        <v>2370</v>
      </c>
      <c r="N120" s="32"/>
    </row>
    <row r="121" spans="1:14">
      <c r="A121" s="33">
        <v>45133.581108344908</v>
      </c>
      <c r="B121" s="32" t="s">
        <v>2371</v>
      </c>
      <c r="C121" s="32" t="s">
        <v>29</v>
      </c>
      <c r="D121" s="32" t="s">
        <v>2372</v>
      </c>
      <c r="E121" s="32">
        <v>6510633117</v>
      </c>
      <c r="F121" s="32" t="s">
        <v>1743</v>
      </c>
      <c r="G121" s="32" t="s">
        <v>1736</v>
      </c>
      <c r="H121" s="32" t="s">
        <v>1820</v>
      </c>
      <c r="I121" s="34" t="s">
        <v>2373</v>
      </c>
      <c r="J121" s="32" t="s">
        <v>2374</v>
      </c>
      <c r="M121" s="35" t="s">
        <v>2375</v>
      </c>
      <c r="N121" s="32"/>
    </row>
    <row r="122" spans="1:14">
      <c r="A122" s="33">
        <v>45133.581114930552</v>
      </c>
      <c r="B122" s="32" t="s">
        <v>2376</v>
      </c>
      <c r="C122" s="32" t="s">
        <v>22</v>
      </c>
      <c r="D122" s="32" t="s">
        <v>2377</v>
      </c>
      <c r="E122" s="32">
        <v>6512743109</v>
      </c>
      <c r="F122" s="32" t="s">
        <v>1743</v>
      </c>
      <c r="G122" s="32" t="s">
        <v>1845</v>
      </c>
      <c r="H122" s="32" t="s">
        <v>2378</v>
      </c>
      <c r="I122" s="34" t="s">
        <v>2379</v>
      </c>
      <c r="J122" s="32" t="s">
        <v>2380</v>
      </c>
      <c r="M122" s="35" t="s">
        <v>2381</v>
      </c>
      <c r="N122" s="32"/>
    </row>
    <row r="123" spans="1:14">
      <c r="A123" s="33">
        <v>45133.581115185181</v>
      </c>
      <c r="B123" s="32" t="s">
        <v>2382</v>
      </c>
      <c r="C123" s="32" t="s">
        <v>22</v>
      </c>
      <c r="D123" s="32" t="s">
        <v>2383</v>
      </c>
      <c r="E123" s="32">
        <v>6610633203</v>
      </c>
      <c r="F123" s="32" t="s">
        <v>1727</v>
      </c>
      <c r="G123" s="32" t="s">
        <v>1736</v>
      </c>
      <c r="H123" s="32" t="s">
        <v>1820</v>
      </c>
      <c r="I123" s="34" t="s">
        <v>2384</v>
      </c>
      <c r="J123" s="32" t="s">
        <v>2385</v>
      </c>
      <c r="M123" s="35" t="s">
        <v>2386</v>
      </c>
      <c r="N123" s="32"/>
    </row>
    <row r="124" spans="1:14">
      <c r="A124" s="33">
        <v>45133.581122083335</v>
      </c>
      <c r="B124" s="32" t="s">
        <v>2387</v>
      </c>
      <c r="C124" s="32" t="s">
        <v>29</v>
      </c>
      <c r="D124" s="32" t="s">
        <v>2388</v>
      </c>
      <c r="E124" s="32">
        <v>6415964119</v>
      </c>
      <c r="F124" s="32" t="s">
        <v>1735</v>
      </c>
      <c r="G124" s="32" t="s">
        <v>1763</v>
      </c>
      <c r="H124" s="32" t="s">
        <v>1988</v>
      </c>
      <c r="I124" s="34" t="s">
        <v>2389</v>
      </c>
      <c r="J124" s="32" t="s">
        <v>2390</v>
      </c>
      <c r="M124" s="35" t="s">
        <v>2391</v>
      </c>
      <c r="N124" s="32"/>
    </row>
    <row r="125" spans="1:14">
      <c r="A125" s="33">
        <v>45133.581127777783</v>
      </c>
      <c r="B125" s="32" t="s">
        <v>2392</v>
      </c>
      <c r="C125" s="32" t="s">
        <v>29</v>
      </c>
      <c r="D125" s="32" t="s">
        <v>2393</v>
      </c>
      <c r="E125" s="32">
        <v>6410403105</v>
      </c>
      <c r="F125" s="32" t="s">
        <v>1735</v>
      </c>
      <c r="G125" s="32" t="s">
        <v>1728</v>
      </c>
      <c r="H125" s="32" t="s">
        <v>1756</v>
      </c>
      <c r="I125" s="34" t="s">
        <v>2394</v>
      </c>
      <c r="J125" s="32" t="s">
        <v>2395</v>
      </c>
      <c r="M125" s="35" t="s">
        <v>2396</v>
      </c>
      <c r="N125" s="32"/>
    </row>
    <row r="126" spans="1:14">
      <c r="A126" s="33">
        <v>45133.581128217593</v>
      </c>
      <c r="B126" s="32" t="s">
        <v>2397</v>
      </c>
      <c r="C126" s="32" t="s">
        <v>29</v>
      </c>
      <c r="D126" s="32" t="s">
        <v>2398</v>
      </c>
      <c r="E126" s="32">
        <v>6610488127</v>
      </c>
      <c r="F126" s="32" t="s">
        <v>1727</v>
      </c>
      <c r="G126" s="32" t="s">
        <v>1736</v>
      </c>
      <c r="H126" s="32" t="s">
        <v>1737</v>
      </c>
      <c r="I126" s="34" t="s">
        <v>2399</v>
      </c>
      <c r="J126" s="32" t="s">
        <v>2400</v>
      </c>
      <c r="L126" s="32" t="s">
        <v>2251</v>
      </c>
      <c r="M126" s="35" t="s">
        <v>2401</v>
      </c>
      <c r="N126" s="32"/>
    </row>
    <row r="127" spans="1:14">
      <c r="A127" s="33">
        <v>45133.581137650464</v>
      </c>
      <c r="B127" s="32" t="s">
        <v>2402</v>
      </c>
      <c r="C127" s="32" t="s">
        <v>22</v>
      </c>
      <c r="D127" s="32" t="s">
        <v>2403</v>
      </c>
      <c r="E127" s="32">
        <v>6412743207</v>
      </c>
      <c r="F127" s="32" t="s">
        <v>1735</v>
      </c>
      <c r="G127" s="32" t="s">
        <v>1845</v>
      </c>
      <c r="H127" s="32" t="s">
        <v>1846</v>
      </c>
      <c r="I127" s="34" t="s">
        <v>2404</v>
      </c>
      <c r="J127" s="32" t="s">
        <v>2405</v>
      </c>
      <c r="L127" s="32" t="s">
        <v>2406</v>
      </c>
      <c r="M127" s="35" t="s">
        <v>2407</v>
      </c>
      <c r="N127" s="32"/>
    </row>
    <row r="128" spans="1:14">
      <c r="A128" s="33">
        <v>45133.581151261576</v>
      </c>
      <c r="B128" s="32" t="s">
        <v>2408</v>
      </c>
      <c r="C128" s="32" t="s">
        <v>22</v>
      </c>
      <c r="D128" s="32" t="s">
        <v>2409</v>
      </c>
      <c r="E128" s="32">
        <v>6610414201</v>
      </c>
      <c r="F128" s="32" t="s">
        <v>1727</v>
      </c>
      <c r="G128" s="32" t="s">
        <v>1736</v>
      </c>
      <c r="H128" s="32" t="s">
        <v>2410</v>
      </c>
      <c r="I128" s="34" t="s">
        <v>2411</v>
      </c>
      <c r="J128" s="32" t="s">
        <v>2412</v>
      </c>
      <c r="L128" s="32" t="s">
        <v>2412</v>
      </c>
      <c r="M128" s="35" t="s">
        <v>2413</v>
      </c>
      <c r="N128" s="32"/>
    </row>
    <row r="129" spans="1:14">
      <c r="A129" s="33">
        <v>45133.581172939812</v>
      </c>
      <c r="B129" s="32" t="s">
        <v>2414</v>
      </c>
      <c r="C129" s="32" t="s">
        <v>29</v>
      </c>
      <c r="D129" s="32" t="s">
        <v>2415</v>
      </c>
      <c r="E129" s="32">
        <v>6310633126</v>
      </c>
      <c r="F129" s="32" t="s">
        <v>1770</v>
      </c>
      <c r="G129" s="32" t="s">
        <v>1736</v>
      </c>
      <c r="H129" s="32" t="s">
        <v>1820</v>
      </c>
      <c r="I129" s="34" t="s">
        <v>2416</v>
      </c>
      <c r="J129" s="32" t="s">
        <v>2417</v>
      </c>
      <c r="M129" s="35" t="s">
        <v>2418</v>
      </c>
      <c r="N129" s="32"/>
    </row>
    <row r="130" spans="1:14">
      <c r="A130" s="33">
        <v>45133.581186886571</v>
      </c>
      <c r="B130" s="32" t="s">
        <v>2419</v>
      </c>
      <c r="C130" s="32" t="s">
        <v>29</v>
      </c>
      <c r="D130" s="32" t="s">
        <v>2420</v>
      </c>
      <c r="E130" s="32">
        <v>6310633223</v>
      </c>
      <c r="F130" s="32" t="s">
        <v>1770</v>
      </c>
      <c r="G130" s="32" t="s">
        <v>1736</v>
      </c>
      <c r="H130" s="32" t="s">
        <v>1820</v>
      </c>
      <c r="I130" s="34" t="s">
        <v>2421</v>
      </c>
      <c r="J130" s="32" t="s">
        <v>2422</v>
      </c>
      <c r="L130" s="32" t="s">
        <v>2423</v>
      </c>
      <c r="M130" s="35" t="s">
        <v>2424</v>
      </c>
      <c r="N130" s="32"/>
    </row>
    <row r="131" spans="1:14">
      <c r="A131" s="33">
        <v>45133.581194548606</v>
      </c>
      <c r="B131" s="32" t="s">
        <v>2425</v>
      </c>
      <c r="C131" s="32" t="s">
        <v>29</v>
      </c>
      <c r="D131" s="32" t="s">
        <v>2426</v>
      </c>
      <c r="E131" s="32">
        <v>6510014115</v>
      </c>
      <c r="F131" s="32" t="s">
        <v>1743</v>
      </c>
      <c r="G131" s="32" t="s">
        <v>1763</v>
      </c>
      <c r="H131" s="32" t="s">
        <v>2427</v>
      </c>
      <c r="I131" s="34" t="s">
        <v>2428</v>
      </c>
      <c r="J131" s="32" t="s">
        <v>2429</v>
      </c>
      <c r="M131" s="35" t="s">
        <v>2430</v>
      </c>
      <c r="N131" s="32"/>
    </row>
    <row r="132" spans="1:14">
      <c r="A132" s="33">
        <v>45133.581195486113</v>
      </c>
      <c r="B132" s="32" t="s">
        <v>2431</v>
      </c>
      <c r="C132" s="32" t="s">
        <v>29</v>
      </c>
      <c r="D132" s="32" t="s">
        <v>2432</v>
      </c>
      <c r="E132" s="32">
        <v>6310633229</v>
      </c>
      <c r="F132" s="32" t="s">
        <v>1770</v>
      </c>
      <c r="G132" s="32" t="s">
        <v>1736</v>
      </c>
      <c r="H132" s="32" t="s">
        <v>1820</v>
      </c>
      <c r="I132" s="34" t="s">
        <v>2433</v>
      </c>
      <c r="J132" s="32" t="s">
        <v>2434</v>
      </c>
      <c r="L132" s="32" t="s">
        <v>2435</v>
      </c>
      <c r="M132" s="35" t="s">
        <v>2436</v>
      </c>
      <c r="N132" s="32"/>
    </row>
    <row r="133" spans="1:14">
      <c r="A133" s="33">
        <v>45133.581198356478</v>
      </c>
      <c r="B133" s="32" t="s">
        <v>2437</v>
      </c>
      <c r="C133" s="32" t="s">
        <v>29</v>
      </c>
      <c r="D133" s="32" t="s">
        <v>2438</v>
      </c>
      <c r="E133" s="32">
        <v>6410488125</v>
      </c>
      <c r="F133" s="32" t="s">
        <v>1735</v>
      </c>
      <c r="G133" s="32" t="s">
        <v>1736</v>
      </c>
      <c r="H133" s="32" t="s">
        <v>1750</v>
      </c>
      <c r="I133" s="34" t="s">
        <v>2439</v>
      </c>
      <c r="J133" s="32" t="s">
        <v>2440</v>
      </c>
      <c r="M133" s="35" t="s">
        <v>2441</v>
      </c>
      <c r="N133" s="32"/>
    </row>
    <row r="134" spans="1:14">
      <c r="A134" s="33">
        <v>45133.581195636572</v>
      </c>
      <c r="B134" s="32" t="s">
        <v>2442</v>
      </c>
      <c r="C134" s="32" t="s">
        <v>29</v>
      </c>
      <c r="D134" s="32" t="s">
        <v>2443</v>
      </c>
      <c r="E134" s="32">
        <v>6410073115</v>
      </c>
      <c r="F134" s="32" t="s">
        <v>1735</v>
      </c>
      <c r="G134" s="32" t="s">
        <v>1763</v>
      </c>
      <c r="H134" s="32" t="s">
        <v>2444</v>
      </c>
      <c r="I134" s="34" t="s">
        <v>2445</v>
      </c>
      <c r="J134" s="32" t="s">
        <v>2446</v>
      </c>
      <c r="L134" s="32" t="s">
        <v>1816</v>
      </c>
      <c r="M134" s="35" t="s">
        <v>2447</v>
      </c>
      <c r="N134" s="32"/>
    </row>
    <row r="135" spans="1:14">
      <c r="A135" s="33">
        <v>45133.581203900467</v>
      </c>
      <c r="B135" s="32" t="s">
        <v>2448</v>
      </c>
      <c r="C135" s="32" t="s">
        <v>29</v>
      </c>
      <c r="D135" s="32" t="s">
        <v>2449</v>
      </c>
      <c r="E135" s="32">
        <v>6410083111</v>
      </c>
      <c r="F135" s="32" t="s">
        <v>1735</v>
      </c>
      <c r="G135" s="32" t="s">
        <v>1845</v>
      </c>
      <c r="H135" s="32" t="s">
        <v>2450</v>
      </c>
      <c r="I135" s="34" t="s">
        <v>2451</v>
      </c>
      <c r="J135" s="32" t="s">
        <v>2452</v>
      </c>
      <c r="M135" s="35" t="s">
        <v>2453</v>
      </c>
      <c r="N135" s="32"/>
    </row>
    <row r="136" spans="1:14">
      <c r="A136" s="33">
        <v>45133.581213958329</v>
      </c>
      <c r="B136" s="32" t="s">
        <v>2454</v>
      </c>
      <c r="C136" s="32" t="s">
        <v>29</v>
      </c>
      <c r="D136" s="32" t="s">
        <v>2455</v>
      </c>
      <c r="E136" s="32">
        <v>6412743246</v>
      </c>
      <c r="F136" s="32" t="s">
        <v>1735</v>
      </c>
      <c r="G136" s="32" t="s">
        <v>1845</v>
      </c>
      <c r="H136" s="32" t="s">
        <v>1846</v>
      </c>
      <c r="I136" s="34" t="s">
        <v>2456</v>
      </c>
      <c r="J136" s="32" t="s">
        <v>2457</v>
      </c>
      <c r="M136" s="35" t="s">
        <v>2458</v>
      </c>
      <c r="N136" s="32"/>
    </row>
    <row r="137" spans="1:14">
      <c r="A137" s="33">
        <v>45133.581215081023</v>
      </c>
      <c r="B137" s="32" t="s">
        <v>2459</v>
      </c>
      <c r="C137" s="32" t="s">
        <v>22</v>
      </c>
      <c r="D137" s="32" t="s">
        <v>2460</v>
      </c>
      <c r="E137" s="32">
        <v>6310392108</v>
      </c>
      <c r="F137" s="32" t="s">
        <v>1770</v>
      </c>
      <c r="G137" s="32" t="s">
        <v>1736</v>
      </c>
      <c r="H137" s="32" t="s">
        <v>2461</v>
      </c>
      <c r="I137" s="34" t="s">
        <v>2462</v>
      </c>
      <c r="J137" s="32" t="s">
        <v>2463</v>
      </c>
      <c r="M137" s="35" t="s">
        <v>2464</v>
      </c>
      <c r="N137" s="32"/>
    </row>
    <row r="138" spans="1:14">
      <c r="A138" s="33">
        <v>45133.581217569445</v>
      </c>
      <c r="B138" s="32" t="s">
        <v>2465</v>
      </c>
      <c r="C138" s="32" t="s">
        <v>22</v>
      </c>
      <c r="D138" s="32" t="s">
        <v>2466</v>
      </c>
      <c r="E138" s="32">
        <v>6410488106</v>
      </c>
      <c r="F138" s="32" t="s">
        <v>1735</v>
      </c>
      <c r="G138" s="32" t="s">
        <v>1736</v>
      </c>
      <c r="H138" s="32" t="s">
        <v>1737</v>
      </c>
      <c r="I138" s="34" t="s">
        <v>2467</v>
      </c>
      <c r="J138" s="32" t="s">
        <v>2468</v>
      </c>
      <c r="M138" s="35" t="s">
        <v>2469</v>
      </c>
      <c r="N138" s="32"/>
    </row>
    <row r="139" spans="1:14">
      <c r="A139" s="33">
        <v>45133.581233009259</v>
      </c>
      <c r="B139" s="32" t="s">
        <v>2470</v>
      </c>
      <c r="C139" s="32" t="s">
        <v>29</v>
      </c>
      <c r="D139" s="32" t="s">
        <v>2471</v>
      </c>
      <c r="E139" s="32" t="s">
        <v>317</v>
      </c>
      <c r="F139" s="32" t="s">
        <v>1735</v>
      </c>
      <c r="G139" s="32" t="s">
        <v>1736</v>
      </c>
      <c r="H139" s="32" t="s">
        <v>2472</v>
      </c>
      <c r="I139" s="34" t="s">
        <v>2473</v>
      </c>
      <c r="J139" s="32" t="s">
        <v>2471</v>
      </c>
      <c r="L139" s="32" t="s">
        <v>1759</v>
      </c>
      <c r="M139" s="35" t="s">
        <v>2474</v>
      </c>
      <c r="N139" s="32"/>
    </row>
    <row r="140" spans="1:14">
      <c r="A140" s="33">
        <v>45133.581235532409</v>
      </c>
      <c r="B140" s="32" t="s">
        <v>2475</v>
      </c>
      <c r="C140" s="32" t="s">
        <v>22</v>
      </c>
      <c r="D140" s="32" t="s">
        <v>2476</v>
      </c>
      <c r="E140" s="32">
        <v>6610392109</v>
      </c>
      <c r="F140" s="32" t="s">
        <v>1727</v>
      </c>
      <c r="G140" s="32" t="s">
        <v>1736</v>
      </c>
      <c r="H140" s="32" t="s">
        <v>1797</v>
      </c>
      <c r="I140" s="34" t="s">
        <v>2477</v>
      </c>
      <c r="J140" s="32" t="s">
        <v>2478</v>
      </c>
      <c r="M140" s="35" t="s">
        <v>2479</v>
      </c>
      <c r="N140" s="32"/>
    </row>
    <row r="141" spans="1:14">
      <c r="A141" s="33">
        <v>45133.581240856482</v>
      </c>
      <c r="B141" s="32" t="s">
        <v>2480</v>
      </c>
      <c r="C141" s="32" t="s">
        <v>29</v>
      </c>
      <c r="D141" s="32" t="s">
        <v>2481</v>
      </c>
      <c r="E141" s="32">
        <v>6510392117</v>
      </c>
      <c r="F141" s="32" t="s">
        <v>1743</v>
      </c>
      <c r="G141" s="32" t="s">
        <v>1736</v>
      </c>
      <c r="H141" s="32" t="s">
        <v>2482</v>
      </c>
      <c r="I141" s="34" t="s">
        <v>2483</v>
      </c>
      <c r="J141" s="32" t="s">
        <v>2484</v>
      </c>
      <c r="M141" s="35" t="s">
        <v>2485</v>
      </c>
      <c r="N141" s="32"/>
    </row>
    <row r="142" spans="1:14">
      <c r="A142" s="33">
        <v>45133.581278379628</v>
      </c>
      <c r="B142" s="32" t="s">
        <v>2486</v>
      </c>
      <c r="C142" s="32" t="s">
        <v>29</v>
      </c>
      <c r="D142" s="32" t="s">
        <v>2487</v>
      </c>
      <c r="E142" s="32">
        <v>6310414113</v>
      </c>
      <c r="F142" s="32" t="s">
        <v>1770</v>
      </c>
      <c r="G142" s="32" t="s">
        <v>1736</v>
      </c>
      <c r="H142" s="32" t="s">
        <v>2488</v>
      </c>
      <c r="I142" s="34" t="s">
        <v>2489</v>
      </c>
      <c r="J142" s="32" t="s">
        <v>2490</v>
      </c>
      <c r="L142" s="32" t="s">
        <v>1816</v>
      </c>
      <c r="M142" s="35" t="s">
        <v>2491</v>
      </c>
      <c r="N142" s="32"/>
    </row>
    <row r="143" spans="1:14">
      <c r="A143" s="33">
        <v>45133.58129707176</v>
      </c>
      <c r="B143" s="32" t="s">
        <v>2492</v>
      </c>
      <c r="C143" s="32" t="s">
        <v>22</v>
      </c>
      <c r="D143" s="32" t="s">
        <v>2493</v>
      </c>
      <c r="E143" s="32">
        <v>6315964106</v>
      </c>
      <c r="F143" s="32" t="s">
        <v>1770</v>
      </c>
      <c r="G143" s="32" t="s">
        <v>1763</v>
      </c>
      <c r="H143" s="32" t="s">
        <v>2494</v>
      </c>
      <c r="I143" s="32" t="s">
        <v>2495</v>
      </c>
      <c r="J143" s="32" t="s">
        <v>2496</v>
      </c>
      <c r="M143" s="35" t="s">
        <v>2497</v>
      </c>
      <c r="N143" s="32"/>
    </row>
    <row r="144" spans="1:14">
      <c r="A144" s="33">
        <v>45133.581321458332</v>
      </c>
      <c r="B144" s="32" t="s">
        <v>2498</v>
      </c>
      <c r="C144" s="32" t="s">
        <v>22</v>
      </c>
      <c r="D144" s="32" t="s">
        <v>2499</v>
      </c>
      <c r="E144" s="32">
        <v>6410048141</v>
      </c>
      <c r="F144" s="32" t="s">
        <v>1735</v>
      </c>
      <c r="G144" s="32" t="s">
        <v>1763</v>
      </c>
      <c r="H144" s="32" t="s">
        <v>1832</v>
      </c>
      <c r="I144" s="34" t="s">
        <v>2500</v>
      </c>
      <c r="J144" s="32" t="s">
        <v>2501</v>
      </c>
      <c r="L144" s="32" t="s">
        <v>2502</v>
      </c>
      <c r="M144" s="35" t="s">
        <v>2503</v>
      </c>
      <c r="N144" s="32"/>
    </row>
    <row r="145" spans="1:14">
      <c r="A145" s="33">
        <v>45133.581326597225</v>
      </c>
      <c r="B145" s="32" t="s">
        <v>2504</v>
      </c>
      <c r="C145" s="32" t="s">
        <v>22</v>
      </c>
      <c r="D145" s="32" t="s">
        <v>2505</v>
      </c>
      <c r="E145" s="32">
        <v>6410048127</v>
      </c>
      <c r="F145" s="32" t="s">
        <v>1735</v>
      </c>
      <c r="G145" s="32" t="s">
        <v>1763</v>
      </c>
      <c r="H145" s="32" t="s">
        <v>1832</v>
      </c>
      <c r="I145" s="34" t="s">
        <v>2506</v>
      </c>
      <c r="J145" s="32" t="s">
        <v>2507</v>
      </c>
      <c r="L145" s="32" t="s">
        <v>2508</v>
      </c>
      <c r="M145" s="35" t="s">
        <v>2509</v>
      </c>
      <c r="N145" s="32"/>
    </row>
    <row r="146" spans="1:14">
      <c r="A146" s="33">
        <v>45133.581340219913</v>
      </c>
      <c r="B146" s="32" t="s">
        <v>2510</v>
      </c>
      <c r="C146" s="32" t="s">
        <v>29</v>
      </c>
      <c r="D146" s="32" t="s">
        <v>2511</v>
      </c>
      <c r="E146" s="32">
        <v>6410083112</v>
      </c>
      <c r="F146" s="32" t="s">
        <v>1735</v>
      </c>
      <c r="G146" s="32" t="s">
        <v>1845</v>
      </c>
      <c r="H146" s="32" t="s">
        <v>2326</v>
      </c>
      <c r="I146" s="34" t="s">
        <v>2512</v>
      </c>
      <c r="J146" s="32" t="s">
        <v>2513</v>
      </c>
      <c r="L146" s="32" t="s">
        <v>1759</v>
      </c>
      <c r="M146" s="35" t="s">
        <v>2514</v>
      </c>
      <c r="N146" s="32"/>
    </row>
    <row r="147" spans="1:14">
      <c r="A147" s="33">
        <v>45133.581353865738</v>
      </c>
      <c r="B147" s="32" t="s">
        <v>2515</v>
      </c>
      <c r="C147" s="32" t="s">
        <v>22</v>
      </c>
      <c r="D147" s="32" t="s">
        <v>2516</v>
      </c>
      <c r="E147" s="32">
        <v>6610633112</v>
      </c>
      <c r="F147" s="32" t="s">
        <v>1727</v>
      </c>
      <c r="G147" s="32" t="s">
        <v>1736</v>
      </c>
      <c r="H147" s="32" t="s">
        <v>1820</v>
      </c>
      <c r="I147" s="34" t="s">
        <v>2517</v>
      </c>
      <c r="J147" s="32" t="s">
        <v>2518</v>
      </c>
      <c r="L147" s="32" t="s">
        <v>1816</v>
      </c>
      <c r="M147" s="35" t="s">
        <v>2519</v>
      </c>
      <c r="N147" s="32"/>
    </row>
    <row r="148" spans="1:14">
      <c r="A148" s="33">
        <v>45133.581375057867</v>
      </c>
      <c r="B148" s="32" t="s">
        <v>2520</v>
      </c>
      <c r="C148" s="32" t="s">
        <v>29</v>
      </c>
      <c r="D148" s="32" t="s">
        <v>2521</v>
      </c>
      <c r="E148" s="32">
        <v>6510403221</v>
      </c>
      <c r="F148" s="32" t="s">
        <v>1743</v>
      </c>
      <c r="G148" s="32" t="s">
        <v>1728</v>
      </c>
      <c r="H148" s="32" t="s">
        <v>2522</v>
      </c>
      <c r="I148" s="34" t="s">
        <v>2523</v>
      </c>
      <c r="J148" s="32" t="s">
        <v>2524</v>
      </c>
      <c r="L148" s="32" t="s">
        <v>1816</v>
      </c>
      <c r="M148" s="35" t="s">
        <v>2525</v>
      </c>
      <c r="N148" s="32"/>
    </row>
    <row r="149" spans="1:14">
      <c r="A149" s="33">
        <v>45133.581397870366</v>
      </c>
      <c r="B149" s="32" t="s">
        <v>2526</v>
      </c>
      <c r="C149" s="32" t="s">
        <v>29</v>
      </c>
      <c r="D149" s="32" t="s">
        <v>2527</v>
      </c>
      <c r="E149" s="32">
        <v>6310488120</v>
      </c>
      <c r="F149" s="32" t="s">
        <v>1770</v>
      </c>
      <c r="G149" s="32" t="s">
        <v>1736</v>
      </c>
      <c r="H149" s="32" t="s">
        <v>1737</v>
      </c>
      <c r="I149" s="34" t="s">
        <v>2528</v>
      </c>
      <c r="J149" s="32" t="s">
        <v>2529</v>
      </c>
      <c r="M149" s="35" t="s">
        <v>2530</v>
      </c>
      <c r="N149" s="32"/>
    </row>
    <row r="150" spans="1:14">
      <c r="A150" s="33">
        <v>45133.581398055554</v>
      </c>
      <c r="B150" s="32" t="s">
        <v>2531</v>
      </c>
      <c r="C150" s="32" t="s">
        <v>22</v>
      </c>
      <c r="D150" s="32" t="s">
        <v>2532</v>
      </c>
      <c r="E150" s="32">
        <v>6610488109</v>
      </c>
      <c r="F150" s="32" t="s">
        <v>1727</v>
      </c>
      <c r="G150" s="32" t="s">
        <v>1736</v>
      </c>
      <c r="H150" s="32" t="s">
        <v>1750</v>
      </c>
      <c r="I150" s="34" t="s">
        <v>2533</v>
      </c>
      <c r="J150" s="32" t="s">
        <v>2534</v>
      </c>
      <c r="M150" s="35" t="s">
        <v>2535</v>
      </c>
      <c r="N150" s="32"/>
    </row>
    <row r="151" spans="1:14">
      <c r="A151" s="33">
        <v>45133.581398321759</v>
      </c>
      <c r="B151" s="32" t="s">
        <v>2536</v>
      </c>
      <c r="C151" s="32" t="s">
        <v>29</v>
      </c>
      <c r="D151" s="32" t="s">
        <v>2537</v>
      </c>
      <c r="E151" s="32">
        <v>6610488225</v>
      </c>
      <c r="F151" s="32" t="s">
        <v>1727</v>
      </c>
      <c r="G151" s="32" t="s">
        <v>1736</v>
      </c>
      <c r="H151" s="32" t="s">
        <v>1737</v>
      </c>
      <c r="I151" s="34" t="s">
        <v>2538</v>
      </c>
      <c r="J151" s="32" t="s">
        <v>2539</v>
      </c>
      <c r="L151" s="32" t="s">
        <v>1816</v>
      </c>
      <c r="M151" s="35" t="s">
        <v>2540</v>
      </c>
      <c r="N151" s="32"/>
    </row>
    <row r="152" spans="1:14">
      <c r="A152" s="33">
        <v>45133.58139983796</v>
      </c>
      <c r="B152" s="32" t="s">
        <v>2541</v>
      </c>
      <c r="C152" s="32" t="s">
        <v>29</v>
      </c>
      <c r="D152" s="32" t="s">
        <v>2542</v>
      </c>
      <c r="E152" s="32">
        <v>6512798118</v>
      </c>
      <c r="F152" s="32" t="s">
        <v>1743</v>
      </c>
      <c r="G152" s="32" t="s">
        <v>1845</v>
      </c>
      <c r="H152" s="32" t="s">
        <v>1869</v>
      </c>
      <c r="I152" s="34" t="s">
        <v>2543</v>
      </c>
      <c r="J152" s="32" t="s">
        <v>2544</v>
      </c>
      <c r="M152" s="35" t="s">
        <v>2545</v>
      </c>
      <c r="N152" s="32"/>
    </row>
    <row r="153" spans="1:14">
      <c r="A153" s="33">
        <v>45133.581417789348</v>
      </c>
      <c r="B153" s="32" t="s">
        <v>2546</v>
      </c>
      <c r="C153" s="32" t="s">
        <v>22</v>
      </c>
      <c r="D153" s="32" t="s">
        <v>2547</v>
      </c>
      <c r="E153" s="32">
        <v>6610633108</v>
      </c>
      <c r="F153" s="32" t="s">
        <v>1727</v>
      </c>
      <c r="G153" s="32" t="s">
        <v>1736</v>
      </c>
      <c r="H153" s="32" t="s">
        <v>1820</v>
      </c>
      <c r="I153" s="34" t="s">
        <v>2548</v>
      </c>
      <c r="J153" s="32" t="s">
        <v>2549</v>
      </c>
      <c r="M153" s="35" t="s">
        <v>2550</v>
      </c>
      <c r="N153" s="32"/>
    </row>
    <row r="154" spans="1:14">
      <c r="A154" s="33">
        <v>45133.581451157406</v>
      </c>
      <c r="B154" s="32" t="s">
        <v>2551</v>
      </c>
      <c r="C154" s="32" t="s">
        <v>29</v>
      </c>
      <c r="D154" s="32" t="s">
        <v>2552</v>
      </c>
      <c r="E154" s="32">
        <v>6510403126</v>
      </c>
      <c r="F154" s="32" t="s">
        <v>1743</v>
      </c>
      <c r="G154" s="32" t="s">
        <v>1728</v>
      </c>
      <c r="H154" s="32" t="s">
        <v>1756</v>
      </c>
      <c r="I154" s="34" t="s">
        <v>2553</v>
      </c>
      <c r="J154" s="32" t="s">
        <v>2554</v>
      </c>
      <c r="M154" s="35" t="s">
        <v>2555</v>
      </c>
      <c r="N154" s="32"/>
    </row>
    <row r="155" spans="1:14">
      <c r="A155" s="33">
        <v>45133.581460081019</v>
      </c>
      <c r="B155" s="32" t="s">
        <v>2556</v>
      </c>
      <c r="C155" s="32" t="s">
        <v>22</v>
      </c>
      <c r="D155" s="32" t="s">
        <v>2557</v>
      </c>
      <c r="E155" s="32">
        <v>6410073101</v>
      </c>
      <c r="F155" s="32" t="s">
        <v>1735</v>
      </c>
      <c r="G155" s="32" t="s">
        <v>1763</v>
      </c>
      <c r="H155" s="32" t="s">
        <v>1790</v>
      </c>
      <c r="I155" s="34" t="s">
        <v>2558</v>
      </c>
      <c r="J155" s="32" t="s">
        <v>2559</v>
      </c>
      <c r="L155" s="32" t="s">
        <v>1766</v>
      </c>
      <c r="M155" s="35" t="s">
        <v>2560</v>
      </c>
      <c r="N155" s="32"/>
    </row>
    <row r="156" spans="1:14">
      <c r="A156" s="33">
        <v>45133.581472442129</v>
      </c>
      <c r="B156" s="32" t="s">
        <v>2561</v>
      </c>
      <c r="C156" s="32" t="s">
        <v>22</v>
      </c>
      <c r="D156" s="32" t="s">
        <v>2562</v>
      </c>
      <c r="E156" s="32">
        <v>6610392212</v>
      </c>
      <c r="F156" s="32" t="s">
        <v>1727</v>
      </c>
      <c r="G156" s="32" t="s">
        <v>1736</v>
      </c>
      <c r="H156" s="32" t="s">
        <v>1797</v>
      </c>
      <c r="I156" s="34" t="s">
        <v>2563</v>
      </c>
      <c r="J156" s="32" t="s">
        <v>2564</v>
      </c>
      <c r="M156" s="35" t="s">
        <v>2565</v>
      </c>
      <c r="N156" s="32"/>
    </row>
    <row r="157" spans="1:14">
      <c r="A157" s="33">
        <v>45133.581483530092</v>
      </c>
      <c r="B157" s="32" t="s">
        <v>2566</v>
      </c>
      <c r="C157" s="32" t="s">
        <v>29</v>
      </c>
      <c r="D157" s="32" t="s">
        <v>2567</v>
      </c>
      <c r="E157" s="32">
        <v>6510633111</v>
      </c>
      <c r="F157" s="32" t="s">
        <v>1743</v>
      </c>
      <c r="G157" s="32" t="s">
        <v>1736</v>
      </c>
      <c r="H157" s="32" t="s">
        <v>1820</v>
      </c>
      <c r="I157" s="34" t="s">
        <v>2568</v>
      </c>
      <c r="J157" s="32" t="s">
        <v>2569</v>
      </c>
      <c r="L157" s="32" t="s">
        <v>2570</v>
      </c>
      <c r="M157" s="35" t="s">
        <v>2571</v>
      </c>
      <c r="N157" s="32"/>
    </row>
    <row r="158" spans="1:14">
      <c r="A158" s="33">
        <v>45133.581488553245</v>
      </c>
      <c r="B158" s="32" t="s">
        <v>2572</v>
      </c>
      <c r="C158" s="32" t="s">
        <v>29</v>
      </c>
      <c r="D158" s="32" t="s">
        <v>2573</v>
      </c>
      <c r="E158" s="32">
        <v>6512743215</v>
      </c>
      <c r="F158" s="32" t="s">
        <v>1743</v>
      </c>
      <c r="G158" s="32" t="s">
        <v>1845</v>
      </c>
      <c r="H158" s="32" t="s">
        <v>1846</v>
      </c>
      <c r="I158" s="34" t="s">
        <v>2574</v>
      </c>
      <c r="J158" s="32" t="s">
        <v>2575</v>
      </c>
      <c r="M158" s="35" t="s">
        <v>2576</v>
      </c>
      <c r="N158" s="32"/>
    </row>
    <row r="159" spans="1:14">
      <c r="A159" s="33">
        <v>45133.581494432874</v>
      </c>
      <c r="B159" s="32" t="s">
        <v>2577</v>
      </c>
      <c r="C159" s="32" t="s">
        <v>29</v>
      </c>
      <c r="D159" s="32" t="s">
        <v>2578</v>
      </c>
      <c r="E159" s="32">
        <v>6610488216</v>
      </c>
      <c r="F159" s="32" t="s">
        <v>1727</v>
      </c>
      <c r="G159" s="32" t="s">
        <v>1736</v>
      </c>
      <c r="H159" s="32" t="s">
        <v>1737</v>
      </c>
      <c r="I159" s="34" t="s">
        <v>2579</v>
      </c>
      <c r="J159" s="32" t="s">
        <v>2580</v>
      </c>
      <c r="L159" s="32" t="s">
        <v>1766</v>
      </c>
      <c r="M159" s="35" t="s">
        <v>2581</v>
      </c>
      <c r="N159" s="32"/>
    </row>
    <row r="160" spans="1:14">
      <c r="A160" s="33">
        <v>45133.581519328705</v>
      </c>
      <c r="B160" s="32" t="s">
        <v>2582</v>
      </c>
      <c r="C160" s="32" t="s">
        <v>29</v>
      </c>
      <c r="D160" s="32" t="s">
        <v>2583</v>
      </c>
      <c r="E160" s="32">
        <v>6510403107</v>
      </c>
      <c r="F160" s="32" t="s">
        <v>1743</v>
      </c>
      <c r="G160" s="32" t="s">
        <v>1728</v>
      </c>
      <c r="H160" s="32" t="s">
        <v>1756</v>
      </c>
      <c r="I160" s="34" t="s">
        <v>2584</v>
      </c>
      <c r="J160" s="32" t="s">
        <v>2585</v>
      </c>
      <c r="L160" s="32" t="s">
        <v>1816</v>
      </c>
      <c r="M160" s="35" t="s">
        <v>2586</v>
      </c>
      <c r="N160" s="32"/>
    </row>
    <row r="161" spans="1:14">
      <c r="A161" s="33">
        <v>45133.581519629632</v>
      </c>
      <c r="B161" s="32" t="s">
        <v>2587</v>
      </c>
      <c r="C161" s="32" t="s">
        <v>29</v>
      </c>
      <c r="D161" s="32" t="s">
        <v>2588</v>
      </c>
      <c r="E161" s="32">
        <v>6312247122</v>
      </c>
      <c r="F161" s="32" t="s">
        <v>1770</v>
      </c>
      <c r="G161" s="32" t="s">
        <v>1736</v>
      </c>
      <c r="H161" s="32" t="s">
        <v>2022</v>
      </c>
      <c r="I161" s="34" t="s">
        <v>2589</v>
      </c>
      <c r="J161" s="32" t="s">
        <v>2590</v>
      </c>
      <c r="M161" s="35" t="s">
        <v>2591</v>
      </c>
      <c r="N161" s="32"/>
    </row>
    <row r="162" spans="1:14">
      <c r="A162" s="33">
        <v>45133.581519594911</v>
      </c>
      <c r="B162" s="32" t="s">
        <v>2592</v>
      </c>
      <c r="C162" s="32" t="s">
        <v>22</v>
      </c>
      <c r="D162" s="32" t="s">
        <v>2593</v>
      </c>
      <c r="E162" s="32">
        <v>6312269126</v>
      </c>
      <c r="F162" s="32" t="s">
        <v>1770</v>
      </c>
      <c r="G162" s="32" t="s">
        <v>1763</v>
      </c>
      <c r="H162" s="32" t="s">
        <v>1778</v>
      </c>
      <c r="I162" s="34" t="s">
        <v>2594</v>
      </c>
      <c r="J162" s="32" t="s">
        <v>2595</v>
      </c>
      <c r="L162" s="32" t="s">
        <v>2596</v>
      </c>
      <c r="M162" s="35" t="s">
        <v>2597</v>
      </c>
      <c r="N162" s="32"/>
    </row>
    <row r="163" spans="1:14">
      <c r="A163" s="33">
        <v>45133.581520902779</v>
      </c>
      <c r="B163" s="32" t="s">
        <v>2598</v>
      </c>
      <c r="C163" s="32" t="s">
        <v>22</v>
      </c>
      <c r="D163" s="32" t="s">
        <v>2599</v>
      </c>
      <c r="E163" s="32">
        <v>6610633204</v>
      </c>
      <c r="F163" s="32" t="s">
        <v>1727</v>
      </c>
      <c r="G163" s="32" t="s">
        <v>1736</v>
      </c>
      <c r="H163" s="32" t="s">
        <v>1820</v>
      </c>
      <c r="I163" s="34" t="s">
        <v>2600</v>
      </c>
      <c r="J163" s="32" t="s">
        <v>2601</v>
      </c>
      <c r="L163" s="32" t="s">
        <v>2602</v>
      </c>
      <c r="M163" s="35" t="s">
        <v>2603</v>
      </c>
      <c r="N163" s="32"/>
    </row>
    <row r="164" spans="1:14">
      <c r="A164" s="33">
        <v>45133.581543796296</v>
      </c>
      <c r="B164" s="32" t="s">
        <v>2604</v>
      </c>
      <c r="C164" s="32" t="s">
        <v>29</v>
      </c>
      <c r="D164" s="32" t="s">
        <v>2605</v>
      </c>
      <c r="E164" s="32">
        <v>6412798118</v>
      </c>
      <c r="F164" s="32" t="s">
        <v>1735</v>
      </c>
      <c r="G164" s="32" t="s">
        <v>1845</v>
      </c>
      <c r="H164" s="32" t="s">
        <v>1869</v>
      </c>
      <c r="I164" s="34" t="s">
        <v>2606</v>
      </c>
      <c r="J164" s="32" t="s">
        <v>1816</v>
      </c>
      <c r="M164" s="35" t="s">
        <v>2607</v>
      </c>
      <c r="N164" s="32"/>
    </row>
    <row r="165" spans="1:14">
      <c r="A165" s="33">
        <v>45133.581557824073</v>
      </c>
      <c r="B165" s="32" t="s">
        <v>2608</v>
      </c>
      <c r="C165" s="32" t="s">
        <v>22</v>
      </c>
      <c r="D165" s="32" t="s">
        <v>2609</v>
      </c>
      <c r="E165" s="32">
        <v>6412743206</v>
      </c>
      <c r="F165" s="32" t="s">
        <v>1735</v>
      </c>
      <c r="G165" s="32" t="s">
        <v>1845</v>
      </c>
      <c r="H165" s="32" t="s">
        <v>2610</v>
      </c>
      <c r="I165" s="34" t="s">
        <v>2611</v>
      </c>
      <c r="J165" s="32" t="s">
        <v>2612</v>
      </c>
      <c r="M165" s="35" t="s">
        <v>2613</v>
      </c>
      <c r="N165" s="32"/>
    </row>
    <row r="166" spans="1:14">
      <c r="A166" s="33">
        <v>45133.581557453705</v>
      </c>
      <c r="B166" s="32" t="s">
        <v>2614</v>
      </c>
      <c r="C166" s="32" t="s">
        <v>22</v>
      </c>
      <c r="D166" s="32" t="s">
        <v>2615</v>
      </c>
      <c r="E166" s="32">
        <v>6610392101</v>
      </c>
      <c r="F166" s="32" t="s">
        <v>1727</v>
      </c>
      <c r="G166" s="32" t="s">
        <v>1736</v>
      </c>
      <c r="H166" s="32" t="s">
        <v>1797</v>
      </c>
      <c r="I166" s="34" t="s">
        <v>2616</v>
      </c>
      <c r="J166" s="32" t="s">
        <v>2617</v>
      </c>
      <c r="M166" s="35" t="s">
        <v>2618</v>
      </c>
      <c r="N166" s="32"/>
    </row>
    <row r="167" spans="1:14">
      <c r="A167" s="33">
        <v>45133.58155988426</v>
      </c>
      <c r="B167" s="32" t="s">
        <v>2619</v>
      </c>
      <c r="C167" s="32" t="s">
        <v>29</v>
      </c>
      <c r="D167" s="32" t="s">
        <v>2620</v>
      </c>
      <c r="E167" s="32">
        <v>6310488227</v>
      </c>
      <c r="F167" s="32" t="s">
        <v>1770</v>
      </c>
      <c r="G167" s="32" t="s">
        <v>1736</v>
      </c>
      <c r="H167" s="32" t="s">
        <v>1737</v>
      </c>
      <c r="I167" s="34" t="s">
        <v>2621</v>
      </c>
      <c r="J167" s="32" t="s">
        <v>2622</v>
      </c>
      <c r="L167" s="32" t="s">
        <v>1766</v>
      </c>
      <c r="M167" s="35" t="s">
        <v>2623</v>
      </c>
      <c r="N167" s="32"/>
    </row>
    <row r="168" spans="1:14">
      <c r="A168" s="33">
        <v>45133.581577418983</v>
      </c>
      <c r="B168" s="32" t="s">
        <v>2624</v>
      </c>
      <c r="C168" s="32" t="s">
        <v>29</v>
      </c>
      <c r="D168" s="32" t="s">
        <v>2625</v>
      </c>
      <c r="E168" s="32">
        <v>6310414119</v>
      </c>
      <c r="F168" s="32" t="s">
        <v>1770</v>
      </c>
      <c r="G168" s="32" t="s">
        <v>1736</v>
      </c>
      <c r="H168" s="32" t="s">
        <v>2302</v>
      </c>
      <c r="I168" s="34" t="s">
        <v>2626</v>
      </c>
      <c r="J168" s="32" t="s">
        <v>2627</v>
      </c>
      <c r="L168" s="32" t="s">
        <v>1816</v>
      </c>
      <c r="M168" s="35" t="s">
        <v>2628</v>
      </c>
      <c r="N168" s="32"/>
    </row>
    <row r="169" spans="1:14">
      <c r="A169" s="33">
        <v>45133.581577696757</v>
      </c>
      <c r="B169" s="32" t="s">
        <v>2629</v>
      </c>
      <c r="C169" s="32" t="s">
        <v>29</v>
      </c>
      <c r="D169" s="32" t="s">
        <v>2630</v>
      </c>
      <c r="E169" s="32">
        <v>6410633115</v>
      </c>
      <c r="F169" s="32" t="s">
        <v>1735</v>
      </c>
      <c r="G169" s="32" t="s">
        <v>1736</v>
      </c>
      <c r="H169" s="32" t="s">
        <v>1820</v>
      </c>
      <c r="I169" s="34" t="s">
        <v>2631</v>
      </c>
      <c r="J169" s="32" t="s">
        <v>2632</v>
      </c>
      <c r="L169" s="32" t="s">
        <v>1816</v>
      </c>
      <c r="M169" s="35" t="s">
        <v>2633</v>
      </c>
      <c r="N169" s="32"/>
    </row>
    <row r="170" spans="1:14">
      <c r="A170" s="33">
        <v>45133.58158106482</v>
      </c>
      <c r="B170" s="32" t="s">
        <v>2634</v>
      </c>
      <c r="C170" s="32" t="s">
        <v>29</v>
      </c>
      <c r="D170" s="32" t="s">
        <v>2635</v>
      </c>
      <c r="E170" s="32">
        <v>6412798125</v>
      </c>
      <c r="F170" s="32" t="s">
        <v>1735</v>
      </c>
      <c r="G170" s="32" t="s">
        <v>1845</v>
      </c>
      <c r="H170" s="32" t="s">
        <v>1869</v>
      </c>
      <c r="I170" s="34" t="s">
        <v>2636</v>
      </c>
      <c r="J170" s="32" t="s">
        <v>2637</v>
      </c>
      <c r="M170" s="35" t="s">
        <v>2638</v>
      </c>
      <c r="N170" s="32"/>
    </row>
    <row r="171" spans="1:14">
      <c r="A171" s="33">
        <v>45133.581584907406</v>
      </c>
      <c r="B171" s="32" t="s">
        <v>2639</v>
      </c>
      <c r="C171" s="32" t="s">
        <v>29</v>
      </c>
      <c r="D171" s="32" t="s">
        <v>2640</v>
      </c>
      <c r="E171" s="32">
        <v>6410488221</v>
      </c>
      <c r="F171" s="32" t="s">
        <v>1735</v>
      </c>
      <c r="G171" s="32" t="s">
        <v>1736</v>
      </c>
      <c r="H171" s="32" t="s">
        <v>1737</v>
      </c>
      <c r="I171" s="34" t="s">
        <v>2641</v>
      </c>
      <c r="J171" s="32" t="s">
        <v>2642</v>
      </c>
      <c r="L171" s="32" t="s">
        <v>1759</v>
      </c>
      <c r="M171" s="35" t="s">
        <v>2643</v>
      </c>
      <c r="N171" s="32"/>
    </row>
    <row r="172" spans="1:14">
      <c r="A172" s="33">
        <v>45133.581586157408</v>
      </c>
      <c r="B172" s="32" t="s">
        <v>2644</v>
      </c>
      <c r="C172" s="32" t="s">
        <v>29</v>
      </c>
      <c r="D172" s="32" t="s">
        <v>2645</v>
      </c>
      <c r="E172" s="32">
        <v>6411506114</v>
      </c>
      <c r="F172" s="32" t="s">
        <v>1735</v>
      </c>
      <c r="G172" s="32" t="s">
        <v>1763</v>
      </c>
      <c r="H172" s="32" t="s">
        <v>2210</v>
      </c>
      <c r="I172" s="34" t="s">
        <v>2646</v>
      </c>
      <c r="J172" s="32" t="s">
        <v>2647</v>
      </c>
      <c r="L172" s="32" t="s">
        <v>1816</v>
      </c>
      <c r="M172" s="35" t="s">
        <v>2648</v>
      </c>
      <c r="N172" s="32"/>
    </row>
    <row r="173" spans="1:14">
      <c r="A173" s="33">
        <v>45133.58158795139</v>
      </c>
      <c r="B173" s="32" t="s">
        <v>2649</v>
      </c>
      <c r="C173" s="32" t="s">
        <v>29</v>
      </c>
      <c r="D173" s="32" t="s">
        <v>2650</v>
      </c>
      <c r="E173" s="32">
        <v>6410073116</v>
      </c>
      <c r="F173" s="32" t="s">
        <v>1735</v>
      </c>
      <c r="G173" s="32" t="s">
        <v>1763</v>
      </c>
      <c r="H173" s="32" t="s">
        <v>1790</v>
      </c>
      <c r="I173" s="34" t="s">
        <v>2651</v>
      </c>
      <c r="J173" s="32" t="s">
        <v>2652</v>
      </c>
      <c r="M173" s="35" t="s">
        <v>2653</v>
      </c>
      <c r="N173" s="32"/>
    </row>
    <row r="174" spans="1:14">
      <c r="A174" s="33">
        <v>45133.581591643517</v>
      </c>
      <c r="B174" s="32" t="s">
        <v>2654</v>
      </c>
      <c r="C174" s="32" t="s">
        <v>29</v>
      </c>
      <c r="D174" s="32" t="s">
        <v>2655</v>
      </c>
      <c r="E174" s="32">
        <v>6410488118</v>
      </c>
      <c r="F174" s="32" t="s">
        <v>1735</v>
      </c>
      <c r="G174" s="32" t="s">
        <v>1736</v>
      </c>
      <c r="H174" s="32" t="s">
        <v>1737</v>
      </c>
      <c r="I174" s="34" t="s">
        <v>2656</v>
      </c>
      <c r="J174" s="32" t="s">
        <v>2657</v>
      </c>
      <c r="M174" s="35" t="s">
        <v>2658</v>
      </c>
      <c r="N174" s="32"/>
    </row>
    <row r="175" spans="1:14">
      <c r="A175" s="33">
        <v>45133.581608252316</v>
      </c>
      <c r="B175" s="32" t="s">
        <v>2659</v>
      </c>
      <c r="C175" s="32" t="s">
        <v>29</v>
      </c>
      <c r="D175" s="32" t="s">
        <v>2660</v>
      </c>
      <c r="E175" s="32">
        <v>6310106203</v>
      </c>
      <c r="F175" s="32" t="s">
        <v>1770</v>
      </c>
      <c r="G175" s="32" t="s">
        <v>1845</v>
      </c>
      <c r="H175" s="32" t="s">
        <v>1000</v>
      </c>
      <c r="I175" s="34" t="s">
        <v>2661</v>
      </c>
      <c r="J175" s="32" t="s">
        <v>2662</v>
      </c>
      <c r="L175" s="32" t="s">
        <v>2663</v>
      </c>
      <c r="M175" s="35" t="s">
        <v>2664</v>
      </c>
      <c r="N175" s="32"/>
    </row>
    <row r="176" spans="1:14">
      <c r="A176" s="33">
        <v>45133.581610717592</v>
      </c>
      <c r="B176" s="32" t="s">
        <v>2665</v>
      </c>
      <c r="C176" s="32" t="s">
        <v>29</v>
      </c>
      <c r="D176" s="32" t="s">
        <v>2666</v>
      </c>
      <c r="E176" s="32">
        <v>6410414211</v>
      </c>
      <c r="F176" s="32" t="s">
        <v>1735</v>
      </c>
      <c r="G176" s="32" t="s">
        <v>1736</v>
      </c>
      <c r="H176" s="32" t="s">
        <v>2302</v>
      </c>
      <c r="I176" s="34" t="s">
        <v>2667</v>
      </c>
      <c r="J176" s="32" t="s">
        <v>2668</v>
      </c>
      <c r="M176" s="35" t="s">
        <v>2669</v>
      </c>
      <c r="N176" s="32"/>
    </row>
    <row r="177" spans="1:14">
      <c r="A177" s="33">
        <v>45133.581612268521</v>
      </c>
      <c r="B177" s="32" t="s">
        <v>2670</v>
      </c>
      <c r="C177" s="32" t="s">
        <v>29</v>
      </c>
      <c r="D177" s="32" t="s">
        <v>2671</v>
      </c>
      <c r="E177" s="32">
        <v>6410048262</v>
      </c>
      <c r="F177" s="32" t="s">
        <v>1735</v>
      </c>
      <c r="G177" s="32" t="s">
        <v>1763</v>
      </c>
      <c r="H177" s="32" t="s">
        <v>1832</v>
      </c>
      <c r="I177" s="34" t="s">
        <v>2672</v>
      </c>
      <c r="J177" s="32" t="s">
        <v>2673</v>
      </c>
      <c r="L177" s="32" t="s">
        <v>1816</v>
      </c>
      <c r="M177" s="35" t="s">
        <v>2674</v>
      </c>
      <c r="N177" s="32"/>
    </row>
    <row r="178" spans="1:14">
      <c r="A178" s="33">
        <v>45133.581622129626</v>
      </c>
      <c r="B178" s="32" t="s">
        <v>2675</v>
      </c>
      <c r="C178" s="32" t="s">
        <v>22</v>
      </c>
      <c r="D178" s="32" t="s">
        <v>2676</v>
      </c>
      <c r="E178" s="32">
        <v>6612258203</v>
      </c>
      <c r="F178" s="32" t="s">
        <v>1727</v>
      </c>
      <c r="G178" s="32" t="s">
        <v>1736</v>
      </c>
      <c r="H178" s="32" t="s">
        <v>1744</v>
      </c>
      <c r="I178" s="34" t="s">
        <v>2677</v>
      </c>
      <c r="J178" s="32" t="s">
        <v>2678</v>
      </c>
      <c r="L178" s="32" t="s">
        <v>1816</v>
      </c>
      <c r="M178" s="35" t="s">
        <v>2679</v>
      </c>
      <c r="N178" s="32"/>
    </row>
    <row r="179" spans="1:14">
      <c r="A179" s="33">
        <v>45133.58163137731</v>
      </c>
      <c r="B179" s="32" t="s">
        <v>2680</v>
      </c>
      <c r="C179" s="32" t="s">
        <v>29</v>
      </c>
      <c r="D179" s="32" t="s">
        <v>2681</v>
      </c>
      <c r="E179" s="32">
        <v>6410048152</v>
      </c>
      <c r="F179" s="32" t="s">
        <v>1735</v>
      </c>
      <c r="G179" s="32" t="s">
        <v>1763</v>
      </c>
      <c r="H179" s="32" t="s">
        <v>1832</v>
      </c>
      <c r="I179" s="34" t="s">
        <v>2682</v>
      </c>
      <c r="J179" s="32" t="s">
        <v>2683</v>
      </c>
      <c r="M179" s="35" t="s">
        <v>2684</v>
      </c>
      <c r="N179" s="32"/>
    </row>
    <row r="180" spans="1:14">
      <c r="A180" s="33">
        <v>45133.581670613421</v>
      </c>
      <c r="B180" s="32" t="s">
        <v>2685</v>
      </c>
      <c r="C180" s="32" t="s">
        <v>29</v>
      </c>
      <c r="D180" s="32" t="s">
        <v>2686</v>
      </c>
      <c r="E180" s="32">
        <v>6510392111</v>
      </c>
      <c r="F180" s="32" t="s">
        <v>1743</v>
      </c>
      <c r="G180" s="32" t="s">
        <v>1736</v>
      </c>
      <c r="H180" s="32" t="s">
        <v>1797</v>
      </c>
      <c r="I180" s="34" t="s">
        <v>2687</v>
      </c>
      <c r="J180" s="32" t="s">
        <v>2688</v>
      </c>
      <c r="M180" s="35" t="s">
        <v>2689</v>
      </c>
      <c r="N180" s="32"/>
    </row>
    <row r="181" spans="1:14">
      <c r="A181" s="33">
        <v>45133.581678159724</v>
      </c>
      <c r="B181" s="32" t="s">
        <v>2690</v>
      </c>
      <c r="C181" s="32" t="s">
        <v>22</v>
      </c>
      <c r="D181" s="32" t="s">
        <v>2691</v>
      </c>
      <c r="E181" s="32">
        <v>6515964107</v>
      </c>
      <c r="F181" s="32" t="s">
        <v>1743</v>
      </c>
      <c r="G181" s="32" t="s">
        <v>1763</v>
      </c>
      <c r="H181" s="32" t="s">
        <v>2692</v>
      </c>
      <c r="I181" s="34" t="s">
        <v>2693</v>
      </c>
      <c r="J181" s="32" t="s">
        <v>2694</v>
      </c>
      <c r="L181" s="32" t="s">
        <v>1766</v>
      </c>
      <c r="M181" s="35" t="s">
        <v>2695</v>
      </c>
      <c r="N181" s="32"/>
    </row>
    <row r="182" spans="1:14">
      <c r="A182" s="33">
        <v>45133.581698831018</v>
      </c>
      <c r="B182" s="32" t="s">
        <v>2696</v>
      </c>
      <c r="C182" s="32" t="s">
        <v>29</v>
      </c>
      <c r="D182" s="32" t="s">
        <v>2697</v>
      </c>
      <c r="E182" s="32">
        <v>6310633124</v>
      </c>
      <c r="F182" s="32" t="s">
        <v>1770</v>
      </c>
      <c r="G182" s="32" t="s">
        <v>1736</v>
      </c>
      <c r="H182" s="32" t="s">
        <v>1820</v>
      </c>
      <c r="I182" s="34" t="s">
        <v>2698</v>
      </c>
      <c r="J182" s="32" t="s">
        <v>2697</v>
      </c>
      <c r="L182" s="32" t="s">
        <v>1816</v>
      </c>
      <c r="M182" s="35" t="s">
        <v>2699</v>
      </c>
      <c r="N182" s="32"/>
    </row>
    <row r="183" spans="1:14">
      <c r="A183" s="33">
        <v>45133.581705613426</v>
      </c>
      <c r="B183" s="32" t="s">
        <v>2700</v>
      </c>
      <c r="C183" s="32" t="s">
        <v>22</v>
      </c>
      <c r="D183" s="32" t="s">
        <v>2701</v>
      </c>
      <c r="E183" s="32">
        <v>6410048143</v>
      </c>
      <c r="F183" s="32" t="s">
        <v>1735</v>
      </c>
      <c r="G183" s="32" t="s">
        <v>1763</v>
      </c>
      <c r="H183" s="32" t="s">
        <v>1832</v>
      </c>
      <c r="I183" s="34" t="s">
        <v>2702</v>
      </c>
      <c r="J183" s="32" t="s">
        <v>2703</v>
      </c>
      <c r="M183" s="35" t="s">
        <v>2704</v>
      </c>
      <c r="N183" s="32"/>
    </row>
    <row r="184" spans="1:14">
      <c r="A184" s="33">
        <v>45133.581720023147</v>
      </c>
      <c r="B184" s="32" t="s">
        <v>2705</v>
      </c>
      <c r="C184" s="32" t="s">
        <v>29</v>
      </c>
      <c r="D184" s="32" t="s">
        <v>2706</v>
      </c>
      <c r="E184" s="32">
        <v>6612236114</v>
      </c>
      <c r="F184" s="32" t="s">
        <v>1727</v>
      </c>
      <c r="G184" s="32" t="s">
        <v>1736</v>
      </c>
      <c r="H184" s="32" t="s">
        <v>1948</v>
      </c>
      <c r="I184" s="34" t="s">
        <v>2707</v>
      </c>
      <c r="J184" s="32" t="s">
        <v>2708</v>
      </c>
      <c r="L184" s="32" t="s">
        <v>1816</v>
      </c>
      <c r="M184" s="35" t="s">
        <v>2709</v>
      </c>
      <c r="N184" s="32"/>
    </row>
    <row r="185" spans="1:14">
      <c r="A185" s="33">
        <v>45133.58174061343</v>
      </c>
      <c r="B185" s="32" t="s">
        <v>2710</v>
      </c>
      <c r="C185" s="32" t="s">
        <v>29</v>
      </c>
      <c r="D185" s="32" t="s">
        <v>2711</v>
      </c>
      <c r="E185" s="32">
        <v>6415964123</v>
      </c>
      <c r="F185" s="32" t="s">
        <v>1735</v>
      </c>
      <c r="G185" s="32" t="s">
        <v>1763</v>
      </c>
      <c r="H185" s="32" t="s">
        <v>1988</v>
      </c>
      <c r="I185" s="34" t="s">
        <v>2712</v>
      </c>
      <c r="J185" s="32" t="s">
        <v>2713</v>
      </c>
      <c r="M185" s="35" t="s">
        <v>2714</v>
      </c>
      <c r="N185" s="32"/>
    </row>
    <row r="186" spans="1:14">
      <c r="A186" s="33">
        <v>45133.581742187496</v>
      </c>
      <c r="B186" s="32" t="s">
        <v>2715</v>
      </c>
      <c r="C186" s="32" t="s">
        <v>29</v>
      </c>
      <c r="D186" s="32" t="s">
        <v>2716</v>
      </c>
      <c r="E186" s="32">
        <v>6610488126</v>
      </c>
      <c r="F186" s="32" t="s">
        <v>1727</v>
      </c>
      <c r="G186" s="32" t="s">
        <v>1736</v>
      </c>
      <c r="H186" s="32" t="s">
        <v>1737</v>
      </c>
      <c r="I186" s="34" t="s">
        <v>2717</v>
      </c>
      <c r="J186" s="32" t="s">
        <v>2718</v>
      </c>
      <c r="M186" s="35" t="s">
        <v>2719</v>
      </c>
      <c r="N186" s="32"/>
    </row>
    <row r="187" spans="1:14">
      <c r="A187" s="33">
        <v>45133.581748993056</v>
      </c>
      <c r="B187" s="32" t="s">
        <v>2720</v>
      </c>
      <c r="C187" s="32" t="s">
        <v>29</v>
      </c>
      <c r="D187" s="32" t="s">
        <v>2721</v>
      </c>
      <c r="E187" s="32">
        <v>6410048154</v>
      </c>
      <c r="F187" s="32" t="s">
        <v>1735</v>
      </c>
      <c r="G187" s="32" t="s">
        <v>1763</v>
      </c>
      <c r="H187" s="32" t="s">
        <v>1832</v>
      </c>
      <c r="I187" s="34" t="s">
        <v>2722</v>
      </c>
      <c r="J187" s="32" t="s">
        <v>2723</v>
      </c>
      <c r="L187" s="32" t="s">
        <v>1816</v>
      </c>
      <c r="M187" s="35" t="s">
        <v>2724</v>
      </c>
      <c r="N187" s="32"/>
    </row>
    <row r="188" spans="1:14">
      <c r="A188" s="33">
        <v>45133.581750682875</v>
      </c>
      <c r="B188" s="32" t="s">
        <v>2725</v>
      </c>
      <c r="C188" s="32" t="s">
        <v>29</v>
      </c>
      <c r="D188" s="32" t="s">
        <v>2726</v>
      </c>
      <c r="E188" s="32">
        <v>6610392115</v>
      </c>
      <c r="F188" s="32" t="s">
        <v>1727</v>
      </c>
      <c r="G188" s="32" t="s">
        <v>1736</v>
      </c>
      <c r="H188" s="32" t="s">
        <v>1797</v>
      </c>
      <c r="I188" s="34" t="s">
        <v>2727</v>
      </c>
      <c r="J188" s="32" t="s">
        <v>2726</v>
      </c>
      <c r="M188" s="35" t="s">
        <v>2728</v>
      </c>
      <c r="N188" s="32"/>
    </row>
    <row r="189" spans="1:14">
      <c r="A189" s="33">
        <v>45133.581758749999</v>
      </c>
      <c r="B189" s="32" t="s">
        <v>2729</v>
      </c>
      <c r="C189" s="32" t="s">
        <v>29</v>
      </c>
      <c r="D189" s="32" t="s">
        <v>2730</v>
      </c>
      <c r="E189" s="32">
        <v>6610403121</v>
      </c>
      <c r="F189" s="32" t="s">
        <v>1727</v>
      </c>
      <c r="G189" s="32" t="s">
        <v>1728</v>
      </c>
      <c r="H189" s="32" t="s">
        <v>1838</v>
      </c>
      <c r="I189" s="34" t="s">
        <v>2731</v>
      </c>
      <c r="J189" s="32" t="s">
        <v>2732</v>
      </c>
      <c r="L189" s="32" t="s">
        <v>1816</v>
      </c>
      <c r="M189" s="35" t="s">
        <v>2733</v>
      </c>
      <c r="N189" s="32"/>
    </row>
    <row r="190" spans="1:14">
      <c r="A190" s="33">
        <v>45133.58180550926</v>
      </c>
      <c r="B190" s="32" t="s">
        <v>2734</v>
      </c>
      <c r="C190" s="32" t="s">
        <v>29</v>
      </c>
      <c r="D190" s="32" t="s">
        <v>2735</v>
      </c>
      <c r="E190" s="32">
        <v>6412798131</v>
      </c>
      <c r="F190" s="32" t="s">
        <v>1735</v>
      </c>
      <c r="G190" s="32" t="s">
        <v>1845</v>
      </c>
      <c r="H190" s="32" t="s">
        <v>1869</v>
      </c>
      <c r="I190" s="34" t="s">
        <v>2736</v>
      </c>
      <c r="J190" s="32" t="s">
        <v>2737</v>
      </c>
      <c r="L190" s="32" t="s">
        <v>1816</v>
      </c>
      <c r="M190" s="35" t="s">
        <v>2738</v>
      </c>
      <c r="N190" s="32"/>
    </row>
    <row r="191" spans="1:14">
      <c r="A191" s="33">
        <v>45133.581808680552</v>
      </c>
      <c r="B191" s="32" t="s">
        <v>2739</v>
      </c>
      <c r="C191" s="32" t="s">
        <v>29</v>
      </c>
      <c r="D191" s="32" t="s">
        <v>2740</v>
      </c>
      <c r="E191" s="32">
        <v>6512798132</v>
      </c>
      <c r="F191" s="32" t="s">
        <v>1743</v>
      </c>
      <c r="G191" s="32" t="s">
        <v>1845</v>
      </c>
      <c r="H191" s="32" t="s">
        <v>1869</v>
      </c>
      <c r="I191" s="34" t="s">
        <v>2741</v>
      </c>
      <c r="J191" s="32" t="s">
        <v>2742</v>
      </c>
      <c r="M191" s="35" t="s">
        <v>2743</v>
      </c>
      <c r="N191" s="32"/>
    </row>
    <row r="192" spans="1:14">
      <c r="A192" s="33">
        <v>45133.581824282403</v>
      </c>
      <c r="B192" s="32" t="s">
        <v>2744</v>
      </c>
      <c r="C192" s="32" t="s">
        <v>29</v>
      </c>
      <c r="D192" s="32" t="s">
        <v>2745</v>
      </c>
      <c r="E192" s="32">
        <v>6410403225</v>
      </c>
      <c r="F192" s="32" t="s">
        <v>1735</v>
      </c>
      <c r="G192" s="32" t="s">
        <v>1728</v>
      </c>
      <c r="H192" s="32" t="s">
        <v>1756</v>
      </c>
      <c r="I192" s="34" t="s">
        <v>2746</v>
      </c>
      <c r="J192" s="32" t="s">
        <v>2747</v>
      </c>
      <c r="L192" s="32" t="s">
        <v>1816</v>
      </c>
      <c r="M192" s="35" t="s">
        <v>2748</v>
      </c>
      <c r="N192" s="32"/>
    </row>
    <row r="193" spans="1:14">
      <c r="A193" s="33">
        <v>45133.581827499998</v>
      </c>
      <c r="B193" s="32" t="s">
        <v>2749</v>
      </c>
      <c r="C193" s="32" t="s">
        <v>29</v>
      </c>
      <c r="D193" s="32" t="s">
        <v>2750</v>
      </c>
      <c r="E193" s="32">
        <v>6412866216</v>
      </c>
      <c r="F193" s="32" t="s">
        <v>1735</v>
      </c>
      <c r="G193" s="32" t="s">
        <v>1771</v>
      </c>
      <c r="H193" s="32" t="s">
        <v>2751</v>
      </c>
      <c r="I193" s="34" t="s">
        <v>2752</v>
      </c>
      <c r="J193" s="32" t="s">
        <v>2753</v>
      </c>
      <c r="M193" s="35" t="s">
        <v>2754</v>
      </c>
      <c r="N193" s="32"/>
    </row>
    <row r="194" spans="1:14">
      <c r="A194" s="33">
        <v>45133.581828391209</v>
      </c>
      <c r="B194" s="32" t="s">
        <v>2755</v>
      </c>
      <c r="C194" s="32" t="s">
        <v>29</v>
      </c>
      <c r="D194" s="32" t="s">
        <v>2756</v>
      </c>
      <c r="E194" s="32">
        <v>6412798123</v>
      </c>
      <c r="F194" s="32" t="s">
        <v>1735</v>
      </c>
      <c r="G194" s="32" t="s">
        <v>1845</v>
      </c>
      <c r="H194" s="32" t="s">
        <v>1869</v>
      </c>
      <c r="I194" s="34" t="s">
        <v>2757</v>
      </c>
      <c r="J194" s="32" t="s">
        <v>2758</v>
      </c>
      <c r="L194" s="32" t="s">
        <v>1816</v>
      </c>
      <c r="M194" s="35" t="s">
        <v>2759</v>
      </c>
      <c r="N194" s="32"/>
    </row>
    <row r="195" spans="1:14">
      <c r="A195" s="33">
        <v>45133.581831898147</v>
      </c>
      <c r="B195" s="32" t="s">
        <v>2760</v>
      </c>
      <c r="C195" s="32" t="s">
        <v>29</v>
      </c>
      <c r="D195" s="32" t="s">
        <v>2761</v>
      </c>
      <c r="E195" s="32">
        <v>6510633213</v>
      </c>
      <c r="F195" s="32" t="s">
        <v>1743</v>
      </c>
      <c r="G195" s="32" t="s">
        <v>1736</v>
      </c>
      <c r="H195" s="32" t="s">
        <v>1820</v>
      </c>
      <c r="I195" s="34" t="s">
        <v>2762</v>
      </c>
      <c r="J195" s="32" t="s">
        <v>2763</v>
      </c>
      <c r="L195" s="32" t="s">
        <v>1766</v>
      </c>
      <c r="M195" s="35" t="s">
        <v>2764</v>
      </c>
      <c r="N195" s="32"/>
    </row>
    <row r="196" spans="1:14">
      <c r="A196" s="33">
        <v>45133.581840775463</v>
      </c>
      <c r="B196" s="32" t="s">
        <v>2765</v>
      </c>
      <c r="C196" s="32" t="s">
        <v>29</v>
      </c>
      <c r="D196" s="32" t="s">
        <v>2766</v>
      </c>
      <c r="E196" s="32">
        <v>6412798107</v>
      </c>
      <c r="F196" s="32" t="s">
        <v>1735</v>
      </c>
      <c r="G196" s="32" t="s">
        <v>1845</v>
      </c>
      <c r="H196" s="32" t="s">
        <v>1869</v>
      </c>
      <c r="I196" s="34" t="s">
        <v>2767</v>
      </c>
      <c r="J196" s="32" t="s">
        <v>2768</v>
      </c>
      <c r="M196" s="35" t="s">
        <v>2769</v>
      </c>
      <c r="N196" s="32"/>
    </row>
    <row r="197" spans="1:14">
      <c r="A197" s="33">
        <v>45133.581844282409</v>
      </c>
      <c r="B197" s="32" t="s">
        <v>2770</v>
      </c>
      <c r="C197" s="32" t="s">
        <v>22</v>
      </c>
      <c r="D197" s="32" t="s">
        <v>2771</v>
      </c>
      <c r="E197" s="32">
        <v>6610068102</v>
      </c>
      <c r="F197" s="32" t="s">
        <v>1727</v>
      </c>
      <c r="G197" s="32" t="s">
        <v>1736</v>
      </c>
      <c r="H197" s="32" t="s">
        <v>2772</v>
      </c>
      <c r="I197" s="34" t="s">
        <v>2773</v>
      </c>
      <c r="J197" s="32" t="s">
        <v>2774</v>
      </c>
      <c r="L197" s="32" t="s">
        <v>1816</v>
      </c>
      <c r="M197" s="35" t="s">
        <v>2775</v>
      </c>
      <c r="N197" s="32"/>
    </row>
    <row r="198" spans="1:14">
      <c r="A198" s="33">
        <v>45133.581875069445</v>
      </c>
      <c r="B198" s="32" t="s">
        <v>2776</v>
      </c>
      <c r="C198" s="32" t="s">
        <v>29</v>
      </c>
      <c r="D198" s="32" t="s">
        <v>2777</v>
      </c>
      <c r="E198" s="32">
        <v>6612721207</v>
      </c>
      <c r="F198" s="32" t="s">
        <v>1727</v>
      </c>
      <c r="G198" s="32" t="s">
        <v>1736</v>
      </c>
      <c r="H198" s="32" t="s">
        <v>2216</v>
      </c>
      <c r="I198" s="34" t="s">
        <v>2778</v>
      </c>
      <c r="J198" s="32" t="s">
        <v>2050</v>
      </c>
      <c r="M198" s="35" t="s">
        <v>2779</v>
      </c>
      <c r="N198" s="32"/>
    </row>
    <row r="199" spans="1:14">
      <c r="A199" s="33">
        <v>45133.581901064812</v>
      </c>
      <c r="B199" s="32" t="s">
        <v>2780</v>
      </c>
      <c r="C199" s="32" t="s">
        <v>22</v>
      </c>
      <c r="D199" s="32" t="s">
        <v>2781</v>
      </c>
      <c r="E199" s="32">
        <v>6312269125</v>
      </c>
      <c r="F199" s="32" t="s">
        <v>1770</v>
      </c>
      <c r="G199" s="32" t="s">
        <v>1763</v>
      </c>
      <c r="H199" s="32" t="s">
        <v>1778</v>
      </c>
      <c r="I199" s="34" t="s">
        <v>2782</v>
      </c>
      <c r="J199" s="32" t="s">
        <v>2783</v>
      </c>
      <c r="M199" s="35" t="s">
        <v>2784</v>
      </c>
      <c r="N199" s="32"/>
    </row>
    <row r="200" spans="1:14">
      <c r="A200" s="33">
        <v>45133.581909710643</v>
      </c>
      <c r="B200" s="32" t="s">
        <v>2785</v>
      </c>
      <c r="C200" s="32" t="s">
        <v>29</v>
      </c>
      <c r="D200" s="32" t="s">
        <v>2786</v>
      </c>
      <c r="E200" s="32">
        <v>6310403311</v>
      </c>
      <c r="F200" s="32" t="s">
        <v>1770</v>
      </c>
      <c r="G200" s="32" t="s">
        <v>1728</v>
      </c>
      <c r="H200" s="32" t="s">
        <v>1756</v>
      </c>
      <c r="I200" s="34" t="s">
        <v>2787</v>
      </c>
      <c r="J200" s="32" t="s">
        <v>2788</v>
      </c>
      <c r="L200" s="32" t="s">
        <v>2789</v>
      </c>
      <c r="M200" s="35" t="s">
        <v>2790</v>
      </c>
      <c r="N200" s="32"/>
    </row>
    <row r="201" spans="1:14">
      <c r="A201" s="33">
        <v>45133.581955995367</v>
      </c>
      <c r="B201" s="32" t="s">
        <v>2791</v>
      </c>
      <c r="C201" s="32" t="s">
        <v>29</v>
      </c>
      <c r="D201" s="32" t="s">
        <v>2792</v>
      </c>
      <c r="E201" s="32">
        <v>6610488125</v>
      </c>
      <c r="F201" s="32" t="s">
        <v>1727</v>
      </c>
      <c r="G201" s="32" t="s">
        <v>1736</v>
      </c>
      <c r="H201" s="32" t="s">
        <v>1737</v>
      </c>
      <c r="I201" s="34" t="s">
        <v>2793</v>
      </c>
      <c r="J201" s="32" t="s">
        <v>2794</v>
      </c>
      <c r="L201" s="32" t="s">
        <v>1816</v>
      </c>
      <c r="M201" s="35" t="s">
        <v>2795</v>
      </c>
      <c r="N201" s="32"/>
    </row>
    <row r="202" spans="1:14">
      <c r="A202" s="33">
        <v>45133.581960520838</v>
      </c>
      <c r="B202" s="32" t="s">
        <v>2796</v>
      </c>
      <c r="C202" s="32" t="s">
        <v>29</v>
      </c>
      <c r="D202" s="32" t="s">
        <v>2797</v>
      </c>
      <c r="E202" s="32">
        <v>6410488219</v>
      </c>
      <c r="F202" s="32" t="s">
        <v>1735</v>
      </c>
      <c r="G202" s="32" t="s">
        <v>1736</v>
      </c>
      <c r="H202" s="32" t="s">
        <v>1737</v>
      </c>
      <c r="I202" s="34" t="s">
        <v>2798</v>
      </c>
      <c r="J202" s="32" t="s">
        <v>2799</v>
      </c>
      <c r="M202" s="35" t="s">
        <v>2800</v>
      </c>
      <c r="N202" s="32"/>
    </row>
    <row r="203" spans="1:14">
      <c r="A203" s="33">
        <v>45133.581977650465</v>
      </c>
      <c r="B203" s="32" t="s">
        <v>2801</v>
      </c>
      <c r="C203" s="32" t="s">
        <v>29</v>
      </c>
      <c r="D203" s="32" t="s">
        <v>2802</v>
      </c>
      <c r="E203" s="32">
        <v>6410048162</v>
      </c>
      <c r="F203" s="32" t="s">
        <v>1735</v>
      </c>
      <c r="G203" s="32" t="s">
        <v>1763</v>
      </c>
      <c r="H203" s="32" t="s">
        <v>1832</v>
      </c>
      <c r="I203" s="34" t="s">
        <v>2803</v>
      </c>
      <c r="J203" s="32" t="s">
        <v>2804</v>
      </c>
      <c r="L203" s="32" t="s">
        <v>1816</v>
      </c>
      <c r="M203" s="35" t="s">
        <v>2805</v>
      </c>
      <c r="N203" s="32"/>
    </row>
    <row r="204" spans="1:14">
      <c r="A204" s="33">
        <v>45133.581983368058</v>
      </c>
      <c r="B204" s="32" t="s">
        <v>2806</v>
      </c>
      <c r="C204" s="32" t="s">
        <v>22</v>
      </c>
      <c r="D204" s="32" t="s">
        <v>2807</v>
      </c>
      <c r="E204" s="32">
        <v>6410073112</v>
      </c>
      <c r="F204" s="32" t="s">
        <v>1735</v>
      </c>
      <c r="G204" s="32" t="s">
        <v>1763</v>
      </c>
      <c r="H204" s="32" t="s">
        <v>1790</v>
      </c>
      <c r="I204" s="34" t="s">
        <v>2808</v>
      </c>
      <c r="J204" s="32" t="s">
        <v>2809</v>
      </c>
      <c r="M204" s="35" t="s">
        <v>2810</v>
      </c>
      <c r="N204" s="32"/>
    </row>
    <row r="205" spans="1:14">
      <c r="A205" s="33">
        <v>45133.58199288194</v>
      </c>
      <c r="B205" s="32" t="s">
        <v>2811</v>
      </c>
      <c r="C205" s="32" t="s">
        <v>29</v>
      </c>
      <c r="D205" s="32" t="s">
        <v>2812</v>
      </c>
      <c r="E205" s="32">
        <v>6410048161</v>
      </c>
      <c r="F205" s="32" t="s">
        <v>1735</v>
      </c>
      <c r="G205" s="32" t="s">
        <v>1763</v>
      </c>
      <c r="H205" s="32" t="s">
        <v>1832</v>
      </c>
      <c r="I205" s="34" t="s">
        <v>2813</v>
      </c>
      <c r="J205" s="32" t="s">
        <v>2814</v>
      </c>
      <c r="L205" s="32" t="s">
        <v>1766</v>
      </c>
      <c r="M205" s="35" t="s">
        <v>2815</v>
      </c>
      <c r="N205" s="32"/>
    </row>
    <row r="206" spans="1:14">
      <c r="A206" s="33">
        <v>45133.582008865742</v>
      </c>
      <c r="B206" s="32" t="s">
        <v>2816</v>
      </c>
      <c r="C206" s="32" t="s">
        <v>29</v>
      </c>
      <c r="D206" s="32" t="s">
        <v>2817</v>
      </c>
      <c r="E206" s="32">
        <v>6610488116</v>
      </c>
      <c r="F206" s="32" t="s">
        <v>1727</v>
      </c>
      <c r="G206" s="32" t="s">
        <v>1736</v>
      </c>
      <c r="H206" s="32" t="s">
        <v>1737</v>
      </c>
      <c r="I206" s="34" t="s">
        <v>2818</v>
      </c>
      <c r="J206" s="32" t="s">
        <v>2819</v>
      </c>
      <c r="M206" s="35" t="s">
        <v>2820</v>
      </c>
      <c r="N206" s="32"/>
    </row>
    <row r="207" spans="1:14">
      <c r="A207" s="33">
        <v>45133.582016400462</v>
      </c>
      <c r="B207" s="32" t="s">
        <v>2821</v>
      </c>
      <c r="C207" s="32" t="s">
        <v>29</v>
      </c>
      <c r="D207" s="32" t="s">
        <v>2822</v>
      </c>
      <c r="E207" s="32">
        <v>6312798213</v>
      </c>
      <c r="F207" s="32" t="s">
        <v>1770</v>
      </c>
      <c r="G207" s="32" t="s">
        <v>1845</v>
      </c>
      <c r="H207" s="32" t="s">
        <v>1869</v>
      </c>
      <c r="I207" s="32" t="s">
        <v>2823</v>
      </c>
      <c r="J207" s="32" t="s">
        <v>2824</v>
      </c>
      <c r="M207" s="35" t="s">
        <v>2825</v>
      </c>
      <c r="N207" s="32"/>
    </row>
    <row r="208" spans="1:14">
      <c r="A208" s="33">
        <v>45133.582027199074</v>
      </c>
      <c r="B208" s="32" t="s">
        <v>2826</v>
      </c>
      <c r="C208" s="32" t="s">
        <v>22</v>
      </c>
      <c r="D208" s="32" t="s">
        <v>2827</v>
      </c>
      <c r="E208" s="32">
        <v>6410048116</v>
      </c>
      <c r="F208" s="32" t="s">
        <v>1735</v>
      </c>
      <c r="G208" s="32" t="s">
        <v>1763</v>
      </c>
      <c r="H208" s="32" t="s">
        <v>1832</v>
      </c>
      <c r="I208" s="34" t="s">
        <v>2828</v>
      </c>
      <c r="J208" s="32" t="s">
        <v>2829</v>
      </c>
      <c r="L208" s="32" t="s">
        <v>2830</v>
      </c>
      <c r="M208" s="35" t="s">
        <v>2831</v>
      </c>
      <c r="N208" s="32"/>
    </row>
    <row r="209" spans="1:14">
      <c r="A209" s="33">
        <v>45133.582039722227</v>
      </c>
      <c r="B209" s="32" t="s">
        <v>2832</v>
      </c>
      <c r="C209" s="32" t="s">
        <v>29</v>
      </c>
      <c r="D209" s="32" t="s">
        <v>2833</v>
      </c>
      <c r="E209" s="32">
        <v>6512798112</v>
      </c>
      <c r="F209" s="32" t="s">
        <v>1743</v>
      </c>
      <c r="G209" s="32" t="s">
        <v>1845</v>
      </c>
      <c r="H209" s="32" t="s">
        <v>1869</v>
      </c>
      <c r="I209" s="34" t="s">
        <v>2834</v>
      </c>
      <c r="J209" s="32" t="s">
        <v>2835</v>
      </c>
      <c r="M209" s="35" t="s">
        <v>2836</v>
      </c>
      <c r="N209" s="32"/>
    </row>
    <row r="210" spans="1:14">
      <c r="A210" s="33">
        <v>45133.582041238427</v>
      </c>
      <c r="B210" s="32" t="s">
        <v>2837</v>
      </c>
      <c r="C210" s="32" t="s">
        <v>29</v>
      </c>
      <c r="D210" s="32" t="s">
        <v>2838</v>
      </c>
      <c r="E210" s="32">
        <v>6410403113</v>
      </c>
      <c r="F210" s="32" t="s">
        <v>1735</v>
      </c>
      <c r="G210" s="32" t="s">
        <v>1728</v>
      </c>
      <c r="H210" s="32" t="s">
        <v>1838</v>
      </c>
      <c r="I210" s="34" t="s">
        <v>2839</v>
      </c>
      <c r="J210" s="32" t="s">
        <v>2840</v>
      </c>
      <c r="L210" s="32" t="s">
        <v>2841</v>
      </c>
      <c r="M210" s="35" t="s">
        <v>2842</v>
      </c>
      <c r="N210" s="32"/>
    </row>
    <row r="211" spans="1:14">
      <c r="A211" s="33">
        <v>45133.582042893519</v>
      </c>
      <c r="B211" s="32" t="s">
        <v>2843</v>
      </c>
      <c r="C211" s="32" t="s">
        <v>29</v>
      </c>
      <c r="D211" s="32" t="s">
        <v>2844</v>
      </c>
      <c r="E211" s="32">
        <v>6510207206</v>
      </c>
      <c r="F211" s="32" t="s">
        <v>1743</v>
      </c>
      <c r="G211" s="32" t="s">
        <v>1736</v>
      </c>
      <c r="H211" s="32" t="s">
        <v>2845</v>
      </c>
      <c r="I211" s="34" t="s">
        <v>2846</v>
      </c>
      <c r="J211" s="32" t="s">
        <v>2847</v>
      </c>
      <c r="M211" s="35" t="s">
        <v>2848</v>
      </c>
      <c r="N211" s="32"/>
    </row>
    <row r="212" spans="1:14">
      <c r="A212" s="33">
        <v>45133.582070833334</v>
      </c>
      <c r="B212" s="32" t="s">
        <v>2849</v>
      </c>
      <c r="C212" s="32" t="s">
        <v>22</v>
      </c>
      <c r="D212" s="32" t="s">
        <v>2850</v>
      </c>
      <c r="E212" s="32">
        <v>6410048111</v>
      </c>
      <c r="F212" s="32" t="s">
        <v>1735</v>
      </c>
      <c r="G212" s="32" t="s">
        <v>1763</v>
      </c>
      <c r="H212" s="32" t="s">
        <v>1832</v>
      </c>
      <c r="I212" s="34" t="s">
        <v>2851</v>
      </c>
      <c r="J212" s="32" t="s">
        <v>2852</v>
      </c>
      <c r="L212" s="32" t="s">
        <v>2853</v>
      </c>
      <c r="M212" s="35" t="s">
        <v>2854</v>
      </c>
      <c r="N212" s="32"/>
    </row>
    <row r="213" spans="1:14">
      <c r="A213" s="33">
        <v>45133.58207300926</v>
      </c>
      <c r="B213" s="32" t="s">
        <v>2855</v>
      </c>
      <c r="C213" s="32" t="s">
        <v>29</v>
      </c>
      <c r="D213" s="32" t="s">
        <v>2856</v>
      </c>
      <c r="E213" s="32">
        <v>6412866115</v>
      </c>
      <c r="F213" s="32" t="s">
        <v>1735</v>
      </c>
      <c r="G213" s="32" t="s">
        <v>1771</v>
      </c>
      <c r="H213" s="32" t="s">
        <v>2751</v>
      </c>
      <c r="I213" s="34" t="s">
        <v>2857</v>
      </c>
      <c r="J213" s="32" t="s">
        <v>2858</v>
      </c>
      <c r="L213" s="32" t="s">
        <v>2859</v>
      </c>
      <c r="M213" s="35" t="s">
        <v>2860</v>
      </c>
      <c r="N213" s="32"/>
    </row>
    <row r="214" spans="1:14">
      <c r="A214" s="33">
        <v>45133.582078414351</v>
      </c>
      <c r="B214" s="32" t="s">
        <v>2861</v>
      </c>
      <c r="C214" s="32" t="s">
        <v>29</v>
      </c>
      <c r="D214" s="32" t="s">
        <v>2862</v>
      </c>
      <c r="E214" s="32">
        <v>6412743112</v>
      </c>
      <c r="F214" s="32" t="s">
        <v>1735</v>
      </c>
      <c r="G214" s="32" t="s">
        <v>1845</v>
      </c>
      <c r="H214" s="32" t="s">
        <v>1846</v>
      </c>
      <c r="I214" s="34" t="s">
        <v>2863</v>
      </c>
      <c r="J214" s="32" t="s">
        <v>2864</v>
      </c>
      <c r="L214" s="32" t="s">
        <v>1816</v>
      </c>
      <c r="M214" s="35" t="s">
        <v>2865</v>
      </c>
      <c r="N214" s="32"/>
    </row>
    <row r="215" spans="1:14">
      <c r="A215" s="33">
        <v>45133.58209689815</v>
      </c>
      <c r="B215" s="32" t="s">
        <v>2866</v>
      </c>
      <c r="C215" s="32" t="s">
        <v>22</v>
      </c>
      <c r="D215" s="32" t="s">
        <v>2867</v>
      </c>
      <c r="E215" s="32">
        <v>6315964102</v>
      </c>
      <c r="F215" s="32" t="s">
        <v>1770</v>
      </c>
      <c r="G215" s="32" t="s">
        <v>1763</v>
      </c>
      <c r="H215" s="32" t="s">
        <v>1988</v>
      </c>
      <c r="I215" s="34" t="s">
        <v>2868</v>
      </c>
      <c r="J215" s="32" t="s">
        <v>2869</v>
      </c>
      <c r="M215" s="35" t="s">
        <v>2870</v>
      </c>
      <c r="N215" s="32"/>
    </row>
    <row r="216" spans="1:14">
      <c r="A216" s="33">
        <v>45133.582097395833</v>
      </c>
      <c r="B216" s="32" t="s">
        <v>2871</v>
      </c>
      <c r="C216" s="32" t="s">
        <v>29</v>
      </c>
      <c r="D216" s="32" t="s">
        <v>2872</v>
      </c>
      <c r="E216" s="32">
        <v>6510633115</v>
      </c>
      <c r="F216" s="32" t="s">
        <v>1743</v>
      </c>
      <c r="G216" s="32" t="s">
        <v>1736</v>
      </c>
      <c r="H216" s="32" t="s">
        <v>1820</v>
      </c>
      <c r="I216" s="34" t="s">
        <v>2873</v>
      </c>
      <c r="J216" s="32" t="s">
        <v>2874</v>
      </c>
      <c r="M216" s="35" t="s">
        <v>2875</v>
      </c>
      <c r="N216" s="32"/>
    </row>
    <row r="217" spans="1:14">
      <c r="A217" s="33">
        <v>45133.582102569446</v>
      </c>
      <c r="B217" s="32" t="s">
        <v>2876</v>
      </c>
      <c r="C217" s="32" t="s">
        <v>22</v>
      </c>
      <c r="D217" s="32" t="s">
        <v>2877</v>
      </c>
      <c r="E217" s="32">
        <v>6410414203</v>
      </c>
      <c r="F217" s="32" t="s">
        <v>1735</v>
      </c>
      <c r="G217" s="32" t="s">
        <v>1736</v>
      </c>
      <c r="H217" s="32" t="s">
        <v>2302</v>
      </c>
      <c r="I217" s="34" t="s">
        <v>2878</v>
      </c>
      <c r="J217" s="32" t="s">
        <v>2877</v>
      </c>
      <c r="L217" s="32" t="s">
        <v>2879</v>
      </c>
      <c r="M217" s="35" t="s">
        <v>2880</v>
      </c>
      <c r="N217" s="32"/>
    </row>
    <row r="218" spans="1:14">
      <c r="A218" s="33">
        <v>45133.582120810184</v>
      </c>
      <c r="B218" s="32" t="s">
        <v>2881</v>
      </c>
      <c r="C218" s="32" t="s">
        <v>29</v>
      </c>
      <c r="D218" s="32" t="s">
        <v>2882</v>
      </c>
      <c r="E218" s="32">
        <v>6410073124</v>
      </c>
      <c r="F218" s="32" t="s">
        <v>1735</v>
      </c>
      <c r="G218" s="32" t="s">
        <v>1763</v>
      </c>
      <c r="H218" s="32" t="s">
        <v>1790</v>
      </c>
      <c r="I218" s="34" t="s">
        <v>2883</v>
      </c>
      <c r="J218" s="32" t="s">
        <v>2884</v>
      </c>
      <c r="M218" s="35" t="s">
        <v>2885</v>
      </c>
      <c r="N218" s="32"/>
    </row>
    <row r="219" spans="1:14">
      <c r="A219" s="33">
        <v>45133.58212673611</v>
      </c>
      <c r="B219" s="32" t="s">
        <v>2886</v>
      </c>
      <c r="C219" s="32" t="s">
        <v>22</v>
      </c>
      <c r="D219" s="32" t="s">
        <v>2887</v>
      </c>
      <c r="E219" s="32">
        <v>6310488205</v>
      </c>
      <c r="F219" s="32" t="s">
        <v>1770</v>
      </c>
      <c r="G219" s="32" t="s">
        <v>1736</v>
      </c>
      <c r="H219" s="32" t="s">
        <v>1737</v>
      </c>
      <c r="I219" s="34" t="s">
        <v>2888</v>
      </c>
      <c r="J219" s="32" t="s">
        <v>2889</v>
      </c>
      <c r="M219" s="35" t="s">
        <v>2890</v>
      </c>
      <c r="N219" s="32"/>
    </row>
    <row r="220" spans="1:14">
      <c r="A220" s="33">
        <v>45133.582140416664</v>
      </c>
      <c r="B220" s="32" t="s">
        <v>2891</v>
      </c>
      <c r="C220" s="32" t="s">
        <v>22</v>
      </c>
      <c r="D220" s="32" t="s">
        <v>2892</v>
      </c>
      <c r="E220" s="32">
        <v>6410073107</v>
      </c>
      <c r="F220" s="32" t="s">
        <v>1735</v>
      </c>
      <c r="G220" s="32" t="s">
        <v>1763</v>
      </c>
      <c r="H220" s="32" t="s">
        <v>1790</v>
      </c>
      <c r="I220" s="34" t="s">
        <v>2893</v>
      </c>
      <c r="J220" s="32" t="s">
        <v>2892</v>
      </c>
      <c r="M220" s="35" t="s">
        <v>2894</v>
      </c>
      <c r="N220" s="32"/>
    </row>
    <row r="221" spans="1:14">
      <c r="A221" s="33">
        <v>45133.582150092596</v>
      </c>
      <c r="B221" s="32" t="s">
        <v>2895</v>
      </c>
      <c r="C221" s="32" t="s">
        <v>29</v>
      </c>
      <c r="D221" s="32" t="s">
        <v>2896</v>
      </c>
      <c r="E221" s="32">
        <v>6510392124</v>
      </c>
      <c r="F221" s="32" t="s">
        <v>1743</v>
      </c>
      <c r="G221" s="32" t="s">
        <v>1736</v>
      </c>
      <c r="H221" s="32" t="s">
        <v>1797</v>
      </c>
      <c r="I221" s="34" t="s">
        <v>2897</v>
      </c>
      <c r="J221" s="32" t="s">
        <v>2898</v>
      </c>
      <c r="L221" s="32" t="s">
        <v>1816</v>
      </c>
      <c r="M221" s="35" t="s">
        <v>2899</v>
      </c>
      <c r="N221" s="32"/>
    </row>
    <row r="222" spans="1:14">
      <c r="A222" s="33">
        <v>45133.582160995371</v>
      </c>
      <c r="B222" s="32" t="s">
        <v>2900</v>
      </c>
      <c r="C222" s="32" t="s">
        <v>29</v>
      </c>
      <c r="D222" s="32" t="s">
        <v>2901</v>
      </c>
      <c r="E222" s="32">
        <v>6312325113</v>
      </c>
      <c r="F222" s="32" t="s">
        <v>1770</v>
      </c>
      <c r="G222" s="32" t="s">
        <v>1728</v>
      </c>
      <c r="H222" s="32" t="s">
        <v>2902</v>
      </c>
      <c r="I222" s="34" t="s">
        <v>2903</v>
      </c>
      <c r="J222" s="32" t="s">
        <v>2904</v>
      </c>
      <c r="L222" s="32" t="s">
        <v>2905</v>
      </c>
      <c r="M222" s="35" t="s">
        <v>2906</v>
      </c>
      <c r="N222" s="32"/>
    </row>
    <row r="223" spans="1:14">
      <c r="A223" s="33">
        <v>45133.582165069442</v>
      </c>
      <c r="B223" s="32" t="s">
        <v>2907</v>
      </c>
      <c r="C223" s="32" t="s">
        <v>29</v>
      </c>
      <c r="D223" s="32" t="s">
        <v>2908</v>
      </c>
      <c r="E223" s="32">
        <v>6512888223</v>
      </c>
      <c r="F223" s="32" t="s">
        <v>1743</v>
      </c>
      <c r="G223" s="32" t="s">
        <v>1771</v>
      </c>
      <c r="H223" s="32" t="s">
        <v>2029</v>
      </c>
      <c r="I223" s="34" t="s">
        <v>2909</v>
      </c>
      <c r="J223" s="32" t="s">
        <v>2910</v>
      </c>
      <c r="L223" s="32" t="s">
        <v>1766</v>
      </c>
      <c r="M223" s="35" t="s">
        <v>2911</v>
      </c>
      <c r="N223" s="32"/>
    </row>
    <row r="224" spans="1:14">
      <c r="A224" s="33">
        <v>45133.582187337961</v>
      </c>
      <c r="B224" s="32" t="s">
        <v>2912</v>
      </c>
      <c r="C224" s="32" t="s">
        <v>29</v>
      </c>
      <c r="D224" s="32" t="s">
        <v>2913</v>
      </c>
      <c r="E224" s="32">
        <v>6410414224</v>
      </c>
      <c r="F224" s="32" t="s">
        <v>1735</v>
      </c>
      <c r="G224" s="32" t="s">
        <v>1736</v>
      </c>
      <c r="H224" s="32" t="s">
        <v>2302</v>
      </c>
      <c r="I224" s="34" t="s">
        <v>2914</v>
      </c>
      <c r="J224" s="32" t="s">
        <v>2915</v>
      </c>
      <c r="L224" s="32" t="s">
        <v>1816</v>
      </c>
      <c r="M224" s="35" t="s">
        <v>2916</v>
      </c>
      <c r="N224" s="32"/>
    </row>
    <row r="225" spans="1:14">
      <c r="A225" s="33">
        <v>45133.582188981483</v>
      </c>
      <c r="B225" s="32" t="s">
        <v>2917</v>
      </c>
      <c r="C225" s="32" t="s">
        <v>22</v>
      </c>
      <c r="D225" s="32" t="s">
        <v>2918</v>
      </c>
      <c r="E225" s="32">
        <v>6510488106</v>
      </c>
      <c r="F225" s="32" t="s">
        <v>1743</v>
      </c>
      <c r="G225" s="32" t="s">
        <v>1736</v>
      </c>
      <c r="H225" s="32" t="s">
        <v>1737</v>
      </c>
      <c r="I225" s="34" t="s">
        <v>2919</v>
      </c>
      <c r="J225" s="32" t="s">
        <v>2920</v>
      </c>
      <c r="M225" s="35" t="s">
        <v>2921</v>
      </c>
      <c r="N225" s="32"/>
    </row>
    <row r="226" spans="1:14">
      <c r="A226" s="33">
        <v>45133.58219538194</v>
      </c>
      <c r="B226" s="32" t="s">
        <v>2922</v>
      </c>
      <c r="C226" s="32" t="s">
        <v>22</v>
      </c>
      <c r="D226" s="32" t="s">
        <v>2923</v>
      </c>
      <c r="E226" s="32">
        <v>6412743150</v>
      </c>
      <c r="F226" s="32" t="s">
        <v>1735</v>
      </c>
      <c r="G226" s="32" t="s">
        <v>1845</v>
      </c>
      <c r="H226" s="32" t="s">
        <v>1846</v>
      </c>
      <c r="I226" s="34" t="s">
        <v>2924</v>
      </c>
      <c r="J226" s="32" t="s">
        <v>2925</v>
      </c>
      <c r="M226" s="35" t="s">
        <v>2926</v>
      </c>
      <c r="N226" s="32"/>
    </row>
    <row r="227" spans="1:14">
      <c r="A227" s="33">
        <v>45133.582224571757</v>
      </c>
      <c r="B227" s="32" t="s">
        <v>2927</v>
      </c>
      <c r="C227" s="32" t="s">
        <v>29</v>
      </c>
      <c r="D227" s="32" t="s">
        <v>2928</v>
      </c>
      <c r="E227" s="32">
        <v>6310414116</v>
      </c>
      <c r="F227" s="32" t="s">
        <v>1770</v>
      </c>
      <c r="G227" s="32" t="s">
        <v>1736</v>
      </c>
      <c r="H227" s="32" t="s">
        <v>2302</v>
      </c>
      <c r="I227" s="34" t="s">
        <v>2929</v>
      </c>
      <c r="J227" s="32" t="s">
        <v>2930</v>
      </c>
      <c r="M227" s="35" t="s">
        <v>2931</v>
      </c>
      <c r="N227" s="32"/>
    </row>
    <row r="228" spans="1:14">
      <c r="A228" s="33">
        <v>45133.582232476852</v>
      </c>
      <c r="B228" s="32" t="s">
        <v>2932</v>
      </c>
      <c r="C228" s="32" t="s">
        <v>29</v>
      </c>
      <c r="D228" s="32" t="s">
        <v>2933</v>
      </c>
      <c r="E228" s="32">
        <v>6510392128</v>
      </c>
      <c r="F228" s="32" t="s">
        <v>1743</v>
      </c>
      <c r="G228" s="32" t="s">
        <v>1736</v>
      </c>
      <c r="H228" s="32" t="s">
        <v>1797</v>
      </c>
      <c r="I228" s="34" t="s">
        <v>2934</v>
      </c>
      <c r="J228" s="32" t="s">
        <v>2935</v>
      </c>
      <c r="M228" s="35" t="s">
        <v>2936</v>
      </c>
      <c r="N228" s="32"/>
    </row>
    <row r="229" spans="1:14">
      <c r="A229" s="33">
        <v>45133.582245335652</v>
      </c>
      <c r="B229" s="32" t="s">
        <v>2937</v>
      </c>
      <c r="C229" s="32" t="s">
        <v>29</v>
      </c>
      <c r="D229" s="32" t="s">
        <v>1601</v>
      </c>
      <c r="E229" s="32">
        <v>6310048131</v>
      </c>
      <c r="F229" s="32" t="s">
        <v>1770</v>
      </c>
      <c r="G229" s="32" t="s">
        <v>1763</v>
      </c>
      <c r="H229" s="32" t="s">
        <v>1832</v>
      </c>
      <c r="I229" s="34" t="s">
        <v>2938</v>
      </c>
      <c r="J229" s="32" t="s">
        <v>2939</v>
      </c>
      <c r="L229" s="32" t="s">
        <v>1816</v>
      </c>
      <c r="M229" s="35" t="s">
        <v>2940</v>
      </c>
      <c r="N229" s="32"/>
    </row>
    <row r="230" spans="1:14">
      <c r="A230" s="33">
        <v>45133.582286249999</v>
      </c>
      <c r="B230" s="32" t="s">
        <v>2941</v>
      </c>
      <c r="C230" s="32" t="s">
        <v>22</v>
      </c>
      <c r="D230" s="32" t="s">
        <v>2942</v>
      </c>
      <c r="E230" s="32">
        <v>6610633202</v>
      </c>
      <c r="F230" s="32" t="s">
        <v>1727</v>
      </c>
      <c r="G230" s="32" t="s">
        <v>1736</v>
      </c>
      <c r="H230" s="32" t="s">
        <v>1820</v>
      </c>
      <c r="I230" s="34" t="s">
        <v>2943</v>
      </c>
      <c r="J230" s="32" t="s">
        <v>2944</v>
      </c>
      <c r="L230" s="32" t="s">
        <v>1766</v>
      </c>
      <c r="M230" s="35" t="s">
        <v>2945</v>
      </c>
      <c r="N230" s="32"/>
    </row>
    <row r="231" spans="1:14">
      <c r="A231" s="33">
        <v>45133.582305219912</v>
      </c>
      <c r="B231" s="32" t="s">
        <v>2946</v>
      </c>
      <c r="C231" s="32" t="s">
        <v>29</v>
      </c>
      <c r="D231" s="32" t="s">
        <v>2947</v>
      </c>
      <c r="E231" s="32">
        <v>6310633123</v>
      </c>
      <c r="F231" s="32" t="s">
        <v>1770</v>
      </c>
      <c r="G231" s="32" t="s">
        <v>1736</v>
      </c>
      <c r="H231" s="32" t="s">
        <v>1820</v>
      </c>
      <c r="I231" s="34" t="s">
        <v>2948</v>
      </c>
      <c r="J231" s="32" t="s">
        <v>2949</v>
      </c>
      <c r="L231" s="32" t="s">
        <v>1816</v>
      </c>
      <c r="M231" s="35" t="s">
        <v>2950</v>
      </c>
      <c r="N231" s="32"/>
    </row>
    <row r="232" spans="1:14">
      <c r="A232" s="33">
        <v>45133.582333796294</v>
      </c>
      <c r="B232" s="32" t="s">
        <v>2951</v>
      </c>
      <c r="C232" s="32" t="s">
        <v>22</v>
      </c>
      <c r="D232" s="32" t="s">
        <v>2952</v>
      </c>
      <c r="E232" s="32">
        <v>6310073102</v>
      </c>
      <c r="F232" s="32" t="s">
        <v>1770</v>
      </c>
      <c r="G232" s="32" t="s">
        <v>1763</v>
      </c>
      <c r="H232" s="32" t="s">
        <v>1790</v>
      </c>
      <c r="I232" s="34" t="s">
        <v>2953</v>
      </c>
      <c r="J232" s="32" t="s">
        <v>2954</v>
      </c>
      <c r="M232" s="35" t="s">
        <v>2955</v>
      </c>
      <c r="N232" s="32"/>
    </row>
    <row r="233" spans="1:14">
      <c r="A233" s="33">
        <v>45133.582367094903</v>
      </c>
      <c r="B233" s="32" t="s">
        <v>2956</v>
      </c>
      <c r="C233" s="32" t="s">
        <v>22</v>
      </c>
      <c r="D233" s="32" t="s">
        <v>2957</v>
      </c>
      <c r="E233" s="32">
        <v>6410633203</v>
      </c>
      <c r="F233" s="32" t="s">
        <v>1735</v>
      </c>
      <c r="G233" s="32" t="s">
        <v>1736</v>
      </c>
      <c r="H233" s="32" t="s">
        <v>1820</v>
      </c>
      <c r="I233" s="34" t="s">
        <v>2958</v>
      </c>
      <c r="J233" s="32" t="s">
        <v>2957</v>
      </c>
      <c r="M233" s="35" t="s">
        <v>2959</v>
      </c>
      <c r="N233" s="32"/>
    </row>
    <row r="234" spans="1:14">
      <c r="A234" s="33">
        <v>45133.582374606485</v>
      </c>
      <c r="B234" s="32" t="s">
        <v>2960</v>
      </c>
      <c r="C234" s="32" t="s">
        <v>22</v>
      </c>
      <c r="D234" s="32" t="s">
        <v>2961</v>
      </c>
      <c r="E234" s="32">
        <v>6515964105</v>
      </c>
      <c r="F234" s="32" t="s">
        <v>1743</v>
      </c>
      <c r="G234" s="32" t="s">
        <v>1763</v>
      </c>
      <c r="H234" s="32" t="s">
        <v>166</v>
      </c>
      <c r="I234" s="34" t="s">
        <v>2962</v>
      </c>
      <c r="J234" s="32" t="s">
        <v>2963</v>
      </c>
      <c r="M234" s="35" t="s">
        <v>2964</v>
      </c>
      <c r="N234" s="32"/>
    </row>
    <row r="235" spans="1:14">
      <c r="A235" s="33">
        <v>45133.582377060186</v>
      </c>
      <c r="B235" s="32" t="s">
        <v>2965</v>
      </c>
      <c r="C235" s="32" t="s">
        <v>29</v>
      </c>
      <c r="D235" s="32" t="s">
        <v>2966</v>
      </c>
      <c r="E235" s="32">
        <v>6411506220</v>
      </c>
      <c r="F235" s="32" t="s">
        <v>1735</v>
      </c>
      <c r="G235" s="32" t="s">
        <v>1763</v>
      </c>
      <c r="H235" s="32" t="s">
        <v>2210</v>
      </c>
      <c r="I235" s="34" t="s">
        <v>2967</v>
      </c>
      <c r="J235" s="32" t="s">
        <v>2966</v>
      </c>
      <c r="L235" s="32" t="s">
        <v>1816</v>
      </c>
      <c r="M235" s="35" t="s">
        <v>2968</v>
      </c>
      <c r="N235" s="32"/>
    </row>
    <row r="236" spans="1:14">
      <c r="A236" s="33">
        <v>45133.582384872687</v>
      </c>
      <c r="B236" s="32" t="s">
        <v>2969</v>
      </c>
      <c r="C236" s="32" t="s">
        <v>29</v>
      </c>
      <c r="D236" s="32" t="s">
        <v>2970</v>
      </c>
      <c r="E236" s="32">
        <v>6312798208</v>
      </c>
      <c r="F236" s="32" t="s">
        <v>1770</v>
      </c>
      <c r="G236" s="32" t="s">
        <v>1845</v>
      </c>
      <c r="H236" s="32" t="s">
        <v>1869</v>
      </c>
      <c r="I236" s="34" t="s">
        <v>2971</v>
      </c>
      <c r="J236" s="32" t="s">
        <v>2972</v>
      </c>
      <c r="M236" s="35" t="s">
        <v>2973</v>
      </c>
      <c r="N236" s="32"/>
    </row>
    <row r="237" spans="1:14">
      <c r="A237" s="33">
        <v>45133.582393020828</v>
      </c>
      <c r="B237" s="32" t="s">
        <v>2974</v>
      </c>
      <c r="C237" s="32" t="s">
        <v>29</v>
      </c>
      <c r="D237" s="32" t="s">
        <v>2975</v>
      </c>
      <c r="E237" s="32">
        <v>6610414128</v>
      </c>
      <c r="F237" s="32" t="s">
        <v>1727</v>
      </c>
      <c r="G237" s="32" t="s">
        <v>1736</v>
      </c>
      <c r="H237" s="32" t="s">
        <v>2302</v>
      </c>
      <c r="I237" s="34" t="s">
        <v>2976</v>
      </c>
      <c r="J237" s="32" t="s">
        <v>2977</v>
      </c>
      <c r="M237" s="35" t="s">
        <v>2978</v>
      </c>
      <c r="N237" s="32"/>
    </row>
    <row r="238" spans="1:14">
      <c r="A238" s="33">
        <v>45133.582408680551</v>
      </c>
      <c r="B238" s="32" t="s">
        <v>2979</v>
      </c>
      <c r="C238" s="32" t="s">
        <v>29</v>
      </c>
      <c r="D238" s="32" t="s">
        <v>2980</v>
      </c>
      <c r="E238" s="32">
        <v>6312213103</v>
      </c>
      <c r="F238" s="32" t="s">
        <v>1770</v>
      </c>
      <c r="G238" s="32" t="s">
        <v>1728</v>
      </c>
      <c r="H238" s="32" t="s">
        <v>2981</v>
      </c>
      <c r="I238" s="34" t="s">
        <v>2982</v>
      </c>
      <c r="J238" s="32" t="s">
        <v>2983</v>
      </c>
      <c r="L238" s="32" t="s">
        <v>1766</v>
      </c>
      <c r="M238" s="35" t="s">
        <v>2984</v>
      </c>
      <c r="N238" s="32"/>
    </row>
    <row r="239" spans="1:14">
      <c r="A239" s="33">
        <v>45133.582467337968</v>
      </c>
      <c r="B239" s="32" t="s">
        <v>2985</v>
      </c>
      <c r="C239" s="32" t="s">
        <v>29</v>
      </c>
      <c r="D239" s="32" t="s">
        <v>2986</v>
      </c>
      <c r="E239" s="32">
        <v>6310414120</v>
      </c>
      <c r="F239" s="32" t="s">
        <v>1770</v>
      </c>
      <c r="G239" s="32" t="s">
        <v>1736</v>
      </c>
      <c r="H239" s="32" t="s">
        <v>2302</v>
      </c>
      <c r="I239" s="34" t="s">
        <v>2987</v>
      </c>
      <c r="J239" s="32" t="s">
        <v>2988</v>
      </c>
      <c r="M239" s="35" t="s">
        <v>2989</v>
      </c>
      <c r="N239" s="32"/>
    </row>
    <row r="240" spans="1:14">
      <c r="A240" s="33">
        <v>45133.582488321757</v>
      </c>
      <c r="B240" s="32" t="s">
        <v>2990</v>
      </c>
      <c r="C240" s="32" t="s">
        <v>29</v>
      </c>
      <c r="D240" s="32" t="s">
        <v>2991</v>
      </c>
      <c r="E240" s="32">
        <v>6612721113</v>
      </c>
      <c r="F240" s="32" t="s">
        <v>1727</v>
      </c>
      <c r="G240" s="32" t="s">
        <v>1736</v>
      </c>
      <c r="H240" s="32" t="s">
        <v>2216</v>
      </c>
      <c r="I240" s="34" t="s">
        <v>2992</v>
      </c>
      <c r="J240" s="32" t="s">
        <v>2993</v>
      </c>
      <c r="M240" s="35" t="s">
        <v>2994</v>
      </c>
      <c r="N240" s="32"/>
    </row>
    <row r="241" spans="1:14">
      <c r="A241" s="33">
        <v>45133.58249641204</v>
      </c>
      <c r="B241" s="32" t="s">
        <v>2995</v>
      </c>
      <c r="C241" s="32" t="s">
        <v>29</v>
      </c>
      <c r="D241" s="32" t="s">
        <v>2996</v>
      </c>
      <c r="E241" s="32">
        <v>6612236212</v>
      </c>
      <c r="F241" s="32" t="s">
        <v>1727</v>
      </c>
      <c r="G241" s="32" t="s">
        <v>1736</v>
      </c>
      <c r="H241" s="32" t="s">
        <v>1948</v>
      </c>
      <c r="I241" s="34" t="s">
        <v>2997</v>
      </c>
      <c r="J241" s="32" t="s">
        <v>2998</v>
      </c>
      <c r="M241" s="35" t="s">
        <v>2999</v>
      </c>
      <c r="N241" s="32"/>
    </row>
    <row r="242" spans="1:14">
      <c r="A242" s="33">
        <v>45133.582517199073</v>
      </c>
      <c r="B242" s="32" t="s">
        <v>3000</v>
      </c>
      <c r="C242" s="32" t="s">
        <v>22</v>
      </c>
      <c r="D242" s="32" t="s">
        <v>3001</v>
      </c>
      <c r="E242" s="32">
        <v>6315964127</v>
      </c>
      <c r="F242" s="32" t="s">
        <v>1770</v>
      </c>
      <c r="G242" s="32" t="s">
        <v>1763</v>
      </c>
      <c r="H242" s="32" t="s">
        <v>1988</v>
      </c>
      <c r="I242" s="34" t="s">
        <v>3002</v>
      </c>
      <c r="J242" s="32" t="s">
        <v>3003</v>
      </c>
      <c r="M242" s="35" t="s">
        <v>3004</v>
      </c>
      <c r="N242" s="32"/>
    </row>
    <row r="243" spans="1:14">
      <c r="A243" s="33">
        <v>45133.582531817126</v>
      </c>
      <c r="B243" s="32" t="s">
        <v>3005</v>
      </c>
      <c r="C243" s="32" t="s">
        <v>29</v>
      </c>
      <c r="D243" s="32" t="s">
        <v>3006</v>
      </c>
      <c r="E243" s="32">
        <v>6412743131</v>
      </c>
      <c r="F243" s="32" t="s">
        <v>1735</v>
      </c>
      <c r="G243" s="32" t="s">
        <v>1845</v>
      </c>
      <c r="H243" s="32" t="s">
        <v>1846</v>
      </c>
      <c r="I243" s="34" t="s">
        <v>3007</v>
      </c>
      <c r="J243" s="32" t="s">
        <v>3008</v>
      </c>
      <c r="M243" s="35" t="s">
        <v>3009</v>
      </c>
      <c r="N243" s="32"/>
    </row>
    <row r="244" spans="1:14">
      <c r="A244" s="33">
        <v>45133.582571412036</v>
      </c>
      <c r="B244" s="32" t="s">
        <v>3010</v>
      </c>
      <c r="C244" s="32" t="s">
        <v>22</v>
      </c>
      <c r="D244" s="32" t="s">
        <v>3011</v>
      </c>
      <c r="E244" s="32">
        <v>6510106101</v>
      </c>
      <c r="F244" s="32" t="s">
        <v>1743</v>
      </c>
      <c r="G244" s="32" t="s">
        <v>1845</v>
      </c>
      <c r="H244" s="32" t="s">
        <v>1000</v>
      </c>
      <c r="I244" s="34" t="s">
        <v>2195</v>
      </c>
      <c r="J244" s="32" t="s">
        <v>3012</v>
      </c>
      <c r="L244" s="32" t="s">
        <v>3013</v>
      </c>
      <c r="M244" s="35" t="s">
        <v>3014</v>
      </c>
      <c r="N244" s="32"/>
    </row>
    <row r="245" spans="1:14">
      <c r="A245" s="33">
        <v>45133.582573298612</v>
      </c>
      <c r="B245" s="32" t="s">
        <v>3015</v>
      </c>
      <c r="C245" s="32" t="s">
        <v>29</v>
      </c>
      <c r="D245" s="32" t="s">
        <v>3016</v>
      </c>
      <c r="E245" s="32">
        <v>6412798114</v>
      </c>
      <c r="F245" s="32" t="s">
        <v>1735</v>
      </c>
      <c r="G245" s="32" t="s">
        <v>1845</v>
      </c>
      <c r="H245" s="32" t="s">
        <v>1869</v>
      </c>
      <c r="I245" s="34" t="s">
        <v>3017</v>
      </c>
      <c r="J245" s="32" t="s">
        <v>3018</v>
      </c>
      <c r="M245" s="35" t="s">
        <v>3019</v>
      </c>
      <c r="N245" s="32"/>
    </row>
    <row r="246" spans="1:14">
      <c r="A246" s="33">
        <v>45133.582578379632</v>
      </c>
      <c r="B246" s="32" t="s">
        <v>3020</v>
      </c>
      <c r="C246" s="32" t="s">
        <v>22</v>
      </c>
      <c r="D246" s="32" t="s">
        <v>3021</v>
      </c>
      <c r="E246" s="32">
        <v>6410048144</v>
      </c>
      <c r="F246" s="32" t="s">
        <v>1735</v>
      </c>
      <c r="G246" s="32" t="s">
        <v>1763</v>
      </c>
      <c r="H246" s="32" t="s">
        <v>1832</v>
      </c>
      <c r="I246" s="34" t="s">
        <v>3022</v>
      </c>
      <c r="J246" s="32" t="s">
        <v>3021</v>
      </c>
      <c r="M246" s="35" t="s">
        <v>3023</v>
      </c>
      <c r="N246" s="32"/>
    </row>
    <row r="247" spans="1:14">
      <c r="A247" s="33">
        <v>45133.582602164352</v>
      </c>
      <c r="B247" s="32" t="s">
        <v>3024</v>
      </c>
      <c r="C247" s="32" t="s">
        <v>29</v>
      </c>
      <c r="D247" s="32" t="s">
        <v>3025</v>
      </c>
      <c r="E247" s="32">
        <v>6310414212</v>
      </c>
      <c r="F247" s="32" t="s">
        <v>1770</v>
      </c>
      <c r="G247" s="32" t="s">
        <v>1736</v>
      </c>
      <c r="H247" s="32" t="s">
        <v>2302</v>
      </c>
      <c r="I247" s="34" t="s">
        <v>3026</v>
      </c>
      <c r="J247" s="32" t="s">
        <v>3027</v>
      </c>
      <c r="L247" s="32" t="s">
        <v>1816</v>
      </c>
      <c r="M247" s="35" t="s">
        <v>3028</v>
      </c>
      <c r="N247" s="32"/>
    </row>
    <row r="248" spans="1:14">
      <c r="A248" s="33">
        <v>45133.582661030094</v>
      </c>
      <c r="B248" s="32" t="s">
        <v>3029</v>
      </c>
      <c r="C248" s="32" t="s">
        <v>29</v>
      </c>
      <c r="D248" s="32" t="s">
        <v>3030</v>
      </c>
      <c r="E248" s="32">
        <v>6612236126</v>
      </c>
      <c r="F248" s="32" t="s">
        <v>1727</v>
      </c>
      <c r="G248" s="32" t="s">
        <v>1736</v>
      </c>
      <c r="H248" s="32" t="s">
        <v>1948</v>
      </c>
      <c r="I248" s="34" t="s">
        <v>3031</v>
      </c>
      <c r="J248" s="32" t="s">
        <v>3032</v>
      </c>
      <c r="L248" s="32" t="s">
        <v>1816</v>
      </c>
      <c r="M248" s="35" t="s">
        <v>3033</v>
      </c>
      <c r="N248" s="32"/>
    </row>
    <row r="249" spans="1:14">
      <c r="A249" s="33">
        <v>45133.58266994213</v>
      </c>
      <c r="B249" s="32" t="s">
        <v>3034</v>
      </c>
      <c r="C249" s="32" t="s">
        <v>29</v>
      </c>
      <c r="D249" s="32" t="s">
        <v>3035</v>
      </c>
      <c r="E249" s="32">
        <v>6412798127</v>
      </c>
      <c r="F249" s="32" t="s">
        <v>1735</v>
      </c>
      <c r="G249" s="32" t="s">
        <v>1845</v>
      </c>
      <c r="H249" s="32" t="s">
        <v>1869</v>
      </c>
      <c r="I249" s="34" t="s">
        <v>3036</v>
      </c>
      <c r="J249" s="32" t="s">
        <v>3037</v>
      </c>
      <c r="M249" s="35" t="s">
        <v>3038</v>
      </c>
      <c r="N249" s="32"/>
    </row>
    <row r="250" spans="1:14">
      <c r="A250" s="33">
        <v>45133.582691481482</v>
      </c>
      <c r="B250" s="32" t="s">
        <v>3039</v>
      </c>
      <c r="C250" s="32" t="s">
        <v>22</v>
      </c>
      <c r="D250" s="32" t="s">
        <v>3040</v>
      </c>
      <c r="E250" s="32">
        <v>6312269112</v>
      </c>
      <c r="F250" s="32" t="s">
        <v>1770</v>
      </c>
      <c r="G250" s="32" t="s">
        <v>1763</v>
      </c>
      <c r="H250" s="32" t="s">
        <v>1778</v>
      </c>
      <c r="I250" s="34" t="s">
        <v>3041</v>
      </c>
      <c r="J250" s="32" t="s">
        <v>3042</v>
      </c>
      <c r="L250" s="32" t="s">
        <v>1816</v>
      </c>
      <c r="M250" s="35" t="s">
        <v>3043</v>
      </c>
      <c r="N250" s="32"/>
    </row>
    <row r="251" spans="1:14">
      <c r="A251" s="33">
        <v>45133.582717303245</v>
      </c>
      <c r="B251" s="32" t="s">
        <v>3044</v>
      </c>
      <c r="C251" s="32" t="s">
        <v>22</v>
      </c>
      <c r="D251" s="32" t="s">
        <v>3045</v>
      </c>
      <c r="E251" s="32">
        <v>6610392203</v>
      </c>
      <c r="F251" s="32" t="s">
        <v>1727</v>
      </c>
      <c r="G251" s="32" t="s">
        <v>1736</v>
      </c>
      <c r="H251" s="32" t="s">
        <v>1797</v>
      </c>
      <c r="I251" s="34" t="s">
        <v>3046</v>
      </c>
      <c r="J251" s="32" t="s">
        <v>3047</v>
      </c>
      <c r="L251" s="32" t="s">
        <v>1766</v>
      </c>
      <c r="M251" s="35" t="s">
        <v>3048</v>
      </c>
      <c r="N251" s="32"/>
    </row>
    <row r="252" spans="1:14">
      <c r="A252" s="33">
        <v>45133.582729074071</v>
      </c>
      <c r="B252" s="32" t="s">
        <v>3049</v>
      </c>
      <c r="C252" s="32" t="s">
        <v>29</v>
      </c>
      <c r="D252" s="32" t="s">
        <v>3050</v>
      </c>
      <c r="E252" s="32">
        <v>6412743142</v>
      </c>
      <c r="F252" s="32" t="s">
        <v>1735</v>
      </c>
      <c r="G252" s="32" t="s">
        <v>1845</v>
      </c>
      <c r="H252" s="32" t="s">
        <v>2610</v>
      </c>
      <c r="I252" s="34" t="s">
        <v>3051</v>
      </c>
      <c r="J252" s="32" t="s">
        <v>3052</v>
      </c>
      <c r="L252" s="32" t="s">
        <v>1816</v>
      </c>
      <c r="M252" s="35" t="s">
        <v>3053</v>
      </c>
      <c r="N252" s="32"/>
    </row>
    <row r="253" spans="1:14">
      <c r="A253" s="33">
        <v>45133.582759293982</v>
      </c>
      <c r="B253" s="32" t="s">
        <v>3054</v>
      </c>
      <c r="C253" s="32" t="s">
        <v>29</v>
      </c>
      <c r="D253" s="32" t="s">
        <v>3055</v>
      </c>
      <c r="E253" s="32">
        <v>6310403303</v>
      </c>
      <c r="F253" s="32" t="s">
        <v>1770</v>
      </c>
      <c r="G253" s="32" t="s">
        <v>1728</v>
      </c>
      <c r="H253" s="32" t="s">
        <v>1756</v>
      </c>
      <c r="I253" s="34" t="s">
        <v>3056</v>
      </c>
      <c r="J253" s="32" t="s">
        <v>3057</v>
      </c>
      <c r="L253" s="32" t="s">
        <v>3058</v>
      </c>
      <c r="M253" s="35" t="s">
        <v>3059</v>
      </c>
      <c r="N253" s="32"/>
    </row>
    <row r="254" spans="1:14">
      <c r="A254" s="33">
        <v>45133.582770983798</v>
      </c>
      <c r="B254" s="32" t="s">
        <v>3060</v>
      </c>
      <c r="C254" s="32" t="s">
        <v>29</v>
      </c>
      <c r="D254" s="32" t="s">
        <v>3061</v>
      </c>
      <c r="E254" s="32">
        <v>6510633108</v>
      </c>
      <c r="F254" s="32" t="s">
        <v>1743</v>
      </c>
      <c r="G254" s="32" t="s">
        <v>1736</v>
      </c>
      <c r="H254" s="32" t="s">
        <v>1820</v>
      </c>
      <c r="I254" s="34" t="s">
        <v>3062</v>
      </c>
      <c r="J254" s="32" t="s">
        <v>3061</v>
      </c>
      <c r="L254" s="32" t="s">
        <v>1766</v>
      </c>
      <c r="M254" s="35" t="s">
        <v>3063</v>
      </c>
      <c r="N254" s="32"/>
    </row>
    <row r="255" spans="1:14">
      <c r="A255" s="33">
        <v>45133.582778668977</v>
      </c>
      <c r="B255" s="32" t="s">
        <v>3064</v>
      </c>
      <c r="C255" s="32" t="s">
        <v>29</v>
      </c>
      <c r="D255" s="32" t="s">
        <v>3065</v>
      </c>
      <c r="E255" s="32">
        <v>6612314114</v>
      </c>
      <c r="F255" s="32" t="s">
        <v>1727</v>
      </c>
      <c r="G255" s="32" t="s">
        <v>1728</v>
      </c>
      <c r="H255" s="32" t="s">
        <v>1729</v>
      </c>
      <c r="I255" s="34" t="s">
        <v>3066</v>
      </c>
      <c r="J255" s="32" t="s">
        <v>3067</v>
      </c>
      <c r="L255" s="32" t="s">
        <v>3068</v>
      </c>
      <c r="M255" s="35" t="s">
        <v>3069</v>
      </c>
      <c r="N255" s="32"/>
    </row>
    <row r="256" spans="1:14">
      <c r="A256" s="33">
        <v>45133.582785648148</v>
      </c>
      <c r="B256" s="32" t="s">
        <v>3070</v>
      </c>
      <c r="C256" s="32" t="s">
        <v>22</v>
      </c>
      <c r="D256" s="32" t="s">
        <v>3071</v>
      </c>
      <c r="E256" s="32">
        <v>6412269121</v>
      </c>
      <c r="F256" s="32" t="s">
        <v>1735</v>
      </c>
      <c r="G256" s="32" t="s">
        <v>1763</v>
      </c>
      <c r="H256" s="32" t="s">
        <v>3072</v>
      </c>
      <c r="I256" s="32" t="s">
        <v>3073</v>
      </c>
      <c r="J256" s="32" t="s">
        <v>3074</v>
      </c>
      <c r="L256" s="32" t="s">
        <v>3075</v>
      </c>
      <c r="M256" s="35" t="s">
        <v>3076</v>
      </c>
      <c r="N256" s="32"/>
    </row>
    <row r="257" spans="1:14">
      <c r="A257" s="33">
        <v>45133.582802812496</v>
      </c>
      <c r="B257" s="32" t="s">
        <v>3077</v>
      </c>
      <c r="C257" s="32" t="s">
        <v>29</v>
      </c>
      <c r="D257" s="32" t="s">
        <v>3078</v>
      </c>
      <c r="E257" s="32">
        <v>6512798109</v>
      </c>
      <c r="F257" s="32" t="s">
        <v>1743</v>
      </c>
      <c r="G257" s="32" t="s">
        <v>1845</v>
      </c>
      <c r="H257" s="32" t="s">
        <v>1869</v>
      </c>
      <c r="I257" s="34" t="s">
        <v>3079</v>
      </c>
      <c r="J257" s="32" t="s">
        <v>3080</v>
      </c>
      <c r="M257" s="35" t="s">
        <v>3081</v>
      </c>
      <c r="N257" s="32"/>
    </row>
    <row r="258" spans="1:14">
      <c r="A258" s="33">
        <v>45133.582808067134</v>
      </c>
      <c r="B258" s="32" t="s">
        <v>3082</v>
      </c>
      <c r="C258" s="32" t="s">
        <v>29</v>
      </c>
      <c r="D258" s="32" t="s">
        <v>3083</v>
      </c>
      <c r="E258" s="32">
        <v>6410073119</v>
      </c>
      <c r="F258" s="32" t="s">
        <v>1735</v>
      </c>
      <c r="G258" s="32" t="s">
        <v>1763</v>
      </c>
      <c r="H258" s="32" t="s">
        <v>1790</v>
      </c>
      <c r="I258" s="34" t="s">
        <v>3084</v>
      </c>
      <c r="J258" s="32" t="s">
        <v>3085</v>
      </c>
      <c r="L258" s="32" t="s">
        <v>1816</v>
      </c>
      <c r="M258" s="35" t="s">
        <v>3086</v>
      </c>
      <c r="N258" s="32"/>
    </row>
    <row r="259" spans="1:14">
      <c r="A259" s="33">
        <v>45133.582835729168</v>
      </c>
      <c r="B259" s="32" t="s">
        <v>3087</v>
      </c>
      <c r="C259" s="32" t="s">
        <v>22</v>
      </c>
      <c r="D259" s="32" t="s">
        <v>3088</v>
      </c>
      <c r="E259" s="32">
        <v>6515964112</v>
      </c>
      <c r="F259" s="32" t="s">
        <v>1743</v>
      </c>
      <c r="G259" s="32" t="s">
        <v>1763</v>
      </c>
      <c r="H259" s="32" t="s">
        <v>1988</v>
      </c>
      <c r="I259" s="34" t="s">
        <v>3089</v>
      </c>
      <c r="J259" s="32" t="s">
        <v>3090</v>
      </c>
      <c r="M259" s="35" t="s">
        <v>3091</v>
      </c>
      <c r="N259" s="32"/>
    </row>
    <row r="260" spans="1:14">
      <c r="A260" s="33">
        <v>45133.582840787036</v>
      </c>
      <c r="B260" s="32" t="s">
        <v>3092</v>
      </c>
      <c r="C260" s="32" t="s">
        <v>29</v>
      </c>
      <c r="D260" s="32" t="s">
        <v>3093</v>
      </c>
      <c r="E260" s="32">
        <v>6510392215</v>
      </c>
      <c r="F260" s="32" t="s">
        <v>1743</v>
      </c>
      <c r="G260" s="32" t="s">
        <v>1736</v>
      </c>
      <c r="H260" s="32" t="s">
        <v>1797</v>
      </c>
      <c r="I260" s="34" t="s">
        <v>3094</v>
      </c>
      <c r="J260" s="32" t="s">
        <v>3095</v>
      </c>
      <c r="L260" s="32" t="s">
        <v>3096</v>
      </c>
      <c r="M260" s="35" t="s">
        <v>3097</v>
      </c>
      <c r="N260" s="32"/>
    </row>
    <row r="261" spans="1:14">
      <c r="A261" s="33">
        <v>45133.582894363426</v>
      </c>
      <c r="B261" s="32" t="s">
        <v>3098</v>
      </c>
      <c r="C261" s="32" t="s">
        <v>29</v>
      </c>
      <c r="D261" s="32" t="s">
        <v>3099</v>
      </c>
      <c r="E261" s="32">
        <v>6512743226</v>
      </c>
      <c r="F261" s="32" t="s">
        <v>1743</v>
      </c>
      <c r="G261" s="32" t="s">
        <v>1845</v>
      </c>
      <c r="H261" s="32" t="s">
        <v>1846</v>
      </c>
      <c r="I261" s="34" t="s">
        <v>3100</v>
      </c>
      <c r="J261" s="32" t="s">
        <v>3101</v>
      </c>
      <c r="L261" s="32" t="s">
        <v>3102</v>
      </c>
      <c r="M261" s="35" t="s">
        <v>3103</v>
      </c>
      <c r="N261" s="32"/>
    </row>
    <row r="262" spans="1:14">
      <c r="A262" s="33">
        <v>45133.582906585652</v>
      </c>
      <c r="B262" s="32" t="s">
        <v>3104</v>
      </c>
      <c r="C262" s="32" t="s">
        <v>22</v>
      </c>
      <c r="D262" s="32" t="s">
        <v>3105</v>
      </c>
      <c r="E262" s="32">
        <v>6410083105</v>
      </c>
      <c r="F262" s="32" t="s">
        <v>1735</v>
      </c>
      <c r="G262" s="32" t="s">
        <v>1845</v>
      </c>
      <c r="H262" s="32" t="s">
        <v>2326</v>
      </c>
      <c r="I262" s="34" t="s">
        <v>3106</v>
      </c>
      <c r="J262" s="32" t="s">
        <v>3107</v>
      </c>
      <c r="M262" s="35" t="s">
        <v>3108</v>
      </c>
      <c r="N262" s="32"/>
    </row>
    <row r="263" spans="1:14">
      <c r="A263" s="33">
        <v>45133.582915648149</v>
      </c>
      <c r="B263" s="32" t="s">
        <v>3109</v>
      </c>
      <c r="C263" s="32" t="s">
        <v>29</v>
      </c>
      <c r="D263" s="32" t="s">
        <v>3110</v>
      </c>
      <c r="E263" s="32">
        <v>6410048156</v>
      </c>
      <c r="F263" s="32" t="s">
        <v>1735</v>
      </c>
      <c r="G263" s="32" t="s">
        <v>1763</v>
      </c>
      <c r="H263" s="32" t="s">
        <v>1832</v>
      </c>
      <c r="I263" s="34" t="s">
        <v>3111</v>
      </c>
      <c r="J263" s="32" t="s">
        <v>3112</v>
      </c>
      <c r="L263" s="32" t="s">
        <v>1766</v>
      </c>
      <c r="M263" s="35" t="s">
        <v>3113</v>
      </c>
      <c r="N263" s="32"/>
    </row>
    <row r="264" spans="1:14">
      <c r="A264" s="33">
        <v>45133.582923807873</v>
      </c>
      <c r="B264" s="32" t="s">
        <v>3114</v>
      </c>
      <c r="C264" s="32" t="s">
        <v>29</v>
      </c>
      <c r="D264" s="32" t="s">
        <v>3115</v>
      </c>
      <c r="E264" s="32">
        <v>6510633227</v>
      </c>
      <c r="F264" s="32" t="s">
        <v>1743</v>
      </c>
      <c r="G264" s="32" t="s">
        <v>1736</v>
      </c>
      <c r="H264" s="32" t="s">
        <v>1820</v>
      </c>
      <c r="I264" s="34" t="s">
        <v>3116</v>
      </c>
      <c r="J264" s="32" t="s">
        <v>3117</v>
      </c>
      <c r="L264" s="32">
        <v>1</v>
      </c>
      <c r="M264" s="35" t="s">
        <v>3118</v>
      </c>
      <c r="N264" s="32"/>
    </row>
    <row r="265" spans="1:14">
      <c r="A265" s="33">
        <v>45133.583044826388</v>
      </c>
      <c r="B265" s="32" t="s">
        <v>3119</v>
      </c>
      <c r="C265" s="32" t="s">
        <v>29</v>
      </c>
      <c r="D265" s="32" t="s">
        <v>3120</v>
      </c>
      <c r="E265" s="32">
        <v>6610414115</v>
      </c>
      <c r="F265" s="32" t="s">
        <v>1727</v>
      </c>
      <c r="G265" s="32" t="s">
        <v>1736</v>
      </c>
      <c r="H265" s="32" t="s">
        <v>2302</v>
      </c>
      <c r="I265" s="34" t="s">
        <v>3121</v>
      </c>
      <c r="J265" s="32" t="s">
        <v>3122</v>
      </c>
      <c r="L265" s="32" t="s">
        <v>1766</v>
      </c>
      <c r="M265" s="35" t="s">
        <v>3123</v>
      </c>
      <c r="N265" s="32"/>
    </row>
    <row r="266" spans="1:14">
      <c r="A266" s="33">
        <v>45133.583081585646</v>
      </c>
      <c r="B266" s="32" t="s">
        <v>3124</v>
      </c>
      <c r="C266" s="32" t="s">
        <v>29</v>
      </c>
      <c r="D266" s="32" t="s">
        <v>3125</v>
      </c>
      <c r="E266" s="32">
        <v>6410095107</v>
      </c>
      <c r="F266" s="32" t="s">
        <v>1735</v>
      </c>
      <c r="G266" s="32" t="s">
        <v>1845</v>
      </c>
      <c r="H266" s="32" t="s">
        <v>3126</v>
      </c>
      <c r="I266" s="34" t="s">
        <v>3127</v>
      </c>
      <c r="J266" s="32" t="s">
        <v>3128</v>
      </c>
      <c r="M266" s="35" t="s">
        <v>3129</v>
      </c>
      <c r="N266" s="32"/>
    </row>
    <row r="267" spans="1:14">
      <c r="A267" s="33">
        <v>45133.583100300923</v>
      </c>
      <c r="B267" s="32" t="s">
        <v>3130</v>
      </c>
      <c r="C267" s="32" t="s">
        <v>29</v>
      </c>
      <c r="D267" s="32" t="s">
        <v>3131</v>
      </c>
      <c r="E267" s="32">
        <v>6310488122</v>
      </c>
      <c r="F267" s="32" t="s">
        <v>1770</v>
      </c>
      <c r="G267" s="32" t="s">
        <v>1736</v>
      </c>
      <c r="H267" s="32" t="s">
        <v>1737</v>
      </c>
      <c r="I267" s="34" t="s">
        <v>3132</v>
      </c>
      <c r="J267" s="32" t="s">
        <v>3131</v>
      </c>
      <c r="L267" s="32" t="s">
        <v>1816</v>
      </c>
      <c r="M267" s="35" t="s">
        <v>3133</v>
      </c>
      <c r="N267" s="32"/>
    </row>
    <row r="268" spans="1:14">
      <c r="A268" s="33">
        <v>45133.583131250001</v>
      </c>
      <c r="B268" s="32" t="s">
        <v>3134</v>
      </c>
      <c r="C268" s="32" t="s">
        <v>22</v>
      </c>
      <c r="D268" s="32" t="s">
        <v>3135</v>
      </c>
      <c r="E268" s="32">
        <v>6410073109</v>
      </c>
      <c r="F268" s="32" t="s">
        <v>1735</v>
      </c>
      <c r="G268" s="32" t="s">
        <v>1763</v>
      </c>
      <c r="H268" s="32" t="s">
        <v>1790</v>
      </c>
      <c r="I268" s="34" t="s">
        <v>3136</v>
      </c>
      <c r="J268" s="32" t="s">
        <v>3137</v>
      </c>
      <c r="L268" s="32" t="s">
        <v>1766</v>
      </c>
      <c r="M268" s="35" t="s">
        <v>3138</v>
      </c>
      <c r="N268" s="32"/>
    </row>
    <row r="269" spans="1:14">
      <c r="A269" s="33">
        <v>45133.583134479166</v>
      </c>
      <c r="B269" s="32" t="s">
        <v>3139</v>
      </c>
      <c r="C269" s="32" t="s">
        <v>22</v>
      </c>
      <c r="D269" s="32" t="s">
        <v>3140</v>
      </c>
      <c r="E269" s="32">
        <v>6510207102</v>
      </c>
      <c r="F269" s="32" t="s">
        <v>1743</v>
      </c>
      <c r="G269" s="32" t="s">
        <v>1736</v>
      </c>
      <c r="H269" s="32" t="s">
        <v>2845</v>
      </c>
      <c r="I269" s="34" t="s">
        <v>3141</v>
      </c>
      <c r="J269" s="32" t="s">
        <v>3142</v>
      </c>
      <c r="M269" s="35" t="s">
        <v>3143</v>
      </c>
      <c r="N269" s="32"/>
    </row>
    <row r="270" spans="1:14">
      <c r="A270" s="33">
        <v>45133.583144432865</v>
      </c>
      <c r="B270" s="32" t="s">
        <v>3144</v>
      </c>
      <c r="C270" s="32" t="s">
        <v>29</v>
      </c>
      <c r="D270" s="32" t="s">
        <v>3145</v>
      </c>
      <c r="E270" s="32">
        <v>6410073114</v>
      </c>
      <c r="F270" s="32" t="s">
        <v>1735</v>
      </c>
      <c r="G270" s="32" t="s">
        <v>1763</v>
      </c>
      <c r="H270" s="32" t="s">
        <v>1790</v>
      </c>
      <c r="I270" s="34" t="s">
        <v>3146</v>
      </c>
      <c r="J270" s="32" t="s">
        <v>3147</v>
      </c>
      <c r="M270" s="35" t="s">
        <v>3148</v>
      </c>
      <c r="N270" s="32"/>
    </row>
    <row r="271" spans="1:14">
      <c r="A271" s="33">
        <v>45133.58318076389</v>
      </c>
      <c r="B271" s="32" t="s">
        <v>3149</v>
      </c>
      <c r="C271" s="32" t="s">
        <v>29</v>
      </c>
      <c r="D271" s="32" t="s">
        <v>3150</v>
      </c>
      <c r="E271" s="32">
        <v>6412866227</v>
      </c>
      <c r="F271" s="32" t="s">
        <v>1735</v>
      </c>
      <c r="G271" s="32" t="s">
        <v>1771</v>
      </c>
      <c r="H271" s="32" t="s">
        <v>2751</v>
      </c>
      <c r="I271" s="34" t="s">
        <v>3151</v>
      </c>
      <c r="J271" s="32" t="s">
        <v>3152</v>
      </c>
      <c r="M271" s="35" t="s">
        <v>3153</v>
      </c>
      <c r="N271" s="32"/>
    </row>
    <row r="272" spans="1:14">
      <c r="A272" s="33">
        <v>45133.583190451391</v>
      </c>
      <c r="B272" s="32" t="s">
        <v>3154</v>
      </c>
      <c r="C272" s="32" t="s">
        <v>29</v>
      </c>
      <c r="D272" s="32" t="s">
        <v>3155</v>
      </c>
      <c r="E272" s="32">
        <v>6510633116</v>
      </c>
      <c r="F272" s="32" t="s">
        <v>1743</v>
      </c>
      <c r="G272" s="32" t="s">
        <v>1736</v>
      </c>
      <c r="H272" s="32" t="s">
        <v>1820</v>
      </c>
      <c r="I272" s="34" t="s">
        <v>3156</v>
      </c>
      <c r="J272" s="32" t="s">
        <v>3157</v>
      </c>
      <c r="L272" s="32" t="s">
        <v>1766</v>
      </c>
      <c r="M272" s="35" t="s">
        <v>3158</v>
      </c>
      <c r="N272" s="32"/>
    </row>
    <row r="273" spans="1:14">
      <c r="A273" s="33">
        <v>45133.583196111111</v>
      </c>
      <c r="B273" s="32" t="s">
        <v>3159</v>
      </c>
      <c r="C273" s="32" t="s">
        <v>29</v>
      </c>
      <c r="D273" s="32" t="s">
        <v>3160</v>
      </c>
      <c r="E273" s="32">
        <v>6510633211</v>
      </c>
      <c r="F273" s="32" t="s">
        <v>1743</v>
      </c>
      <c r="G273" s="32" t="s">
        <v>1736</v>
      </c>
      <c r="H273" s="32" t="s">
        <v>1820</v>
      </c>
      <c r="I273" s="34" t="s">
        <v>3161</v>
      </c>
      <c r="J273" s="32" t="s">
        <v>3162</v>
      </c>
      <c r="M273" s="35" t="s">
        <v>3163</v>
      </c>
      <c r="N273" s="32"/>
    </row>
    <row r="274" spans="1:14">
      <c r="A274" s="33">
        <v>45133.583285162036</v>
      </c>
      <c r="B274" s="32" t="s">
        <v>3164</v>
      </c>
      <c r="C274" s="32" t="s">
        <v>29</v>
      </c>
      <c r="D274" s="32" t="s">
        <v>3165</v>
      </c>
      <c r="E274" s="32">
        <v>6310106114</v>
      </c>
      <c r="F274" s="32" t="s">
        <v>1770</v>
      </c>
      <c r="G274" s="32" t="s">
        <v>1845</v>
      </c>
      <c r="H274" s="32" t="s">
        <v>1000</v>
      </c>
      <c r="I274" s="34" t="s">
        <v>3166</v>
      </c>
      <c r="J274" s="32" t="s">
        <v>3167</v>
      </c>
      <c r="M274" s="35" t="s">
        <v>3168</v>
      </c>
      <c r="N274" s="32"/>
    </row>
    <row r="275" spans="1:14">
      <c r="A275" s="33">
        <v>45133.583293703705</v>
      </c>
      <c r="B275" s="32" t="s">
        <v>3169</v>
      </c>
      <c r="C275" s="32" t="s">
        <v>29</v>
      </c>
      <c r="D275" s="32" t="s">
        <v>3170</v>
      </c>
      <c r="E275" s="32">
        <v>6610414221</v>
      </c>
      <c r="F275" s="32" t="s">
        <v>1727</v>
      </c>
      <c r="G275" s="32" t="s">
        <v>1736</v>
      </c>
      <c r="H275" s="32" t="s">
        <v>2302</v>
      </c>
      <c r="I275" s="34" t="s">
        <v>3171</v>
      </c>
      <c r="J275" s="32" t="s">
        <v>3172</v>
      </c>
      <c r="L275" s="32" t="s">
        <v>1816</v>
      </c>
      <c r="M275" s="35" t="s">
        <v>3173</v>
      </c>
      <c r="N275" s="32"/>
    </row>
    <row r="276" spans="1:14">
      <c r="A276" s="33">
        <v>45133.583370115739</v>
      </c>
      <c r="B276" s="32" t="s">
        <v>3174</v>
      </c>
      <c r="C276" s="32" t="s">
        <v>29</v>
      </c>
      <c r="D276" s="32" t="s">
        <v>3175</v>
      </c>
      <c r="E276" s="32">
        <v>6411506219</v>
      </c>
      <c r="F276" s="32" t="s">
        <v>1735</v>
      </c>
      <c r="G276" s="32" t="s">
        <v>1763</v>
      </c>
      <c r="H276" s="32" t="s">
        <v>2210</v>
      </c>
      <c r="I276" s="34" t="s">
        <v>3176</v>
      </c>
      <c r="J276" s="32" t="s">
        <v>3175</v>
      </c>
      <c r="L276" s="32" t="s">
        <v>2251</v>
      </c>
      <c r="M276" s="35" t="s">
        <v>3177</v>
      </c>
      <c r="N276" s="32"/>
    </row>
    <row r="277" spans="1:14">
      <c r="A277" s="33">
        <v>45133.583379328702</v>
      </c>
      <c r="B277" s="32" t="s">
        <v>3178</v>
      </c>
      <c r="C277" s="32" t="s">
        <v>29</v>
      </c>
      <c r="D277" s="32" t="s">
        <v>3179</v>
      </c>
      <c r="E277" s="32">
        <v>6610633123</v>
      </c>
      <c r="F277" s="32" t="s">
        <v>1727</v>
      </c>
      <c r="G277" s="32" t="s">
        <v>1736</v>
      </c>
      <c r="H277" s="32" t="s">
        <v>1820</v>
      </c>
      <c r="I277" s="34" t="s">
        <v>3180</v>
      </c>
      <c r="J277" s="35" t="s">
        <v>3181</v>
      </c>
      <c r="L277" s="32" t="s">
        <v>1816</v>
      </c>
      <c r="M277" s="35" t="s">
        <v>3182</v>
      </c>
      <c r="N277" s="32"/>
    </row>
    <row r="278" spans="1:14">
      <c r="A278" s="33">
        <v>45133.583417349539</v>
      </c>
      <c r="B278" s="32" t="s">
        <v>3183</v>
      </c>
      <c r="C278" s="32" t="s">
        <v>29</v>
      </c>
      <c r="D278" s="32" t="s">
        <v>3184</v>
      </c>
      <c r="E278" s="32">
        <v>6412866222</v>
      </c>
      <c r="F278" s="32" t="s">
        <v>1735</v>
      </c>
      <c r="G278" s="32" t="s">
        <v>1771</v>
      </c>
      <c r="H278" s="32" t="s">
        <v>2751</v>
      </c>
      <c r="I278" s="32" t="s">
        <v>1816</v>
      </c>
      <c r="J278" s="32" t="s">
        <v>3185</v>
      </c>
      <c r="L278" s="32" t="s">
        <v>1816</v>
      </c>
      <c r="M278" s="35" t="s">
        <v>3186</v>
      </c>
      <c r="N278" s="32"/>
    </row>
    <row r="279" spans="1:14">
      <c r="A279" s="33">
        <v>45133.5834181713</v>
      </c>
      <c r="B279" s="32" t="s">
        <v>3187</v>
      </c>
      <c r="C279" s="32" t="s">
        <v>22</v>
      </c>
      <c r="D279" s="32" t="s">
        <v>3188</v>
      </c>
      <c r="E279" s="32">
        <v>6412269118</v>
      </c>
      <c r="F279" s="32" t="s">
        <v>1735</v>
      </c>
      <c r="G279" s="32" t="s">
        <v>1763</v>
      </c>
      <c r="H279" s="32" t="s">
        <v>1778</v>
      </c>
      <c r="I279" s="34" t="s">
        <v>3189</v>
      </c>
      <c r="J279" s="32" t="s">
        <v>3190</v>
      </c>
      <c r="M279" s="35" t="s">
        <v>3191</v>
      </c>
      <c r="N279" s="32"/>
    </row>
    <row r="280" spans="1:14">
      <c r="A280" s="33">
        <v>45133.58342657407</v>
      </c>
      <c r="B280" s="32" t="s">
        <v>3192</v>
      </c>
      <c r="C280" s="32" t="s">
        <v>22</v>
      </c>
      <c r="D280" s="32" t="s">
        <v>3193</v>
      </c>
      <c r="E280" s="32">
        <v>6312269134</v>
      </c>
      <c r="F280" s="32" t="s">
        <v>1770</v>
      </c>
      <c r="G280" s="32" t="s">
        <v>1763</v>
      </c>
      <c r="H280" s="32" t="s">
        <v>3194</v>
      </c>
      <c r="I280" s="34" t="s">
        <v>3195</v>
      </c>
      <c r="J280" s="32" t="s">
        <v>3196</v>
      </c>
      <c r="M280" s="35" t="s">
        <v>3197</v>
      </c>
      <c r="N280" s="32"/>
    </row>
    <row r="281" spans="1:14">
      <c r="A281" s="33">
        <v>45133.583431747684</v>
      </c>
      <c r="B281" s="32" t="s">
        <v>3198</v>
      </c>
      <c r="C281" s="32" t="s">
        <v>29</v>
      </c>
      <c r="D281" s="32" t="s">
        <v>3199</v>
      </c>
      <c r="E281" s="32">
        <v>6310414217</v>
      </c>
      <c r="F281" s="32" t="s">
        <v>1770</v>
      </c>
      <c r="G281" s="32" t="s">
        <v>1736</v>
      </c>
      <c r="H281" s="32" t="s">
        <v>2302</v>
      </c>
      <c r="I281" s="34" t="s">
        <v>3200</v>
      </c>
      <c r="J281" s="32" t="s">
        <v>3199</v>
      </c>
      <c r="M281" s="35" t="s">
        <v>3201</v>
      </c>
      <c r="N281" s="32"/>
    </row>
    <row r="282" spans="1:14">
      <c r="A282" s="33">
        <v>45133.583434895831</v>
      </c>
      <c r="B282" s="32" t="s">
        <v>3202</v>
      </c>
      <c r="C282" s="32" t="s">
        <v>22</v>
      </c>
      <c r="D282" s="32" t="s">
        <v>3203</v>
      </c>
      <c r="E282" s="32">
        <v>6410488107</v>
      </c>
      <c r="F282" s="32" t="s">
        <v>1735</v>
      </c>
      <c r="G282" s="32" t="s">
        <v>1736</v>
      </c>
      <c r="H282" s="32" t="s">
        <v>1737</v>
      </c>
      <c r="I282" s="34" t="s">
        <v>3204</v>
      </c>
      <c r="J282" s="32" t="s">
        <v>3205</v>
      </c>
      <c r="M282" s="35" t="s">
        <v>3206</v>
      </c>
      <c r="N282" s="32"/>
    </row>
    <row r="283" spans="1:14">
      <c r="A283" s="33">
        <v>45133.583438425921</v>
      </c>
      <c r="B283" s="32" t="s">
        <v>3207</v>
      </c>
      <c r="C283" s="32" t="s">
        <v>29</v>
      </c>
      <c r="D283" s="32" t="s">
        <v>3208</v>
      </c>
      <c r="E283" s="32">
        <v>6410048160</v>
      </c>
      <c r="F283" s="32" t="s">
        <v>1735</v>
      </c>
      <c r="G283" s="32" t="s">
        <v>1763</v>
      </c>
      <c r="H283" s="32" t="s">
        <v>1832</v>
      </c>
      <c r="I283" s="34" t="s">
        <v>3209</v>
      </c>
      <c r="J283" s="32" t="s">
        <v>3210</v>
      </c>
      <c r="M283" s="35" t="s">
        <v>3211</v>
      </c>
      <c r="N283" s="32"/>
    </row>
    <row r="284" spans="1:14">
      <c r="A284" s="33">
        <v>45133.583484513889</v>
      </c>
      <c r="B284" s="32" t="s">
        <v>3212</v>
      </c>
      <c r="C284" s="32" t="s">
        <v>22</v>
      </c>
      <c r="D284" s="32" t="s">
        <v>3213</v>
      </c>
      <c r="E284" s="32">
        <v>6612258212</v>
      </c>
      <c r="F284" s="32" t="s">
        <v>1727</v>
      </c>
      <c r="G284" s="32" t="s">
        <v>1736</v>
      </c>
      <c r="H284" s="32" t="s">
        <v>1744</v>
      </c>
      <c r="I284" s="34" t="s">
        <v>3214</v>
      </c>
      <c r="J284" s="32" t="s">
        <v>3215</v>
      </c>
      <c r="M284" s="35" t="s">
        <v>3216</v>
      </c>
      <c r="N284" s="32"/>
    </row>
    <row r="285" spans="1:14">
      <c r="A285" s="33">
        <v>45133.58348883102</v>
      </c>
      <c r="B285" s="32" t="s">
        <v>3217</v>
      </c>
      <c r="C285" s="32" t="s">
        <v>29</v>
      </c>
      <c r="D285" s="32" t="s">
        <v>3218</v>
      </c>
      <c r="E285" s="32">
        <v>6411506228</v>
      </c>
      <c r="F285" s="32" t="s">
        <v>1735</v>
      </c>
      <c r="G285" s="32" t="s">
        <v>1763</v>
      </c>
      <c r="H285" s="32" t="s">
        <v>2210</v>
      </c>
      <c r="I285" s="34" t="s">
        <v>3219</v>
      </c>
      <c r="J285" s="32" t="s">
        <v>3220</v>
      </c>
      <c r="L285" s="32" t="s">
        <v>1816</v>
      </c>
      <c r="M285" s="35" t="s">
        <v>3221</v>
      </c>
      <c r="N285" s="32"/>
    </row>
    <row r="286" spans="1:14">
      <c r="A286" s="33">
        <v>45133.583508344906</v>
      </c>
      <c r="B286" s="32" t="s">
        <v>3222</v>
      </c>
      <c r="C286" s="32" t="s">
        <v>22</v>
      </c>
      <c r="D286" s="32" t="s">
        <v>3223</v>
      </c>
      <c r="E286" s="32">
        <v>6512798102</v>
      </c>
      <c r="F286" s="32" t="s">
        <v>1743</v>
      </c>
      <c r="G286" s="32" t="s">
        <v>1845</v>
      </c>
      <c r="H286" s="32" t="s">
        <v>1869</v>
      </c>
      <c r="I286" s="34" t="s">
        <v>3224</v>
      </c>
      <c r="J286" s="32" t="s">
        <v>3225</v>
      </c>
      <c r="L286" s="32" t="s">
        <v>1759</v>
      </c>
      <c r="M286" s="35" t="s">
        <v>3226</v>
      </c>
      <c r="N286" s="32"/>
    </row>
    <row r="287" spans="1:14">
      <c r="A287" s="33">
        <v>45133.58358017361</v>
      </c>
      <c r="B287" s="32" t="s">
        <v>3227</v>
      </c>
      <c r="C287" s="32" t="s">
        <v>29</v>
      </c>
      <c r="D287" s="32" t="s">
        <v>3228</v>
      </c>
      <c r="E287" s="32">
        <v>6510633120</v>
      </c>
      <c r="F287" s="32" t="s">
        <v>1743</v>
      </c>
      <c r="G287" s="32" t="s">
        <v>1736</v>
      </c>
      <c r="H287" s="32" t="s">
        <v>1820</v>
      </c>
      <c r="I287" s="34" t="s">
        <v>3229</v>
      </c>
      <c r="J287" s="32" t="s">
        <v>3230</v>
      </c>
      <c r="M287" s="35" t="s">
        <v>3231</v>
      </c>
      <c r="N287" s="32"/>
    </row>
    <row r="288" spans="1:14">
      <c r="A288" s="33">
        <v>45133.583587245375</v>
      </c>
      <c r="B288" s="32" t="s">
        <v>3232</v>
      </c>
      <c r="C288" s="32" t="s">
        <v>29</v>
      </c>
      <c r="D288" s="32" t="s">
        <v>3233</v>
      </c>
      <c r="E288" s="32">
        <v>6310073110</v>
      </c>
      <c r="F288" s="32" t="s">
        <v>1770</v>
      </c>
      <c r="G288" s="32" t="s">
        <v>1763</v>
      </c>
      <c r="H288" s="32" t="s">
        <v>1790</v>
      </c>
      <c r="I288" s="34" t="s">
        <v>3234</v>
      </c>
      <c r="J288" s="32" t="s">
        <v>3235</v>
      </c>
      <c r="M288" s="35" t="s">
        <v>3236</v>
      </c>
      <c r="N288" s="32"/>
    </row>
    <row r="289" spans="1:14">
      <c r="A289" s="33">
        <v>45133.583660173608</v>
      </c>
      <c r="B289" s="32" t="s">
        <v>3237</v>
      </c>
      <c r="C289" s="32" t="s">
        <v>22</v>
      </c>
      <c r="D289" s="32" t="s">
        <v>3238</v>
      </c>
      <c r="E289" s="32">
        <v>6515964109</v>
      </c>
      <c r="F289" s="32" t="s">
        <v>1743</v>
      </c>
      <c r="G289" s="32" t="s">
        <v>1763</v>
      </c>
      <c r="H289" s="32" t="s">
        <v>1988</v>
      </c>
      <c r="I289" s="34" t="s">
        <v>3239</v>
      </c>
      <c r="J289" s="32" t="s">
        <v>3240</v>
      </c>
      <c r="M289" s="35" t="s">
        <v>3241</v>
      </c>
      <c r="N289" s="32"/>
    </row>
    <row r="290" spans="1:14">
      <c r="A290" s="33">
        <v>45133.58368087963</v>
      </c>
      <c r="B290" s="32" t="s">
        <v>3242</v>
      </c>
      <c r="C290" s="32" t="s">
        <v>22</v>
      </c>
      <c r="D290" s="32" t="s">
        <v>3243</v>
      </c>
      <c r="E290" s="32">
        <v>6410083108</v>
      </c>
      <c r="F290" s="32" t="s">
        <v>1735</v>
      </c>
      <c r="G290" s="32" t="s">
        <v>1845</v>
      </c>
      <c r="H290" s="32" t="s">
        <v>2326</v>
      </c>
      <c r="I290" s="34" t="s">
        <v>3244</v>
      </c>
      <c r="J290" s="32" t="s">
        <v>3245</v>
      </c>
      <c r="L290" s="32" t="s">
        <v>3246</v>
      </c>
      <c r="M290" s="35" t="s">
        <v>3247</v>
      </c>
      <c r="N290" s="32"/>
    </row>
    <row r="291" spans="1:14">
      <c r="A291" s="33">
        <v>45133.583687812497</v>
      </c>
      <c r="B291" s="32" t="s">
        <v>3248</v>
      </c>
      <c r="C291" s="32" t="s">
        <v>22</v>
      </c>
      <c r="D291" s="32" t="s">
        <v>3249</v>
      </c>
      <c r="E291" s="32">
        <v>6410083104</v>
      </c>
      <c r="F291" s="32" t="s">
        <v>1735</v>
      </c>
      <c r="G291" s="32" t="s">
        <v>1845</v>
      </c>
      <c r="H291" s="32" t="s">
        <v>2326</v>
      </c>
      <c r="I291" s="34" t="s">
        <v>3250</v>
      </c>
      <c r="J291" s="32" t="s">
        <v>3251</v>
      </c>
      <c r="L291" s="32" t="s">
        <v>1759</v>
      </c>
      <c r="M291" s="35" t="s">
        <v>3252</v>
      </c>
      <c r="N291" s="32"/>
    </row>
    <row r="292" spans="1:14">
      <c r="A292" s="33">
        <v>45133.583701539348</v>
      </c>
      <c r="B292" s="32" t="s">
        <v>3253</v>
      </c>
      <c r="C292" s="32" t="s">
        <v>29</v>
      </c>
      <c r="D292" s="32" t="s">
        <v>3254</v>
      </c>
      <c r="E292" s="32">
        <v>6312866130</v>
      </c>
      <c r="F292" s="32" t="s">
        <v>1770</v>
      </c>
      <c r="G292" s="32" t="s">
        <v>1771</v>
      </c>
      <c r="H292" s="32" t="s">
        <v>2751</v>
      </c>
      <c r="I292" s="34" t="s">
        <v>3255</v>
      </c>
      <c r="J292" s="32" t="s">
        <v>3256</v>
      </c>
      <c r="M292" s="35" t="s">
        <v>3257</v>
      </c>
      <c r="N292" s="32"/>
    </row>
    <row r="293" spans="1:14">
      <c r="A293" s="33">
        <v>45133.583794583334</v>
      </c>
      <c r="B293" s="32" t="s">
        <v>3258</v>
      </c>
      <c r="C293" s="32" t="s">
        <v>29</v>
      </c>
      <c r="D293" s="32" t="s">
        <v>3259</v>
      </c>
      <c r="E293" s="32">
        <v>6612236129</v>
      </c>
      <c r="F293" s="32" t="s">
        <v>1727</v>
      </c>
      <c r="G293" s="32" t="s">
        <v>1736</v>
      </c>
      <c r="H293" s="32" t="s">
        <v>1948</v>
      </c>
      <c r="I293" s="34" t="s">
        <v>3260</v>
      </c>
      <c r="J293" s="32" t="s">
        <v>3261</v>
      </c>
      <c r="M293" s="35" t="s">
        <v>3262</v>
      </c>
      <c r="N293" s="32"/>
    </row>
    <row r="294" spans="1:14">
      <c r="A294" s="33">
        <v>45133.583810439814</v>
      </c>
      <c r="B294" s="32" t="s">
        <v>3263</v>
      </c>
      <c r="C294" s="32" t="s">
        <v>22</v>
      </c>
      <c r="D294" s="32" t="s">
        <v>3264</v>
      </c>
      <c r="E294" s="32">
        <v>6315964111</v>
      </c>
      <c r="F294" s="32" t="s">
        <v>1770</v>
      </c>
      <c r="G294" s="32" t="s">
        <v>1763</v>
      </c>
      <c r="H294" s="32" t="s">
        <v>1988</v>
      </c>
      <c r="I294" s="34" t="s">
        <v>3265</v>
      </c>
      <c r="J294" s="32" t="s">
        <v>3266</v>
      </c>
      <c r="L294" s="32" t="s">
        <v>1816</v>
      </c>
      <c r="M294" s="35" t="s">
        <v>3267</v>
      </c>
      <c r="N294" s="32"/>
    </row>
    <row r="295" spans="1:14">
      <c r="A295" s="33">
        <v>45133.58384313657</v>
      </c>
      <c r="B295" s="32" t="s">
        <v>3268</v>
      </c>
      <c r="C295" s="32" t="s">
        <v>22</v>
      </c>
      <c r="D295" s="32" t="s">
        <v>3269</v>
      </c>
      <c r="E295" s="32">
        <v>6410083103</v>
      </c>
      <c r="F295" s="32" t="s">
        <v>1735</v>
      </c>
      <c r="G295" s="32" t="s">
        <v>1845</v>
      </c>
      <c r="H295" s="32" t="s">
        <v>2326</v>
      </c>
      <c r="I295" s="34" t="s">
        <v>3270</v>
      </c>
      <c r="J295" s="32" t="s">
        <v>3271</v>
      </c>
      <c r="L295" s="32" t="s">
        <v>3272</v>
      </c>
      <c r="M295" s="35" t="s">
        <v>3273</v>
      </c>
      <c r="N295" s="32"/>
    </row>
    <row r="296" spans="1:14">
      <c r="A296" s="33">
        <v>45133.583865312496</v>
      </c>
      <c r="B296" s="32" t="s">
        <v>3274</v>
      </c>
      <c r="C296" s="32" t="s">
        <v>29</v>
      </c>
      <c r="D296" s="32" t="s">
        <v>3275</v>
      </c>
      <c r="E296" s="32">
        <v>6610633214</v>
      </c>
      <c r="F296" s="32" t="s">
        <v>1727</v>
      </c>
      <c r="G296" s="32" t="s">
        <v>1736</v>
      </c>
      <c r="H296" s="32" t="s">
        <v>1820</v>
      </c>
      <c r="I296" s="34" t="s">
        <v>3276</v>
      </c>
      <c r="J296" s="32" t="s">
        <v>3277</v>
      </c>
      <c r="M296" s="35" t="s">
        <v>3278</v>
      </c>
      <c r="N296" s="32"/>
    </row>
    <row r="297" spans="1:14">
      <c r="A297" s="33">
        <v>45133.583909513887</v>
      </c>
      <c r="B297" s="32" t="s">
        <v>3279</v>
      </c>
      <c r="C297" s="32" t="s">
        <v>22</v>
      </c>
      <c r="D297" s="32" t="s">
        <v>3280</v>
      </c>
      <c r="E297" s="32">
        <v>6412743202</v>
      </c>
      <c r="F297" s="32" t="s">
        <v>1735</v>
      </c>
      <c r="G297" s="32" t="s">
        <v>1845</v>
      </c>
      <c r="H297" s="32" t="s">
        <v>3281</v>
      </c>
      <c r="I297" s="34" t="s">
        <v>3282</v>
      </c>
      <c r="J297" s="32" t="s">
        <v>3283</v>
      </c>
      <c r="M297" s="35" t="s">
        <v>3284</v>
      </c>
      <c r="N297" s="32"/>
    </row>
    <row r="298" spans="1:14">
      <c r="A298" s="33">
        <v>45133.583910486108</v>
      </c>
      <c r="B298" s="32" t="s">
        <v>3285</v>
      </c>
      <c r="C298" s="32" t="s">
        <v>29</v>
      </c>
      <c r="D298" s="32" t="s">
        <v>3286</v>
      </c>
      <c r="E298" s="32">
        <v>6612721109</v>
      </c>
      <c r="F298" s="32" t="s">
        <v>1727</v>
      </c>
      <c r="G298" s="32" t="s">
        <v>1736</v>
      </c>
      <c r="H298" s="32" t="s">
        <v>2216</v>
      </c>
      <c r="I298" s="34" t="s">
        <v>3287</v>
      </c>
      <c r="J298" s="32" t="s">
        <v>3288</v>
      </c>
      <c r="M298" s="35" t="s">
        <v>3289</v>
      </c>
      <c r="N298" s="32"/>
    </row>
    <row r="299" spans="1:14">
      <c r="A299" s="33">
        <v>45133.583912187503</v>
      </c>
      <c r="B299" s="32" t="s">
        <v>3290</v>
      </c>
      <c r="C299" s="32" t="s">
        <v>29</v>
      </c>
      <c r="D299" s="32" t="s">
        <v>3291</v>
      </c>
      <c r="E299" s="32">
        <v>6310073109</v>
      </c>
      <c r="F299" s="32" t="s">
        <v>1770</v>
      </c>
      <c r="G299" s="32" t="s">
        <v>1763</v>
      </c>
      <c r="H299" s="32" t="s">
        <v>1790</v>
      </c>
      <c r="I299" s="34" t="s">
        <v>3292</v>
      </c>
      <c r="J299" s="32" t="s">
        <v>3293</v>
      </c>
      <c r="M299" s="35" t="s">
        <v>3294</v>
      </c>
      <c r="N299" s="32"/>
    </row>
    <row r="300" spans="1:14">
      <c r="A300" s="33">
        <v>45133.583940486111</v>
      </c>
      <c r="B300" s="32" t="s">
        <v>3295</v>
      </c>
      <c r="C300" s="32" t="s">
        <v>29</v>
      </c>
      <c r="D300" s="32" t="s">
        <v>3296</v>
      </c>
      <c r="E300" s="32">
        <v>6512798113</v>
      </c>
      <c r="F300" s="32" t="s">
        <v>1743</v>
      </c>
      <c r="G300" s="32" t="s">
        <v>1845</v>
      </c>
      <c r="H300" s="32" t="s">
        <v>1869</v>
      </c>
      <c r="I300" s="34" t="s">
        <v>3297</v>
      </c>
      <c r="J300" s="32" t="s">
        <v>3298</v>
      </c>
      <c r="M300" s="35" t="s">
        <v>3299</v>
      </c>
      <c r="N300" s="32"/>
    </row>
    <row r="301" spans="1:14">
      <c r="A301" s="33">
        <v>45133.583978113427</v>
      </c>
      <c r="B301" s="32" t="s">
        <v>3300</v>
      </c>
      <c r="C301" s="32" t="s">
        <v>29</v>
      </c>
      <c r="D301" s="32" t="s">
        <v>3301</v>
      </c>
      <c r="E301" s="32">
        <v>6412866119</v>
      </c>
      <c r="F301" s="32" t="s">
        <v>1735</v>
      </c>
      <c r="G301" s="32" t="s">
        <v>1771</v>
      </c>
      <c r="H301" s="32" t="s">
        <v>2751</v>
      </c>
      <c r="I301" s="34" t="s">
        <v>3302</v>
      </c>
      <c r="J301" s="32" t="s">
        <v>3303</v>
      </c>
      <c r="L301" s="32" t="s">
        <v>1816</v>
      </c>
      <c r="M301" s="35" t="s">
        <v>3304</v>
      </c>
      <c r="N301" s="32"/>
    </row>
    <row r="302" spans="1:14">
      <c r="A302" s="33">
        <v>45133.584068807875</v>
      </c>
      <c r="B302" s="32" t="s">
        <v>3305</v>
      </c>
      <c r="C302" s="32" t="s">
        <v>29</v>
      </c>
      <c r="D302" s="32" t="s">
        <v>3306</v>
      </c>
      <c r="E302" s="32">
        <v>6310073106</v>
      </c>
      <c r="F302" s="32" t="s">
        <v>1770</v>
      </c>
      <c r="G302" s="32" t="s">
        <v>1763</v>
      </c>
      <c r="H302" s="32" t="s">
        <v>1790</v>
      </c>
      <c r="I302" s="34" t="s">
        <v>3307</v>
      </c>
      <c r="J302" s="32" t="s">
        <v>3308</v>
      </c>
      <c r="M302" s="35" t="s">
        <v>3309</v>
      </c>
      <c r="N302" s="32"/>
    </row>
    <row r="303" spans="1:14">
      <c r="A303" s="33">
        <v>45133.584306886572</v>
      </c>
      <c r="B303" s="32" t="s">
        <v>3310</v>
      </c>
      <c r="C303" s="32" t="s">
        <v>29</v>
      </c>
      <c r="D303" s="32" t="s">
        <v>3311</v>
      </c>
      <c r="E303" s="32">
        <v>6412743239</v>
      </c>
      <c r="F303" s="32" t="s">
        <v>1735</v>
      </c>
      <c r="G303" s="32" t="s">
        <v>1845</v>
      </c>
      <c r="H303" s="32" t="s">
        <v>1846</v>
      </c>
      <c r="I303" s="34" t="s">
        <v>3312</v>
      </c>
      <c r="J303" s="32" t="s">
        <v>3313</v>
      </c>
      <c r="M303" s="35" t="s">
        <v>3314</v>
      </c>
      <c r="N303" s="32"/>
    </row>
    <row r="304" spans="1:14">
      <c r="A304" s="33">
        <v>45133.58433986111</v>
      </c>
      <c r="B304" s="32" t="s">
        <v>3315</v>
      </c>
      <c r="C304" s="32" t="s">
        <v>22</v>
      </c>
      <c r="D304" s="32" t="s">
        <v>3316</v>
      </c>
      <c r="E304" s="32">
        <v>6412798106</v>
      </c>
      <c r="F304" s="32" t="s">
        <v>1735</v>
      </c>
      <c r="G304" s="32" t="s">
        <v>1845</v>
      </c>
      <c r="H304" s="32" t="s">
        <v>1869</v>
      </c>
      <c r="I304" s="34" t="s">
        <v>3317</v>
      </c>
      <c r="J304" s="32" t="s">
        <v>3318</v>
      </c>
      <c r="M304" s="35" t="s">
        <v>3319</v>
      </c>
      <c r="N304" s="32"/>
    </row>
    <row r="305" spans="1:14">
      <c r="A305" s="33">
        <v>45133.58434332176</v>
      </c>
      <c r="B305" s="32" t="s">
        <v>3320</v>
      </c>
      <c r="C305" s="32" t="s">
        <v>29</v>
      </c>
      <c r="D305" s="32" t="s">
        <v>3321</v>
      </c>
      <c r="E305" s="32">
        <v>6412866221</v>
      </c>
      <c r="F305" s="32" t="s">
        <v>1735</v>
      </c>
      <c r="G305" s="32" t="s">
        <v>1771</v>
      </c>
      <c r="H305" s="32" t="s">
        <v>2751</v>
      </c>
      <c r="I305" s="34" t="s">
        <v>3322</v>
      </c>
      <c r="J305" s="32" t="s">
        <v>3323</v>
      </c>
      <c r="L305" s="32" t="s">
        <v>1816</v>
      </c>
      <c r="M305" s="35" t="s">
        <v>3324</v>
      </c>
      <c r="N305" s="32"/>
    </row>
    <row r="306" spans="1:14">
      <c r="A306" s="33">
        <v>45133.584353738421</v>
      </c>
      <c r="B306" s="32" t="s">
        <v>3325</v>
      </c>
      <c r="C306" s="32" t="s">
        <v>29</v>
      </c>
      <c r="D306" s="32" t="s">
        <v>3326</v>
      </c>
      <c r="E306" s="32">
        <v>6510633224</v>
      </c>
      <c r="F306" s="32" t="s">
        <v>1743</v>
      </c>
      <c r="G306" s="32" t="s">
        <v>1736</v>
      </c>
      <c r="H306" s="32" t="s">
        <v>1820</v>
      </c>
      <c r="I306" s="34" t="s">
        <v>3327</v>
      </c>
      <c r="J306" s="32" t="s">
        <v>3326</v>
      </c>
      <c r="L306" s="32" t="s">
        <v>1816</v>
      </c>
      <c r="M306" s="35" t="s">
        <v>3328</v>
      </c>
      <c r="N306" s="32"/>
    </row>
    <row r="307" spans="1:14">
      <c r="A307" s="33">
        <v>45133.584384108792</v>
      </c>
      <c r="B307" s="32" t="s">
        <v>3329</v>
      </c>
      <c r="C307" s="32" t="s">
        <v>22</v>
      </c>
      <c r="D307" s="32" t="s">
        <v>3330</v>
      </c>
      <c r="E307" s="32">
        <v>6610633111</v>
      </c>
      <c r="F307" s="32" t="s">
        <v>1727</v>
      </c>
      <c r="G307" s="32" t="s">
        <v>1736</v>
      </c>
      <c r="H307" s="32" t="s">
        <v>1820</v>
      </c>
      <c r="I307" s="34" t="s">
        <v>3331</v>
      </c>
      <c r="J307" s="32" t="s">
        <v>3332</v>
      </c>
      <c r="M307" s="35" t="s">
        <v>3333</v>
      </c>
      <c r="N307" s="32"/>
    </row>
    <row r="308" spans="1:14">
      <c r="A308" s="33">
        <v>45133.58438782407</v>
      </c>
      <c r="B308" s="32" t="s">
        <v>3334</v>
      </c>
      <c r="C308" s="32" t="s">
        <v>29</v>
      </c>
      <c r="D308" s="32" t="s">
        <v>3335</v>
      </c>
      <c r="E308" s="32">
        <v>6310106105</v>
      </c>
      <c r="F308" s="32" t="s">
        <v>1770</v>
      </c>
      <c r="G308" s="32" t="s">
        <v>1845</v>
      </c>
      <c r="H308" s="32" t="s">
        <v>1000</v>
      </c>
      <c r="I308" s="34" t="s">
        <v>3336</v>
      </c>
      <c r="J308" s="32" t="s">
        <v>3337</v>
      </c>
      <c r="L308" s="32" t="s">
        <v>1816</v>
      </c>
      <c r="M308" s="35" t="s">
        <v>3338</v>
      </c>
      <c r="N308" s="32"/>
    </row>
    <row r="309" spans="1:14">
      <c r="A309" s="33">
        <v>45133.584388726857</v>
      </c>
      <c r="B309" s="32" t="s">
        <v>3339</v>
      </c>
      <c r="C309" s="32" t="s">
        <v>29</v>
      </c>
      <c r="D309" s="32" t="s">
        <v>3340</v>
      </c>
      <c r="E309" s="32">
        <v>6410414227</v>
      </c>
      <c r="F309" s="32" t="s">
        <v>1735</v>
      </c>
      <c r="G309" s="32" t="s">
        <v>1736</v>
      </c>
      <c r="H309" s="32" t="s">
        <v>2302</v>
      </c>
      <c r="I309" s="34" t="s">
        <v>3341</v>
      </c>
      <c r="J309" s="32" t="s">
        <v>3340</v>
      </c>
      <c r="M309" s="35" t="s">
        <v>3342</v>
      </c>
      <c r="N309" s="32"/>
    </row>
    <row r="310" spans="1:14">
      <c r="A310" s="33">
        <v>45133.584441979168</v>
      </c>
      <c r="B310" s="32" t="s">
        <v>3343</v>
      </c>
      <c r="C310" s="32" t="s">
        <v>22</v>
      </c>
      <c r="D310" s="32" t="s">
        <v>3344</v>
      </c>
      <c r="E310" s="32">
        <v>6410073113</v>
      </c>
      <c r="F310" s="32" t="s">
        <v>1735</v>
      </c>
      <c r="G310" s="32" t="s">
        <v>1763</v>
      </c>
      <c r="H310" s="32" t="s">
        <v>1790</v>
      </c>
      <c r="I310" s="34" t="s">
        <v>3345</v>
      </c>
      <c r="J310" s="32" t="s">
        <v>3346</v>
      </c>
      <c r="L310" s="32" t="s">
        <v>1766</v>
      </c>
      <c r="M310" s="35" t="s">
        <v>3347</v>
      </c>
      <c r="N310" s="32"/>
    </row>
    <row r="311" spans="1:14">
      <c r="A311" s="33">
        <v>45133.584656273146</v>
      </c>
      <c r="B311" s="32" t="s">
        <v>3348</v>
      </c>
      <c r="C311" s="32" t="s">
        <v>29</v>
      </c>
      <c r="D311" s="32" t="s">
        <v>3349</v>
      </c>
      <c r="E311" s="32">
        <v>6612314126</v>
      </c>
      <c r="F311" s="32" t="s">
        <v>1727</v>
      </c>
      <c r="G311" s="32" t="s">
        <v>1728</v>
      </c>
      <c r="H311" s="32" t="s">
        <v>1729</v>
      </c>
      <c r="I311" s="34" t="s">
        <v>3350</v>
      </c>
      <c r="J311" s="32" t="s">
        <v>3351</v>
      </c>
      <c r="L311" s="32" t="s">
        <v>1766</v>
      </c>
      <c r="M311" s="35" t="s">
        <v>3352</v>
      </c>
      <c r="N311" s="32"/>
    </row>
    <row r="312" spans="1:14">
      <c r="A312" s="33">
        <v>45133.584823657409</v>
      </c>
      <c r="B312" s="32" t="s">
        <v>3353</v>
      </c>
      <c r="C312" s="32" t="s">
        <v>22</v>
      </c>
      <c r="D312" s="32" t="s">
        <v>3354</v>
      </c>
      <c r="E312" s="32">
        <v>6412269106</v>
      </c>
      <c r="F312" s="32" t="s">
        <v>1735</v>
      </c>
      <c r="G312" s="32" t="s">
        <v>1763</v>
      </c>
      <c r="H312" s="32" t="s">
        <v>1778</v>
      </c>
      <c r="I312" s="34" t="s">
        <v>3355</v>
      </c>
      <c r="J312" s="32" t="s">
        <v>3354</v>
      </c>
      <c r="L312" s="32" t="s">
        <v>3356</v>
      </c>
      <c r="M312" s="35" t="s">
        <v>3357</v>
      </c>
      <c r="N312" s="32"/>
    </row>
    <row r="313" spans="1:14">
      <c r="A313" s="33">
        <v>45133.585032835646</v>
      </c>
      <c r="B313" s="32" t="s">
        <v>3358</v>
      </c>
      <c r="C313" s="32" t="s">
        <v>29</v>
      </c>
      <c r="D313" s="32" t="s">
        <v>3359</v>
      </c>
      <c r="E313" s="32">
        <v>6410488123</v>
      </c>
      <c r="F313" s="32" t="s">
        <v>1735</v>
      </c>
      <c r="G313" s="32" t="s">
        <v>1736</v>
      </c>
      <c r="H313" s="32" t="s">
        <v>1737</v>
      </c>
      <c r="I313" s="34" t="s">
        <v>3360</v>
      </c>
      <c r="J313" s="32" t="s">
        <v>3361</v>
      </c>
      <c r="M313" s="35" t="s">
        <v>3362</v>
      </c>
      <c r="N313" s="32"/>
    </row>
    <row r="314" spans="1:14">
      <c r="A314" s="33">
        <v>45133.585319814811</v>
      </c>
      <c r="B314" s="32" t="s">
        <v>3363</v>
      </c>
      <c r="C314" s="32" t="s">
        <v>29</v>
      </c>
      <c r="D314" s="32" t="s">
        <v>3364</v>
      </c>
      <c r="E314" s="32">
        <v>6410073121</v>
      </c>
      <c r="F314" s="32" t="s">
        <v>1735</v>
      </c>
      <c r="G314" s="32" t="s">
        <v>1763</v>
      </c>
      <c r="H314" s="32" t="s">
        <v>1790</v>
      </c>
      <c r="I314" s="34" t="s">
        <v>3365</v>
      </c>
      <c r="J314" s="32" t="s">
        <v>3366</v>
      </c>
      <c r="M314" s="35" t="s">
        <v>3367</v>
      </c>
      <c r="N314" s="32"/>
    </row>
    <row r="315" spans="1:14">
      <c r="A315" s="33">
        <v>45133.585345972228</v>
      </c>
      <c r="B315" s="32" t="s">
        <v>3368</v>
      </c>
      <c r="C315" s="32" t="s">
        <v>22</v>
      </c>
      <c r="D315" s="32" t="s">
        <v>3369</v>
      </c>
      <c r="E315" s="32">
        <v>6412798105</v>
      </c>
      <c r="F315" s="32" t="s">
        <v>1735</v>
      </c>
      <c r="G315" s="32" t="s">
        <v>1845</v>
      </c>
      <c r="H315" s="32" t="s">
        <v>1869</v>
      </c>
      <c r="I315" s="34" t="s">
        <v>3370</v>
      </c>
      <c r="J315" s="32" t="s">
        <v>3371</v>
      </c>
      <c r="M315" s="35" t="s">
        <v>3372</v>
      </c>
      <c r="N315" s="32"/>
    </row>
    <row r="316" spans="1:14">
      <c r="A316" s="33">
        <v>45133.585366134255</v>
      </c>
      <c r="B316" s="32" t="s">
        <v>3373</v>
      </c>
      <c r="C316" s="32" t="s">
        <v>29</v>
      </c>
      <c r="D316" s="32" t="s">
        <v>3374</v>
      </c>
      <c r="E316" s="32">
        <v>6310403125</v>
      </c>
      <c r="F316" s="32" t="s">
        <v>1770</v>
      </c>
      <c r="G316" s="32" t="s">
        <v>1728</v>
      </c>
      <c r="H316" s="32" t="s">
        <v>1756</v>
      </c>
      <c r="I316" s="34" t="s">
        <v>3375</v>
      </c>
      <c r="J316" s="32" t="s">
        <v>3376</v>
      </c>
      <c r="M316" s="35" t="s">
        <v>3377</v>
      </c>
      <c r="N316" s="32"/>
    </row>
    <row r="317" spans="1:14">
      <c r="A317" s="33">
        <v>45133.585418379633</v>
      </c>
      <c r="B317" s="32" t="s">
        <v>3378</v>
      </c>
      <c r="C317" s="32" t="s">
        <v>22</v>
      </c>
      <c r="D317" s="32" t="s">
        <v>3379</v>
      </c>
      <c r="E317" s="32">
        <v>6610048243</v>
      </c>
      <c r="F317" s="32" t="s">
        <v>1727</v>
      </c>
      <c r="G317" s="32" t="s">
        <v>1763</v>
      </c>
      <c r="H317" s="32" t="s">
        <v>3380</v>
      </c>
      <c r="I317" s="34" t="s">
        <v>3381</v>
      </c>
      <c r="J317" s="32" t="s">
        <v>3382</v>
      </c>
      <c r="L317" s="32" t="s">
        <v>1816</v>
      </c>
      <c r="M317" s="35" t="s">
        <v>3383</v>
      </c>
      <c r="N317" s="32"/>
    </row>
    <row r="318" spans="1:14">
      <c r="A318" s="33">
        <v>45133.585428541672</v>
      </c>
      <c r="B318" s="32" t="s">
        <v>3384</v>
      </c>
      <c r="C318" s="32" t="s">
        <v>29</v>
      </c>
      <c r="D318" s="32" t="s">
        <v>3385</v>
      </c>
      <c r="E318" s="32">
        <v>6310403127</v>
      </c>
      <c r="F318" s="32" t="s">
        <v>1770</v>
      </c>
      <c r="G318" s="32" t="s">
        <v>1728</v>
      </c>
      <c r="H318" s="32" t="s">
        <v>1756</v>
      </c>
      <c r="I318" s="34" t="s">
        <v>3386</v>
      </c>
      <c r="J318" s="32" t="s">
        <v>3385</v>
      </c>
      <c r="L318" s="32" t="s">
        <v>1816</v>
      </c>
      <c r="M318" s="35" t="s">
        <v>3387</v>
      </c>
      <c r="N318" s="32"/>
    </row>
    <row r="319" spans="1:14">
      <c r="A319" s="33">
        <v>45133.585429456019</v>
      </c>
      <c r="B319" s="32" t="s">
        <v>3388</v>
      </c>
      <c r="C319" s="32" t="s">
        <v>29</v>
      </c>
      <c r="D319" s="32" t="s">
        <v>3389</v>
      </c>
      <c r="E319" s="32">
        <v>6412798116</v>
      </c>
      <c r="F319" s="32" t="s">
        <v>1735</v>
      </c>
      <c r="G319" s="32" t="s">
        <v>1845</v>
      </c>
      <c r="H319" s="32" t="s">
        <v>1869</v>
      </c>
      <c r="I319" s="34" t="s">
        <v>3390</v>
      </c>
      <c r="J319" s="32" t="s">
        <v>3391</v>
      </c>
      <c r="M319" s="35" t="s">
        <v>3392</v>
      </c>
      <c r="N319" s="32"/>
    </row>
    <row r="320" spans="1:14">
      <c r="A320" s="33">
        <v>45133.585444895834</v>
      </c>
      <c r="B320" s="32" t="s">
        <v>3393</v>
      </c>
      <c r="C320" s="32" t="s">
        <v>29</v>
      </c>
      <c r="D320" s="32" t="s">
        <v>3394</v>
      </c>
      <c r="E320" s="32">
        <v>6412798117</v>
      </c>
      <c r="F320" s="32" t="s">
        <v>1735</v>
      </c>
      <c r="G320" s="32" t="s">
        <v>1845</v>
      </c>
      <c r="H320" s="32" t="s">
        <v>1869</v>
      </c>
      <c r="I320" s="34" t="s">
        <v>3395</v>
      </c>
      <c r="J320" s="32" t="s">
        <v>1121</v>
      </c>
      <c r="L320" s="32" t="s">
        <v>1766</v>
      </c>
      <c r="M320" s="35" t="s">
        <v>3396</v>
      </c>
      <c r="N320" s="32"/>
    </row>
    <row r="321" spans="1:14">
      <c r="A321" s="33">
        <v>45133.585501608795</v>
      </c>
      <c r="B321" s="32" t="s">
        <v>3397</v>
      </c>
      <c r="C321" s="32" t="s">
        <v>29</v>
      </c>
      <c r="D321" s="32" t="s">
        <v>3398</v>
      </c>
      <c r="E321" s="32">
        <v>6312866135</v>
      </c>
      <c r="F321" s="32" t="s">
        <v>1770</v>
      </c>
      <c r="G321" s="32" t="s">
        <v>1771</v>
      </c>
      <c r="H321" s="32" t="s">
        <v>2751</v>
      </c>
      <c r="I321" s="34" t="s">
        <v>3399</v>
      </c>
      <c r="J321" s="32" t="s">
        <v>3400</v>
      </c>
      <c r="M321" s="35" t="s">
        <v>3401</v>
      </c>
      <c r="N321" s="32"/>
    </row>
    <row r="322" spans="1:14">
      <c r="A322" s="33">
        <v>45133.585552187498</v>
      </c>
      <c r="B322" s="32" t="s">
        <v>3402</v>
      </c>
      <c r="C322" s="32" t="s">
        <v>29</v>
      </c>
      <c r="D322" s="32" t="s">
        <v>3403</v>
      </c>
      <c r="E322" s="32">
        <v>6510014116</v>
      </c>
      <c r="F322" s="32" t="s">
        <v>1743</v>
      </c>
      <c r="G322" s="32" t="s">
        <v>1763</v>
      </c>
      <c r="H322" s="32" t="s">
        <v>2427</v>
      </c>
      <c r="I322" s="34" t="s">
        <v>3404</v>
      </c>
      <c r="J322" s="32" t="s">
        <v>3405</v>
      </c>
      <c r="L322" s="32" t="s">
        <v>1816</v>
      </c>
      <c r="M322" s="35" t="s">
        <v>3406</v>
      </c>
      <c r="N322" s="32"/>
    </row>
    <row r="323" spans="1:14">
      <c r="A323" s="33">
        <v>45133.585618715282</v>
      </c>
      <c r="B323" s="32" t="s">
        <v>3407</v>
      </c>
      <c r="C323" s="32" t="s">
        <v>22</v>
      </c>
      <c r="D323" s="32" t="s">
        <v>3408</v>
      </c>
      <c r="E323" s="32">
        <v>6515964125</v>
      </c>
      <c r="F323" s="32" t="s">
        <v>1743</v>
      </c>
      <c r="G323" s="32" t="s">
        <v>1763</v>
      </c>
      <c r="H323" s="32" t="s">
        <v>3409</v>
      </c>
      <c r="I323" s="34" t="s">
        <v>3410</v>
      </c>
      <c r="J323" s="32" t="s">
        <v>3411</v>
      </c>
      <c r="M323" s="35" t="s">
        <v>3412</v>
      </c>
      <c r="N323" s="32"/>
    </row>
    <row r="324" spans="1:14">
      <c r="A324" s="33">
        <v>45133.585744988421</v>
      </c>
      <c r="B324" s="32" t="s">
        <v>3413</v>
      </c>
      <c r="C324" s="32" t="s">
        <v>29</v>
      </c>
      <c r="D324" s="32" t="s">
        <v>3414</v>
      </c>
      <c r="E324" s="32">
        <v>6410633124</v>
      </c>
      <c r="F324" s="32" t="s">
        <v>1735</v>
      </c>
      <c r="G324" s="32" t="s">
        <v>1736</v>
      </c>
      <c r="H324" s="32" t="s">
        <v>1820</v>
      </c>
      <c r="I324" s="34" t="s">
        <v>3415</v>
      </c>
      <c r="J324" s="32" t="s">
        <v>3416</v>
      </c>
      <c r="M324" s="35" t="s">
        <v>3417</v>
      </c>
      <c r="N324" s="32"/>
    </row>
    <row r="325" spans="1:14">
      <c r="A325" s="33">
        <v>45133.585758194444</v>
      </c>
      <c r="B325" s="32" t="s">
        <v>3418</v>
      </c>
      <c r="C325" s="32" t="s">
        <v>22</v>
      </c>
      <c r="D325" s="32" t="s">
        <v>3419</v>
      </c>
      <c r="E325" s="32">
        <v>6312269106</v>
      </c>
      <c r="F325" s="32" t="s">
        <v>1770</v>
      </c>
      <c r="G325" s="32" t="s">
        <v>1763</v>
      </c>
      <c r="H325" s="32" t="s">
        <v>1778</v>
      </c>
      <c r="I325" s="34" t="s">
        <v>3420</v>
      </c>
      <c r="J325" s="32" t="s">
        <v>3421</v>
      </c>
      <c r="M325" s="35" t="s">
        <v>3422</v>
      </c>
      <c r="N325" s="32"/>
    </row>
    <row r="326" spans="1:14">
      <c r="A326" s="33">
        <v>45133.585773773149</v>
      </c>
      <c r="B326" s="32" t="s">
        <v>3423</v>
      </c>
      <c r="C326" s="32" t="s">
        <v>22</v>
      </c>
      <c r="D326" s="32" t="s">
        <v>3424</v>
      </c>
      <c r="E326" s="32">
        <v>6310073108</v>
      </c>
      <c r="F326" s="32" t="s">
        <v>1770</v>
      </c>
      <c r="G326" s="32" t="s">
        <v>1763</v>
      </c>
      <c r="H326" s="32" t="s">
        <v>1790</v>
      </c>
      <c r="I326" s="34" t="s">
        <v>3425</v>
      </c>
      <c r="J326" s="32" t="s">
        <v>3424</v>
      </c>
      <c r="M326" s="35" t="s">
        <v>3426</v>
      </c>
      <c r="N326" s="32"/>
    </row>
    <row r="327" spans="1:14">
      <c r="A327" s="33">
        <v>45133.585835995371</v>
      </c>
      <c r="B327" s="32" t="s">
        <v>3427</v>
      </c>
      <c r="C327" s="32" t="s">
        <v>22</v>
      </c>
      <c r="D327" s="32" t="s">
        <v>3428</v>
      </c>
      <c r="E327" s="32">
        <v>6512855106</v>
      </c>
      <c r="F327" s="32" t="s">
        <v>1743</v>
      </c>
      <c r="G327" s="32" t="s">
        <v>1845</v>
      </c>
      <c r="H327" s="32" t="s">
        <v>3429</v>
      </c>
      <c r="I327" s="34" t="s">
        <v>3430</v>
      </c>
      <c r="J327" s="32" t="s">
        <v>3431</v>
      </c>
      <c r="L327" s="32" t="s">
        <v>3432</v>
      </c>
      <c r="M327" s="35" t="s">
        <v>3433</v>
      </c>
      <c r="N327" s="32"/>
    </row>
    <row r="328" spans="1:14">
      <c r="A328" s="33">
        <v>45133.585866284724</v>
      </c>
      <c r="B328" s="32" t="s">
        <v>3434</v>
      </c>
      <c r="C328" s="32" t="s">
        <v>29</v>
      </c>
      <c r="D328" s="32" t="s">
        <v>3435</v>
      </c>
      <c r="E328" s="32">
        <v>6610414208</v>
      </c>
      <c r="F328" s="32" t="s">
        <v>1727</v>
      </c>
      <c r="G328" s="32" t="s">
        <v>1736</v>
      </c>
      <c r="H328" s="32" t="s">
        <v>2302</v>
      </c>
      <c r="I328" s="34" t="s">
        <v>3436</v>
      </c>
      <c r="J328" s="32" t="s">
        <v>3437</v>
      </c>
      <c r="L328" s="32" t="s">
        <v>1766</v>
      </c>
      <c r="M328" s="35" t="s">
        <v>3438</v>
      </c>
      <c r="N328" s="32"/>
    </row>
    <row r="329" spans="1:14">
      <c r="A329" s="33">
        <v>45133.585889062495</v>
      </c>
      <c r="B329" s="32" t="s">
        <v>3439</v>
      </c>
      <c r="C329" s="32" t="s">
        <v>29</v>
      </c>
      <c r="D329" s="32" t="s">
        <v>3440</v>
      </c>
      <c r="E329" s="32">
        <v>6512798152</v>
      </c>
      <c r="F329" s="32" t="s">
        <v>1743</v>
      </c>
      <c r="G329" s="32" t="s">
        <v>1845</v>
      </c>
      <c r="H329" s="32" t="s">
        <v>1869</v>
      </c>
      <c r="I329" s="34" t="s">
        <v>3441</v>
      </c>
      <c r="J329" s="32" t="s">
        <v>3442</v>
      </c>
      <c r="L329" s="32" t="s">
        <v>1816</v>
      </c>
      <c r="M329" s="35" t="s">
        <v>3443</v>
      </c>
      <c r="N329" s="32"/>
    </row>
    <row r="330" spans="1:14">
      <c r="A330" s="33">
        <v>45133.586443680557</v>
      </c>
      <c r="B330" s="32" t="s">
        <v>3444</v>
      </c>
      <c r="C330" s="32" t="s">
        <v>29</v>
      </c>
      <c r="D330" s="32" t="s">
        <v>3445</v>
      </c>
      <c r="E330" s="32">
        <v>6312743215</v>
      </c>
      <c r="F330" s="32" t="s">
        <v>1770</v>
      </c>
      <c r="G330" s="32" t="s">
        <v>1845</v>
      </c>
      <c r="H330" s="32" t="s">
        <v>2610</v>
      </c>
      <c r="I330" s="32" t="s">
        <v>3446</v>
      </c>
      <c r="J330" s="32" t="s">
        <v>3447</v>
      </c>
      <c r="M330" s="35" t="s">
        <v>3448</v>
      </c>
      <c r="N330" s="32"/>
    </row>
    <row r="331" spans="1:14">
      <c r="A331" s="33">
        <v>45133.586494108793</v>
      </c>
      <c r="B331" s="32" t="s">
        <v>3449</v>
      </c>
      <c r="C331" s="32" t="s">
        <v>22</v>
      </c>
      <c r="D331" s="32" t="s">
        <v>3450</v>
      </c>
      <c r="E331" s="32">
        <v>6315964112</v>
      </c>
      <c r="F331" s="32" t="s">
        <v>1770</v>
      </c>
      <c r="G331" s="32" t="s">
        <v>1763</v>
      </c>
      <c r="H331" s="32" t="s">
        <v>1852</v>
      </c>
      <c r="I331" s="34" t="s">
        <v>3451</v>
      </c>
      <c r="J331" s="32" t="s">
        <v>3452</v>
      </c>
      <c r="L331" s="32" t="s">
        <v>1816</v>
      </c>
      <c r="M331" s="35" t="s">
        <v>3453</v>
      </c>
      <c r="N331" s="32"/>
    </row>
    <row r="332" spans="1:14">
      <c r="A332" s="33">
        <v>45133.58653940972</v>
      </c>
      <c r="B332" s="32" t="s">
        <v>3454</v>
      </c>
      <c r="C332" s="32" t="s">
        <v>22</v>
      </c>
      <c r="D332" s="32" t="s">
        <v>3455</v>
      </c>
      <c r="E332" s="32">
        <v>6410073126</v>
      </c>
      <c r="F332" s="32" t="s">
        <v>1735</v>
      </c>
      <c r="G332" s="32" t="s">
        <v>1763</v>
      </c>
      <c r="H332" s="32" t="s">
        <v>1790</v>
      </c>
      <c r="I332" s="34" t="s">
        <v>3456</v>
      </c>
      <c r="J332" s="32" t="s">
        <v>3455</v>
      </c>
      <c r="L332" s="32" t="s">
        <v>1816</v>
      </c>
      <c r="M332" s="35" t="s">
        <v>3457</v>
      </c>
      <c r="N332" s="32"/>
    </row>
    <row r="333" spans="1:14">
      <c r="A333" s="33">
        <v>45133.586663969909</v>
      </c>
      <c r="B333" s="32" t="s">
        <v>3458</v>
      </c>
      <c r="C333" s="32" t="s">
        <v>22</v>
      </c>
      <c r="D333" s="32" t="s">
        <v>3459</v>
      </c>
      <c r="E333" s="32">
        <v>6412798104</v>
      </c>
      <c r="F333" s="32" t="s">
        <v>1735</v>
      </c>
      <c r="G333" s="32" t="s">
        <v>1845</v>
      </c>
      <c r="H333" s="32" t="s">
        <v>1869</v>
      </c>
      <c r="I333" s="34" t="s">
        <v>3460</v>
      </c>
      <c r="J333" s="32" t="s">
        <v>3461</v>
      </c>
      <c r="M333" s="35" t="s">
        <v>3462</v>
      </c>
      <c r="N333" s="32"/>
    </row>
    <row r="334" spans="1:14">
      <c r="A334" s="33">
        <v>45133.5868290625</v>
      </c>
      <c r="B334" s="32" t="s">
        <v>3463</v>
      </c>
      <c r="C334" s="32" t="s">
        <v>29</v>
      </c>
      <c r="D334" s="32" t="s">
        <v>3464</v>
      </c>
      <c r="E334" s="32">
        <v>6410488212</v>
      </c>
      <c r="F334" s="32" t="s">
        <v>1735</v>
      </c>
      <c r="G334" s="32" t="s">
        <v>1736</v>
      </c>
      <c r="H334" s="32" t="s">
        <v>1737</v>
      </c>
      <c r="I334" s="34" t="s">
        <v>3465</v>
      </c>
      <c r="J334" s="32" t="s">
        <v>3466</v>
      </c>
      <c r="L334" s="32" t="s">
        <v>1759</v>
      </c>
      <c r="M334" s="35" t="s">
        <v>3467</v>
      </c>
      <c r="N334" s="32"/>
    </row>
    <row r="335" spans="1:14">
      <c r="A335" s="33">
        <v>45133.5869097338</v>
      </c>
      <c r="B335" s="32" t="s">
        <v>3468</v>
      </c>
      <c r="C335" s="32" t="s">
        <v>29</v>
      </c>
      <c r="D335" s="32" t="s">
        <v>3469</v>
      </c>
      <c r="E335" s="32">
        <v>6312743223</v>
      </c>
      <c r="F335" s="32" t="s">
        <v>1770</v>
      </c>
      <c r="G335" s="32" t="s">
        <v>1845</v>
      </c>
      <c r="H335" s="32" t="s">
        <v>2610</v>
      </c>
      <c r="I335" s="34" t="s">
        <v>3470</v>
      </c>
      <c r="J335" s="32" t="s">
        <v>3471</v>
      </c>
      <c r="L335" s="32" t="s">
        <v>1816</v>
      </c>
      <c r="M335" s="35" t="s">
        <v>3472</v>
      </c>
      <c r="N335" s="32"/>
    </row>
    <row r="336" spans="1:14">
      <c r="A336" s="33">
        <v>45133.587010057869</v>
      </c>
      <c r="B336" s="32" t="s">
        <v>3473</v>
      </c>
      <c r="C336" s="32" t="s">
        <v>22</v>
      </c>
      <c r="D336" s="32" t="s">
        <v>3474</v>
      </c>
      <c r="E336" s="32">
        <v>6512732102</v>
      </c>
      <c r="F336" s="32" t="s">
        <v>1743</v>
      </c>
      <c r="G336" s="32" t="s">
        <v>1763</v>
      </c>
      <c r="H336" s="32" t="s">
        <v>1911</v>
      </c>
      <c r="I336" s="34" t="s">
        <v>3475</v>
      </c>
      <c r="J336" s="32" t="s">
        <v>3476</v>
      </c>
      <c r="M336" s="35" t="s">
        <v>3477</v>
      </c>
      <c r="N336" s="32"/>
    </row>
    <row r="337" spans="1:14">
      <c r="A337" s="33">
        <v>45133.587212812505</v>
      </c>
      <c r="B337" s="32" t="s">
        <v>3478</v>
      </c>
      <c r="C337" s="32" t="s">
        <v>29</v>
      </c>
      <c r="D337" s="32" t="s">
        <v>3479</v>
      </c>
      <c r="E337" s="32">
        <v>6612236121</v>
      </c>
      <c r="F337" s="32" t="s">
        <v>1727</v>
      </c>
      <c r="G337" s="32" t="s">
        <v>1736</v>
      </c>
      <c r="H337" s="32" t="s">
        <v>1948</v>
      </c>
      <c r="I337" s="34" t="s">
        <v>3480</v>
      </c>
      <c r="J337" s="32" t="s">
        <v>3481</v>
      </c>
      <c r="L337" s="32" t="s">
        <v>1766</v>
      </c>
      <c r="M337" s="35" t="s">
        <v>3482</v>
      </c>
      <c r="N337" s="32"/>
    </row>
    <row r="338" spans="1:14">
      <c r="A338" s="33">
        <v>45133.587564050926</v>
      </c>
      <c r="B338" s="32" t="s">
        <v>3483</v>
      </c>
      <c r="C338" s="32" t="s">
        <v>22</v>
      </c>
      <c r="D338" s="32" t="s">
        <v>3484</v>
      </c>
      <c r="E338" s="32">
        <v>6315964107</v>
      </c>
      <c r="F338" s="32" t="s">
        <v>1770</v>
      </c>
      <c r="G338" s="32" t="s">
        <v>1763</v>
      </c>
      <c r="H338" s="32" t="s">
        <v>1988</v>
      </c>
      <c r="I338" s="34" t="s">
        <v>3485</v>
      </c>
      <c r="J338" s="32" t="s">
        <v>3486</v>
      </c>
      <c r="M338" s="35" t="s">
        <v>3487</v>
      </c>
      <c r="N338" s="32"/>
    </row>
    <row r="339" spans="1:14">
      <c r="A339" s="33">
        <v>45133.58768788194</v>
      </c>
      <c r="B339" s="32" t="s">
        <v>3488</v>
      </c>
      <c r="C339" s="32" t="s">
        <v>29</v>
      </c>
      <c r="D339" s="32" t="s">
        <v>3489</v>
      </c>
      <c r="E339" s="32">
        <v>6610403309</v>
      </c>
      <c r="F339" s="32" t="s">
        <v>1727</v>
      </c>
      <c r="G339" s="32" t="s">
        <v>1728</v>
      </c>
      <c r="H339" s="32" t="s">
        <v>1756</v>
      </c>
      <c r="I339" s="34" t="s">
        <v>3490</v>
      </c>
      <c r="J339" s="32" t="s">
        <v>3491</v>
      </c>
      <c r="L339" s="32" t="s">
        <v>1816</v>
      </c>
      <c r="M339" s="35" t="s">
        <v>3492</v>
      </c>
      <c r="N339" s="32"/>
    </row>
    <row r="340" spans="1:14">
      <c r="A340" s="33">
        <v>45133.587806238429</v>
      </c>
      <c r="B340" s="32" t="s">
        <v>3493</v>
      </c>
      <c r="C340" s="32" t="s">
        <v>29</v>
      </c>
      <c r="D340" s="32" t="s">
        <v>3494</v>
      </c>
      <c r="E340" s="32">
        <v>6310073107</v>
      </c>
      <c r="F340" s="32" t="s">
        <v>1770</v>
      </c>
      <c r="G340" s="32" t="s">
        <v>1763</v>
      </c>
      <c r="H340" s="32" t="s">
        <v>1790</v>
      </c>
      <c r="I340" s="34" t="s">
        <v>3495</v>
      </c>
      <c r="J340" s="32" t="s">
        <v>3496</v>
      </c>
      <c r="L340" s="32" t="s">
        <v>1766</v>
      </c>
      <c r="M340" s="35" t="s">
        <v>3497</v>
      </c>
      <c r="N340" s="32"/>
    </row>
    <row r="341" spans="1:14">
      <c r="A341" s="33">
        <v>45133.58793105324</v>
      </c>
      <c r="B341" s="32" t="s">
        <v>3498</v>
      </c>
      <c r="C341" s="32" t="s">
        <v>22</v>
      </c>
      <c r="D341" s="32" t="s">
        <v>3499</v>
      </c>
      <c r="E341" s="32">
        <v>6510014104</v>
      </c>
      <c r="F341" s="32" t="s">
        <v>1743</v>
      </c>
      <c r="G341" s="32" t="s">
        <v>1763</v>
      </c>
      <c r="H341" s="32" t="s">
        <v>3500</v>
      </c>
      <c r="I341" s="34" t="s">
        <v>3501</v>
      </c>
      <c r="J341" s="32" t="s">
        <v>3502</v>
      </c>
      <c r="L341" s="32" t="s">
        <v>3503</v>
      </c>
      <c r="M341" s="35" t="s">
        <v>3504</v>
      </c>
      <c r="N341" s="32"/>
    </row>
    <row r="342" spans="1:14">
      <c r="A342" s="33">
        <v>45133.588114224534</v>
      </c>
      <c r="B342" s="32" t="s">
        <v>3505</v>
      </c>
      <c r="C342" s="32" t="s">
        <v>22</v>
      </c>
      <c r="D342" s="32" t="s">
        <v>3506</v>
      </c>
      <c r="E342" s="32">
        <v>6510014102</v>
      </c>
      <c r="F342" s="32" t="s">
        <v>1743</v>
      </c>
      <c r="G342" s="32" t="s">
        <v>1763</v>
      </c>
      <c r="H342" s="32" t="s">
        <v>3507</v>
      </c>
      <c r="I342" s="34" t="s">
        <v>3508</v>
      </c>
      <c r="J342" s="32" t="s">
        <v>3509</v>
      </c>
      <c r="L342" s="32" t="s">
        <v>1766</v>
      </c>
      <c r="M342" s="35" t="s">
        <v>3510</v>
      </c>
      <c r="N342" s="32"/>
    </row>
    <row r="343" spans="1:14">
      <c r="A343" s="33">
        <v>45133.588488668982</v>
      </c>
      <c r="B343" s="32" t="s">
        <v>3511</v>
      </c>
      <c r="C343" s="32" t="s">
        <v>22</v>
      </c>
      <c r="D343" s="32" t="s">
        <v>3512</v>
      </c>
      <c r="E343" s="32">
        <v>6512798103</v>
      </c>
      <c r="F343" s="32" t="s">
        <v>1743</v>
      </c>
      <c r="G343" s="32" t="s">
        <v>1845</v>
      </c>
      <c r="H343" s="32" t="s">
        <v>1869</v>
      </c>
      <c r="I343" s="34" t="s">
        <v>3513</v>
      </c>
      <c r="J343" s="32" t="s">
        <v>3514</v>
      </c>
      <c r="M343" s="35" t="s">
        <v>3515</v>
      </c>
      <c r="N343" s="32"/>
    </row>
    <row r="344" spans="1:14">
      <c r="A344" s="33">
        <v>45133.588757511578</v>
      </c>
      <c r="B344" s="32" t="s">
        <v>3516</v>
      </c>
      <c r="C344" s="32" t="s">
        <v>29</v>
      </c>
      <c r="D344" s="32" t="s">
        <v>3517</v>
      </c>
      <c r="E344" s="32">
        <v>6310403310</v>
      </c>
      <c r="F344" s="32" t="s">
        <v>1770</v>
      </c>
      <c r="G344" s="32" t="s">
        <v>1728</v>
      </c>
      <c r="H344" s="32" t="s">
        <v>1756</v>
      </c>
      <c r="I344" s="34" t="s">
        <v>3518</v>
      </c>
      <c r="J344" s="32" t="s">
        <v>3517</v>
      </c>
      <c r="L344" s="32" t="s">
        <v>3519</v>
      </c>
      <c r="M344" s="35" t="s">
        <v>3520</v>
      </c>
      <c r="N344" s="32"/>
    </row>
    <row r="345" spans="1:14">
      <c r="A345" s="33">
        <v>45133.588988356481</v>
      </c>
      <c r="B345" s="32" t="s">
        <v>3521</v>
      </c>
      <c r="C345" s="32" t="s">
        <v>29</v>
      </c>
      <c r="D345" s="32" t="s">
        <v>3522</v>
      </c>
      <c r="E345" s="32">
        <v>6512798123</v>
      </c>
      <c r="F345" s="32" t="s">
        <v>1743</v>
      </c>
      <c r="G345" s="32" t="s">
        <v>1845</v>
      </c>
      <c r="H345" s="32" t="s">
        <v>1869</v>
      </c>
      <c r="I345" s="34" t="s">
        <v>3523</v>
      </c>
      <c r="J345" s="32" t="s">
        <v>1816</v>
      </c>
      <c r="L345" s="32" t="s">
        <v>2412</v>
      </c>
      <c r="M345" s="35" t="s">
        <v>3524</v>
      </c>
      <c r="N345" s="32"/>
    </row>
    <row r="346" spans="1:14">
      <c r="A346" s="33">
        <v>45133.589103020829</v>
      </c>
      <c r="B346" s="32" t="s">
        <v>3525</v>
      </c>
      <c r="C346" s="32" t="s">
        <v>22</v>
      </c>
      <c r="D346" s="32" t="s">
        <v>3526</v>
      </c>
      <c r="E346" s="32">
        <v>6315964104</v>
      </c>
      <c r="F346" s="32" t="s">
        <v>1770</v>
      </c>
      <c r="G346" s="32" t="s">
        <v>1763</v>
      </c>
      <c r="H346" s="32" t="s">
        <v>1988</v>
      </c>
      <c r="I346" s="34" t="s">
        <v>3527</v>
      </c>
      <c r="J346" s="32" t="s">
        <v>3528</v>
      </c>
      <c r="L346" s="32" t="s">
        <v>1816</v>
      </c>
      <c r="M346" s="35" t="s">
        <v>3529</v>
      </c>
      <c r="N346" s="32"/>
    </row>
    <row r="347" spans="1:14">
      <c r="A347" s="33">
        <v>45133.58913630787</v>
      </c>
      <c r="B347" s="32" t="s">
        <v>3530</v>
      </c>
      <c r="C347" s="32" t="s">
        <v>29</v>
      </c>
      <c r="D347" s="32" t="s">
        <v>3531</v>
      </c>
      <c r="E347" s="32">
        <v>6512247211</v>
      </c>
      <c r="F347" s="32" t="s">
        <v>1743</v>
      </c>
      <c r="G347" s="32" t="s">
        <v>1736</v>
      </c>
      <c r="H347" s="32" t="s">
        <v>2022</v>
      </c>
      <c r="I347" s="34" t="s">
        <v>3532</v>
      </c>
      <c r="J347" s="32" t="s">
        <v>3533</v>
      </c>
      <c r="L347" s="32" t="s">
        <v>3534</v>
      </c>
      <c r="M347" s="35" t="s">
        <v>3535</v>
      </c>
      <c r="N347" s="32"/>
    </row>
    <row r="348" spans="1:14">
      <c r="A348" s="33">
        <v>45133.589190995372</v>
      </c>
      <c r="B348" s="32" t="s">
        <v>3536</v>
      </c>
      <c r="C348" s="32" t="s">
        <v>22</v>
      </c>
      <c r="D348" s="32" t="s">
        <v>3537</v>
      </c>
      <c r="E348" s="32">
        <v>6410633106</v>
      </c>
      <c r="F348" s="32" t="s">
        <v>1735</v>
      </c>
      <c r="G348" s="32" t="s">
        <v>1736</v>
      </c>
      <c r="H348" s="32" t="s">
        <v>1820</v>
      </c>
      <c r="I348" s="34" t="s">
        <v>3538</v>
      </c>
      <c r="J348" s="32" t="s">
        <v>3539</v>
      </c>
      <c r="L348" s="32" t="s">
        <v>3540</v>
      </c>
      <c r="M348" s="35" t="s">
        <v>3541</v>
      </c>
      <c r="N348" s="32"/>
    </row>
    <row r="349" spans="1:14">
      <c r="A349" s="33">
        <v>45133.589262604168</v>
      </c>
      <c r="B349" s="32" t="s">
        <v>3542</v>
      </c>
      <c r="C349" s="32" t="s">
        <v>29</v>
      </c>
      <c r="D349" s="32" t="s">
        <v>3543</v>
      </c>
      <c r="E349" s="32">
        <v>6510106136</v>
      </c>
      <c r="F349" s="32" t="s">
        <v>1743</v>
      </c>
      <c r="G349" s="32" t="s">
        <v>1845</v>
      </c>
      <c r="H349" s="32" t="s">
        <v>1000</v>
      </c>
      <c r="I349" s="34" t="s">
        <v>3544</v>
      </c>
      <c r="J349" s="32" t="s">
        <v>3545</v>
      </c>
      <c r="M349" s="35" t="s">
        <v>3546</v>
      </c>
      <c r="N349" s="32"/>
    </row>
    <row r="350" spans="1:14">
      <c r="A350" s="33">
        <v>45133.589304340276</v>
      </c>
      <c r="B350" s="32" t="s">
        <v>3547</v>
      </c>
      <c r="C350" s="32" t="s">
        <v>22</v>
      </c>
      <c r="D350" s="32" t="s">
        <v>3548</v>
      </c>
      <c r="E350" s="32">
        <v>6410633207</v>
      </c>
      <c r="F350" s="32" t="s">
        <v>1735</v>
      </c>
      <c r="G350" s="32" t="s">
        <v>1736</v>
      </c>
      <c r="H350" s="32" t="s">
        <v>1820</v>
      </c>
      <c r="I350" s="34" t="s">
        <v>3549</v>
      </c>
      <c r="J350" s="32" t="s">
        <v>3550</v>
      </c>
      <c r="M350" s="35" t="s">
        <v>3551</v>
      </c>
      <c r="N350" s="32"/>
    </row>
    <row r="351" spans="1:14">
      <c r="A351" s="33">
        <v>45133.589363483799</v>
      </c>
      <c r="B351" s="32" t="s">
        <v>3552</v>
      </c>
      <c r="C351" s="32" t="s">
        <v>22</v>
      </c>
      <c r="D351" s="32" t="s">
        <v>3553</v>
      </c>
      <c r="E351" s="32">
        <v>6410048108</v>
      </c>
      <c r="F351" s="32" t="s">
        <v>1735</v>
      </c>
      <c r="G351" s="32" t="s">
        <v>1763</v>
      </c>
      <c r="H351" s="32" t="s">
        <v>1832</v>
      </c>
      <c r="I351" s="34" t="s">
        <v>3554</v>
      </c>
      <c r="J351" s="32" t="s">
        <v>3555</v>
      </c>
      <c r="M351" s="35" t="s">
        <v>3556</v>
      </c>
      <c r="N351" s="32"/>
    </row>
    <row r="352" spans="1:14">
      <c r="A352" s="33">
        <v>45133.589401284728</v>
      </c>
      <c r="B352" s="32" t="s">
        <v>3557</v>
      </c>
      <c r="C352" s="32" t="s">
        <v>22</v>
      </c>
      <c r="D352" s="32" t="s">
        <v>3558</v>
      </c>
      <c r="E352" s="32">
        <v>6610488101</v>
      </c>
      <c r="F352" s="32" t="s">
        <v>1727</v>
      </c>
      <c r="G352" s="32" t="s">
        <v>1736</v>
      </c>
      <c r="H352" s="32" t="s">
        <v>1737</v>
      </c>
      <c r="I352" s="34" t="s">
        <v>3559</v>
      </c>
      <c r="J352" s="32" t="s">
        <v>3560</v>
      </c>
      <c r="M352" s="35" t="s">
        <v>3561</v>
      </c>
      <c r="N352" s="32"/>
    </row>
    <row r="353" spans="1:14">
      <c r="A353" s="33">
        <v>45133.589434618058</v>
      </c>
      <c r="B353" s="32" t="s">
        <v>3562</v>
      </c>
      <c r="C353" s="32" t="s">
        <v>22</v>
      </c>
      <c r="D353" s="32" t="s">
        <v>3563</v>
      </c>
      <c r="E353" s="32">
        <v>6410633204</v>
      </c>
      <c r="F353" s="32" t="s">
        <v>1735</v>
      </c>
      <c r="G353" s="32" t="s">
        <v>1736</v>
      </c>
      <c r="H353" s="32" t="s">
        <v>1820</v>
      </c>
      <c r="I353" s="34" t="s">
        <v>3564</v>
      </c>
      <c r="J353" s="32" t="s">
        <v>3565</v>
      </c>
      <c r="M353" s="35" t="s">
        <v>3566</v>
      </c>
      <c r="N353" s="32"/>
    </row>
    <row r="354" spans="1:14">
      <c r="A354" s="33">
        <v>45133.589581631946</v>
      </c>
      <c r="B354" s="32" t="s">
        <v>3567</v>
      </c>
      <c r="C354" s="32" t="s">
        <v>22</v>
      </c>
      <c r="D354" s="32" t="s">
        <v>3568</v>
      </c>
      <c r="E354" s="32">
        <v>6510633207</v>
      </c>
      <c r="F354" s="32" t="s">
        <v>1743</v>
      </c>
      <c r="G354" s="32" t="s">
        <v>1736</v>
      </c>
      <c r="H354" s="32" t="s">
        <v>3569</v>
      </c>
      <c r="I354" s="34" t="s">
        <v>3570</v>
      </c>
      <c r="J354" s="32" t="s">
        <v>3571</v>
      </c>
      <c r="L354" s="32" t="s">
        <v>1816</v>
      </c>
      <c r="M354" s="35" t="s">
        <v>3572</v>
      </c>
      <c r="N354" s="32"/>
    </row>
    <row r="355" spans="1:14">
      <c r="A355" s="33">
        <v>45133.589737939816</v>
      </c>
      <c r="B355" s="32" t="s">
        <v>3573</v>
      </c>
      <c r="C355" s="32" t="s">
        <v>22</v>
      </c>
      <c r="D355" s="32" t="s">
        <v>3574</v>
      </c>
      <c r="E355" s="32">
        <v>6310633210</v>
      </c>
      <c r="F355" s="32" t="s">
        <v>1770</v>
      </c>
      <c r="G355" s="32" t="s">
        <v>1736</v>
      </c>
      <c r="H355" s="32" t="s">
        <v>1820</v>
      </c>
      <c r="I355" s="34" t="s">
        <v>3575</v>
      </c>
      <c r="J355" s="32" t="s">
        <v>3576</v>
      </c>
      <c r="L355" s="32" t="s">
        <v>3577</v>
      </c>
      <c r="M355" s="35" t="s">
        <v>3578</v>
      </c>
      <c r="N355" s="32"/>
    </row>
    <row r="356" spans="1:14">
      <c r="A356" s="33">
        <v>45133.589785405093</v>
      </c>
      <c r="B356" s="32" t="s">
        <v>3579</v>
      </c>
      <c r="C356" s="32" t="s">
        <v>22</v>
      </c>
      <c r="D356" s="32" t="s">
        <v>3580</v>
      </c>
      <c r="E356" s="32">
        <v>6410633211</v>
      </c>
      <c r="F356" s="32" t="s">
        <v>1735</v>
      </c>
      <c r="G356" s="32" t="s">
        <v>1736</v>
      </c>
      <c r="H356" s="32" t="s">
        <v>1820</v>
      </c>
      <c r="I356" s="34" t="s">
        <v>3581</v>
      </c>
      <c r="J356" s="32" t="s">
        <v>3582</v>
      </c>
      <c r="M356" s="35" t="s">
        <v>3583</v>
      </c>
      <c r="N356" s="32"/>
    </row>
    <row r="357" spans="1:14">
      <c r="A357" s="33">
        <v>45133.589865856484</v>
      </c>
      <c r="B357" s="32" t="s">
        <v>3584</v>
      </c>
      <c r="C357" s="32" t="s">
        <v>22</v>
      </c>
      <c r="D357" s="32" t="s">
        <v>3585</v>
      </c>
      <c r="E357" s="32">
        <v>6410633101</v>
      </c>
      <c r="F357" s="32" t="s">
        <v>1735</v>
      </c>
      <c r="G357" s="32" t="s">
        <v>1736</v>
      </c>
      <c r="H357" s="32" t="s">
        <v>1820</v>
      </c>
      <c r="I357" s="34" t="s">
        <v>3586</v>
      </c>
      <c r="J357" s="32" t="s">
        <v>3587</v>
      </c>
      <c r="L357" s="32" t="s">
        <v>1816</v>
      </c>
      <c r="M357" s="35" t="s">
        <v>3588</v>
      </c>
      <c r="N357" s="32"/>
    </row>
    <row r="358" spans="1:14">
      <c r="A358" s="33">
        <v>45133.589942268518</v>
      </c>
      <c r="B358" s="32" t="s">
        <v>3589</v>
      </c>
      <c r="C358" s="32" t="s">
        <v>22</v>
      </c>
      <c r="D358" s="32" t="s">
        <v>3590</v>
      </c>
      <c r="E358" s="32">
        <v>6410633201</v>
      </c>
      <c r="F358" s="32" t="s">
        <v>1735</v>
      </c>
      <c r="G358" s="32" t="s">
        <v>1736</v>
      </c>
      <c r="H358" s="32" t="s">
        <v>1820</v>
      </c>
      <c r="I358" s="34" t="s">
        <v>3591</v>
      </c>
      <c r="J358" s="32" t="s">
        <v>3592</v>
      </c>
      <c r="M358" s="35" t="s">
        <v>3593</v>
      </c>
      <c r="N358" s="32"/>
    </row>
    <row r="359" spans="1:14">
      <c r="A359" s="33">
        <v>45133.590081712959</v>
      </c>
      <c r="B359" s="32" t="s">
        <v>3594</v>
      </c>
      <c r="C359" s="32" t="s">
        <v>22</v>
      </c>
      <c r="D359" s="32" t="s">
        <v>3595</v>
      </c>
      <c r="E359" s="32">
        <v>6410633108</v>
      </c>
      <c r="F359" s="32" t="s">
        <v>1735</v>
      </c>
      <c r="G359" s="32" t="s">
        <v>1736</v>
      </c>
      <c r="H359" s="32" t="s">
        <v>1820</v>
      </c>
      <c r="I359" s="34" t="s">
        <v>3596</v>
      </c>
      <c r="J359" s="32" t="s">
        <v>3597</v>
      </c>
      <c r="L359" s="32" t="s">
        <v>1766</v>
      </c>
      <c r="M359" s="35" t="s">
        <v>3598</v>
      </c>
      <c r="N359" s="32"/>
    </row>
    <row r="360" spans="1:14">
      <c r="A360" s="33">
        <v>45133.590118692126</v>
      </c>
      <c r="B360" s="32" t="s">
        <v>3599</v>
      </c>
      <c r="C360" s="32" t="s">
        <v>22</v>
      </c>
      <c r="D360" s="32" t="s">
        <v>3600</v>
      </c>
      <c r="E360" s="32">
        <v>6510633205</v>
      </c>
      <c r="F360" s="32" t="s">
        <v>1743</v>
      </c>
      <c r="G360" s="32" t="s">
        <v>1736</v>
      </c>
      <c r="H360" s="32" t="s">
        <v>1820</v>
      </c>
      <c r="I360" s="34" t="s">
        <v>3601</v>
      </c>
      <c r="J360" s="32" t="s">
        <v>3602</v>
      </c>
      <c r="L360" s="32" t="s">
        <v>3603</v>
      </c>
      <c r="M360" s="35" t="s">
        <v>3604</v>
      </c>
      <c r="N360" s="32"/>
    </row>
    <row r="361" spans="1:14">
      <c r="A361" s="33">
        <v>45133.590311504631</v>
      </c>
      <c r="B361" s="32" t="s">
        <v>3605</v>
      </c>
      <c r="C361" s="32" t="s">
        <v>22</v>
      </c>
      <c r="D361" s="32" t="s">
        <v>3606</v>
      </c>
      <c r="E361" s="32">
        <v>6410073108</v>
      </c>
      <c r="F361" s="32" t="s">
        <v>1735</v>
      </c>
      <c r="G361" s="32" t="s">
        <v>1763</v>
      </c>
      <c r="H361" s="32" t="s">
        <v>1790</v>
      </c>
      <c r="I361" s="34" t="s">
        <v>3607</v>
      </c>
      <c r="J361" s="32" t="s">
        <v>3608</v>
      </c>
      <c r="L361" s="32" t="s">
        <v>1759</v>
      </c>
      <c r="M361" s="35" t="s">
        <v>3609</v>
      </c>
      <c r="N361" s="32"/>
    </row>
    <row r="362" spans="1:14">
      <c r="A362" s="33">
        <v>45133.590400243054</v>
      </c>
      <c r="B362" s="32" t="s">
        <v>3610</v>
      </c>
      <c r="C362" s="32" t="s">
        <v>22</v>
      </c>
      <c r="D362" s="32" t="s">
        <v>3611</v>
      </c>
      <c r="E362" s="32">
        <v>6410633105</v>
      </c>
      <c r="F362" s="32" t="s">
        <v>1735</v>
      </c>
      <c r="G362" s="32" t="s">
        <v>1736</v>
      </c>
      <c r="H362" s="32" t="s">
        <v>1820</v>
      </c>
      <c r="I362" s="34" t="s">
        <v>3612</v>
      </c>
      <c r="J362" s="32" t="s">
        <v>3613</v>
      </c>
      <c r="L362" s="32" t="s">
        <v>3614</v>
      </c>
      <c r="M362" s="35" t="s">
        <v>3615</v>
      </c>
      <c r="N362" s="32"/>
    </row>
    <row r="363" spans="1:14">
      <c r="A363" s="33">
        <v>45133.590608483792</v>
      </c>
      <c r="B363" s="32" t="s">
        <v>3616</v>
      </c>
      <c r="C363" s="32" t="s">
        <v>22</v>
      </c>
      <c r="D363" s="32" t="s">
        <v>3617</v>
      </c>
      <c r="E363" s="32">
        <v>6410633104</v>
      </c>
      <c r="F363" s="32" t="s">
        <v>1735</v>
      </c>
      <c r="G363" s="32" t="s">
        <v>1736</v>
      </c>
      <c r="H363" s="32" t="s">
        <v>1820</v>
      </c>
      <c r="I363" s="34" t="s">
        <v>3618</v>
      </c>
      <c r="J363" s="32" t="s">
        <v>3619</v>
      </c>
      <c r="L363" s="32" t="s">
        <v>3620</v>
      </c>
      <c r="M363" s="35" t="s">
        <v>3621</v>
      </c>
      <c r="N363" s="32"/>
    </row>
    <row r="364" spans="1:14">
      <c r="A364" s="33">
        <v>45133.590715104168</v>
      </c>
      <c r="B364" s="32" t="s">
        <v>3622</v>
      </c>
      <c r="C364" s="32" t="s">
        <v>22</v>
      </c>
      <c r="D364" s="32" t="s">
        <v>3623</v>
      </c>
      <c r="E364" s="32">
        <v>6510633107</v>
      </c>
      <c r="F364" s="32" t="s">
        <v>1743</v>
      </c>
      <c r="G364" s="32" t="s">
        <v>1736</v>
      </c>
      <c r="H364" s="32" t="s">
        <v>1820</v>
      </c>
      <c r="I364" s="34" t="s">
        <v>3624</v>
      </c>
      <c r="J364" s="32" t="s">
        <v>3625</v>
      </c>
      <c r="L364" s="32" t="s">
        <v>1816</v>
      </c>
      <c r="M364" s="35" t="s">
        <v>3626</v>
      </c>
      <c r="N364" s="32"/>
    </row>
    <row r="365" spans="1:14">
      <c r="A365" s="33">
        <v>45133.591049432871</v>
      </c>
      <c r="B365" s="32" t="s">
        <v>3627</v>
      </c>
      <c r="C365" s="32" t="s">
        <v>22</v>
      </c>
      <c r="D365" s="32" t="s">
        <v>3628</v>
      </c>
      <c r="E365" s="32">
        <v>6410633208</v>
      </c>
      <c r="F365" s="32" t="s">
        <v>1735</v>
      </c>
      <c r="G365" s="32" t="s">
        <v>1736</v>
      </c>
      <c r="H365" s="32" t="s">
        <v>1820</v>
      </c>
      <c r="I365" s="34" t="s">
        <v>3629</v>
      </c>
      <c r="J365" s="32" t="s">
        <v>3630</v>
      </c>
      <c r="M365" s="35" t="s">
        <v>3631</v>
      </c>
      <c r="N365" s="32"/>
    </row>
    <row r="366" spans="1:14">
      <c r="A366" s="33">
        <v>45133.591189710649</v>
      </c>
      <c r="B366" s="32" t="s">
        <v>3632</v>
      </c>
      <c r="C366" s="32" t="s">
        <v>22</v>
      </c>
      <c r="D366" s="32" t="s">
        <v>3633</v>
      </c>
      <c r="E366" s="32">
        <v>6410633102</v>
      </c>
      <c r="F366" s="32" t="s">
        <v>1735</v>
      </c>
      <c r="G366" s="32" t="s">
        <v>1736</v>
      </c>
      <c r="H366" s="32" t="s">
        <v>1820</v>
      </c>
      <c r="I366" s="34" t="s">
        <v>3634</v>
      </c>
      <c r="J366" s="32" t="s">
        <v>3635</v>
      </c>
      <c r="M366" s="35" t="s">
        <v>3636</v>
      </c>
      <c r="N366" s="32"/>
    </row>
    <row r="367" spans="1:14">
      <c r="A367" s="33">
        <v>45133.591826527772</v>
      </c>
      <c r="B367" s="32" t="s">
        <v>3637</v>
      </c>
      <c r="C367" s="32" t="s">
        <v>29</v>
      </c>
      <c r="D367" s="32" t="s">
        <v>3638</v>
      </c>
      <c r="E367" s="32">
        <v>6315964117</v>
      </c>
      <c r="F367" s="32" t="s">
        <v>1770</v>
      </c>
      <c r="G367" s="32" t="s">
        <v>1763</v>
      </c>
      <c r="H367" s="32" t="s">
        <v>1988</v>
      </c>
      <c r="I367" s="34" t="s">
        <v>3639</v>
      </c>
      <c r="J367" s="32" t="s">
        <v>3640</v>
      </c>
      <c r="M367" s="35" t="s">
        <v>3641</v>
      </c>
      <c r="N367" s="32"/>
    </row>
    <row r="368" spans="1:14">
      <c r="A368" s="33">
        <v>45133.591908506947</v>
      </c>
      <c r="B368" s="32" t="s">
        <v>3642</v>
      </c>
      <c r="C368" s="32" t="s">
        <v>22</v>
      </c>
      <c r="D368" s="32" t="s">
        <v>3643</v>
      </c>
      <c r="E368" s="32">
        <v>6510633103</v>
      </c>
      <c r="F368" s="32" t="s">
        <v>1743</v>
      </c>
      <c r="G368" s="32" t="s">
        <v>1736</v>
      </c>
      <c r="H368" s="32" t="s">
        <v>1820</v>
      </c>
      <c r="I368" s="34" t="s">
        <v>3644</v>
      </c>
      <c r="J368" s="32" t="s">
        <v>3645</v>
      </c>
      <c r="L368" s="32" t="s">
        <v>3646</v>
      </c>
      <c r="M368" s="35" t="s">
        <v>3647</v>
      </c>
      <c r="N368" s="32"/>
    </row>
    <row r="369" spans="1:14">
      <c r="A369" s="33">
        <v>45133.592199918981</v>
      </c>
      <c r="B369" s="32" t="s">
        <v>3648</v>
      </c>
      <c r="C369" s="32" t="s">
        <v>22</v>
      </c>
      <c r="D369" s="32" t="s">
        <v>3649</v>
      </c>
      <c r="E369" s="32">
        <v>6410633209</v>
      </c>
      <c r="F369" s="32" t="s">
        <v>1735</v>
      </c>
      <c r="G369" s="32" t="s">
        <v>1736</v>
      </c>
      <c r="H369" s="32" t="s">
        <v>1820</v>
      </c>
      <c r="I369" s="34" t="s">
        <v>3650</v>
      </c>
      <c r="J369" s="32" t="s">
        <v>3651</v>
      </c>
      <c r="M369" s="35" t="s">
        <v>3652</v>
      </c>
      <c r="N369" s="32"/>
    </row>
    <row r="370" spans="1:14">
      <c r="A370" s="33">
        <v>45133.592357986112</v>
      </c>
      <c r="B370" s="32" t="s">
        <v>3653</v>
      </c>
      <c r="C370" s="32" t="s">
        <v>22</v>
      </c>
      <c r="D370" s="32" t="s">
        <v>3654</v>
      </c>
      <c r="E370" s="32">
        <v>6610392104</v>
      </c>
      <c r="F370" s="32" t="s">
        <v>1727</v>
      </c>
      <c r="G370" s="32" t="s">
        <v>1736</v>
      </c>
      <c r="H370" s="32" t="s">
        <v>1797</v>
      </c>
      <c r="I370" s="34" t="s">
        <v>3655</v>
      </c>
      <c r="J370" s="32" t="s">
        <v>3656</v>
      </c>
      <c r="M370" s="35" t="s">
        <v>3657</v>
      </c>
      <c r="N370" s="32"/>
    </row>
    <row r="371" spans="1:14">
      <c r="A371" s="33">
        <v>45133.593631979165</v>
      </c>
      <c r="B371" s="32" t="s">
        <v>3658</v>
      </c>
      <c r="C371" s="32" t="s">
        <v>29</v>
      </c>
      <c r="D371" s="32" t="s">
        <v>3659</v>
      </c>
      <c r="E371" s="32">
        <v>6512247224</v>
      </c>
      <c r="F371" s="32" t="s">
        <v>1743</v>
      </c>
      <c r="G371" s="32" t="s">
        <v>1736</v>
      </c>
      <c r="H371" s="32" t="s">
        <v>2022</v>
      </c>
      <c r="I371" s="34" t="s">
        <v>3660</v>
      </c>
      <c r="J371" s="32" t="s">
        <v>3661</v>
      </c>
      <c r="L371" s="32" t="s">
        <v>3662</v>
      </c>
      <c r="M371" s="35" t="s">
        <v>3663</v>
      </c>
      <c r="N371" s="32"/>
    </row>
    <row r="372" spans="1:14">
      <c r="A372" s="33">
        <v>45133.594001597223</v>
      </c>
      <c r="B372" s="32" t="s">
        <v>3664</v>
      </c>
      <c r="C372" s="32" t="s">
        <v>22</v>
      </c>
      <c r="D372" s="32" t="s">
        <v>3665</v>
      </c>
      <c r="E372" s="32">
        <v>6315964110</v>
      </c>
      <c r="F372" s="32" t="s">
        <v>1770</v>
      </c>
      <c r="G372" s="32" t="s">
        <v>1763</v>
      </c>
      <c r="H372" s="32" t="s">
        <v>1852</v>
      </c>
      <c r="I372" s="34" t="s">
        <v>3666</v>
      </c>
      <c r="J372" s="32" t="s">
        <v>3667</v>
      </c>
      <c r="L372" s="32" t="s">
        <v>1766</v>
      </c>
      <c r="M372" s="35" t="s">
        <v>3668</v>
      </c>
      <c r="N372" s="32"/>
    </row>
    <row r="373" spans="1:14">
      <c r="A373" s="33">
        <v>45133.595885300922</v>
      </c>
      <c r="B373" s="32" t="s">
        <v>3669</v>
      </c>
      <c r="C373" s="32" t="s">
        <v>29</v>
      </c>
      <c r="D373" s="32" t="s">
        <v>3670</v>
      </c>
      <c r="E373" s="32">
        <v>6312325110</v>
      </c>
      <c r="F373" s="32" t="s">
        <v>1770</v>
      </c>
      <c r="G373" s="32" t="s">
        <v>1728</v>
      </c>
      <c r="H373" s="32" t="s">
        <v>2902</v>
      </c>
      <c r="I373" s="34" t="s">
        <v>3671</v>
      </c>
      <c r="J373" s="32" t="s">
        <v>3670</v>
      </c>
    </row>
    <row r="374" spans="1:14">
      <c r="A374" s="33">
        <v>45133.597728541667</v>
      </c>
      <c r="B374" s="32" t="s">
        <v>3672</v>
      </c>
      <c r="C374" s="32" t="s">
        <v>22</v>
      </c>
      <c r="D374" s="32" t="s">
        <v>3673</v>
      </c>
      <c r="E374" s="32">
        <v>6510014106</v>
      </c>
      <c r="F374" s="32" t="s">
        <v>1743</v>
      </c>
      <c r="G374" s="32" t="s">
        <v>1763</v>
      </c>
      <c r="H374" s="32" t="s">
        <v>2427</v>
      </c>
      <c r="I374" s="34" t="s">
        <v>3674</v>
      </c>
      <c r="J374" s="32" t="s">
        <v>3675</v>
      </c>
      <c r="L374" s="32" t="s">
        <v>1766</v>
      </c>
      <c r="M374" s="35" t="s">
        <v>3676</v>
      </c>
      <c r="N374" s="32"/>
    </row>
    <row r="375" spans="1:14">
      <c r="A375" s="33">
        <v>45133.600170555554</v>
      </c>
      <c r="B375" s="32" t="s">
        <v>3677</v>
      </c>
      <c r="C375" s="32" t="s">
        <v>29</v>
      </c>
      <c r="D375" s="32" t="s">
        <v>3678</v>
      </c>
      <c r="E375" s="32">
        <v>6411506137</v>
      </c>
      <c r="F375" s="32" t="s">
        <v>1735</v>
      </c>
      <c r="G375" s="32" t="s">
        <v>1763</v>
      </c>
      <c r="H375" s="32" t="s">
        <v>2210</v>
      </c>
      <c r="I375" s="34" t="s">
        <v>3679</v>
      </c>
      <c r="J375" s="32" t="s">
        <v>3680</v>
      </c>
      <c r="L375" s="32" t="s">
        <v>1816</v>
      </c>
      <c r="M375" s="35" t="s">
        <v>3681</v>
      </c>
      <c r="N375" s="32"/>
    </row>
    <row r="376" spans="1:14">
      <c r="A376" s="33">
        <v>45133.60278804398</v>
      </c>
      <c r="B376" s="32" t="s">
        <v>3682</v>
      </c>
      <c r="C376" s="32" t="s">
        <v>29</v>
      </c>
      <c r="D376" s="32" t="s">
        <v>3683</v>
      </c>
      <c r="E376" s="32">
        <v>6612314130</v>
      </c>
      <c r="F376" s="32" t="s">
        <v>1727</v>
      </c>
      <c r="G376" s="32" t="s">
        <v>1728</v>
      </c>
      <c r="H376" s="32" t="s">
        <v>1729</v>
      </c>
      <c r="I376" s="34" t="s">
        <v>3684</v>
      </c>
      <c r="J376" s="32" t="s">
        <v>3685</v>
      </c>
      <c r="L376" s="32" t="s">
        <v>1816</v>
      </c>
      <c r="M376" s="35" t="s">
        <v>3686</v>
      </c>
      <c r="N376" s="32"/>
    </row>
    <row r="377" spans="1:14">
      <c r="A377" s="33">
        <v>45133.617746944445</v>
      </c>
      <c r="B377" s="32" t="s">
        <v>3687</v>
      </c>
      <c r="C377" s="32" t="s">
        <v>29</v>
      </c>
      <c r="D377" s="32" t="s">
        <v>3688</v>
      </c>
      <c r="E377" s="32">
        <v>6410106122</v>
      </c>
      <c r="F377" s="32" t="s">
        <v>1735</v>
      </c>
      <c r="G377" s="32" t="s">
        <v>1763</v>
      </c>
      <c r="H377" s="32" t="s">
        <v>1000</v>
      </c>
      <c r="I377" s="34" t="s">
        <v>3689</v>
      </c>
      <c r="J377" s="32" t="s">
        <v>3690</v>
      </c>
      <c r="L377" s="32" t="s">
        <v>1816</v>
      </c>
      <c r="M377" s="35" t="s">
        <v>3691</v>
      </c>
      <c r="N377" s="32"/>
    </row>
    <row r="378" spans="1:14">
      <c r="A378" s="33">
        <v>45133.62664430555</v>
      </c>
      <c r="B378" s="32" t="s">
        <v>3692</v>
      </c>
      <c r="C378" s="32" t="s">
        <v>22</v>
      </c>
      <c r="D378" s="32" t="s">
        <v>3693</v>
      </c>
      <c r="E378" s="32">
        <v>6410633111</v>
      </c>
      <c r="F378" s="32" t="s">
        <v>1735</v>
      </c>
      <c r="G378" s="32" t="s">
        <v>1736</v>
      </c>
      <c r="H378" s="32" t="s">
        <v>1820</v>
      </c>
      <c r="I378" s="34" t="s">
        <v>3694</v>
      </c>
      <c r="J378" s="32" t="s">
        <v>3695</v>
      </c>
      <c r="M378" s="35" t="s">
        <v>3696</v>
      </c>
      <c r="N378" s="32"/>
    </row>
    <row r="379" spans="1:14">
      <c r="A379" s="33">
        <v>45133.629662106483</v>
      </c>
      <c r="B379" s="32" t="s">
        <v>3697</v>
      </c>
      <c r="C379" s="32" t="s">
        <v>22</v>
      </c>
      <c r="D379" s="32" t="s">
        <v>3698</v>
      </c>
      <c r="E379" s="32">
        <v>6510079209</v>
      </c>
      <c r="F379" s="32" t="s">
        <v>1743</v>
      </c>
      <c r="G379" s="32" t="s">
        <v>1736</v>
      </c>
      <c r="H379" s="32" t="s">
        <v>1784</v>
      </c>
      <c r="I379" s="34" t="s">
        <v>3699</v>
      </c>
      <c r="J379" s="32" t="s">
        <v>3700</v>
      </c>
      <c r="L379" s="32" t="s">
        <v>1766</v>
      </c>
      <c r="M379" s="35" t="s">
        <v>3701</v>
      </c>
      <c r="N379" s="32"/>
    </row>
    <row r="380" spans="1:14">
      <c r="A380" s="33">
        <v>45138.062727986107</v>
      </c>
      <c r="B380" s="32" t="s">
        <v>3702</v>
      </c>
      <c r="C380" s="32" t="s">
        <v>29</v>
      </c>
      <c r="D380" s="32" t="s">
        <v>3703</v>
      </c>
      <c r="E380" s="32">
        <v>6410083110</v>
      </c>
      <c r="F380" s="32" t="s">
        <v>1735</v>
      </c>
      <c r="G380" s="32" t="s">
        <v>1845</v>
      </c>
      <c r="H380" s="32" t="s">
        <v>2326</v>
      </c>
      <c r="I380" s="34" t="s">
        <v>3704</v>
      </c>
      <c r="J380" s="32" t="s">
        <v>3705</v>
      </c>
      <c r="M380" s="35" t="s">
        <v>3706</v>
      </c>
      <c r="N380" s="32"/>
    </row>
  </sheetData>
  <conditionalFormatting sqref="E2:E380">
    <cfRule type="expression" dxfId="0" priority="1">
      <formula>COUNTIF(DATA2,B3)=0</formula>
    </cfRule>
  </conditionalFormatting>
  <hyperlinks>
    <hyperlink ref="M2" r:id="rId1" xr:uid="{6D5878AC-174E-4CD0-8BE7-034280680536}"/>
    <hyperlink ref="M3" r:id="rId2" xr:uid="{C786E961-7CFC-4F18-AF42-0E5E0DE270AF}"/>
    <hyperlink ref="M4" r:id="rId3" xr:uid="{EFE1722E-0F2A-4A55-8BF1-3A5D1C83605D}"/>
    <hyperlink ref="M5" r:id="rId4" xr:uid="{77D24886-F1AF-42BC-A53A-59D4DD055C24}"/>
    <hyperlink ref="M6" r:id="rId5" xr:uid="{348F9BE6-4AEC-4EC7-B4C0-B1D14ADE3579}"/>
    <hyperlink ref="M7" r:id="rId6" xr:uid="{49BF0141-5CDD-49CB-98DB-D81E8960D90E}"/>
    <hyperlink ref="M8" r:id="rId7" xr:uid="{03D0EE3B-670E-40C2-AF10-B5A63281F869}"/>
    <hyperlink ref="M9" r:id="rId8" xr:uid="{B00BD693-3AF2-475E-B40A-C43E8521B3FA}"/>
    <hyperlink ref="M10" r:id="rId9" xr:uid="{B9E21BE5-8E63-43E1-8429-81076300DEB1}"/>
    <hyperlink ref="M11" r:id="rId10" xr:uid="{803DB741-0A7B-4DD5-9C20-A6DFA8082515}"/>
    <hyperlink ref="M12" r:id="rId11" xr:uid="{853B2FAD-E5CA-4978-867D-DF2803F582FA}"/>
    <hyperlink ref="M13" r:id="rId12" xr:uid="{CC868673-23C1-46D6-8E06-A2033E91BB47}"/>
    <hyperlink ref="M14" r:id="rId13" xr:uid="{779167D4-4E5D-4E16-8B26-8CC28BD61DC4}"/>
    <hyperlink ref="M15" r:id="rId14" xr:uid="{E9D5DFC8-0BAE-4211-8823-17F5AD9D8CC6}"/>
    <hyperlink ref="M16" r:id="rId15" xr:uid="{60AC2149-F117-4C2C-8EFF-33820F1294C4}"/>
    <hyperlink ref="M17" r:id="rId16" xr:uid="{AF8EE043-A3D0-4FD3-A676-D208F9326CD4}"/>
    <hyperlink ref="M18" r:id="rId17" xr:uid="{CEBDB4AF-6420-4187-9FF0-B2C300F98530}"/>
    <hyperlink ref="M19" r:id="rId18" xr:uid="{52111DD4-563A-4DA6-9A5C-B54D1A740B0D}"/>
    <hyperlink ref="M20" r:id="rId19" xr:uid="{9C44F98E-0840-405C-8065-DBB58872AF51}"/>
    <hyperlink ref="M21" r:id="rId20" xr:uid="{EDFCF794-E39A-46CD-B4A9-9F0B4675BCDB}"/>
    <hyperlink ref="M22" r:id="rId21" xr:uid="{590466C8-B453-4C87-869E-D23D76609AAE}"/>
    <hyperlink ref="M23" r:id="rId22" xr:uid="{928D3B10-9C14-49CD-8EE5-ABB103563E59}"/>
    <hyperlink ref="M24" r:id="rId23" xr:uid="{4268C235-6FA6-4A83-B1B4-3C8403A8762F}"/>
    <hyperlink ref="M25" r:id="rId24" xr:uid="{B5C0E1F8-9774-48DD-8D49-6383B6D920E3}"/>
    <hyperlink ref="M26" r:id="rId25" xr:uid="{B9F8A59E-ED45-4C56-A04F-F2332AC73CD9}"/>
    <hyperlink ref="M27" r:id="rId26" xr:uid="{1FEA2ABA-F469-4383-8BF2-CBE6F1CC886F}"/>
    <hyperlink ref="M28" r:id="rId27" xr:uid="{B029E5C0-406D-41B0-81FA-69534621842C}"/>
    <hyperlink ref="M29" r:id="rId28" xr:uid="{9E4BB778-4073-4B02-832A-111987327328}"/>
    <hyperlink ref="M30" r:id="rId29" xr:uid="{66B61C35-3B1E-4511-9A7A-37BD5A45089E}"/>
    <hyperlink ref="M31" r:id="rId30" xr:uid="{FB3A50AE-2DDD-498A-8F31-8DBAA767A60A}"/>
    <hyperlink ref="M32" r:id="rId31" xr:uid="{BC2493E3-9778-45C4-B743-6C4E9C9BEEA7}"/>
    <hyperlink ref="M33" r:id="rId32" xr:uid="{25AA4C7A-0918-42CC-8339-D93ED0D5B0C9}"/>
    <hyperlink ref="M34" r:id="rId33" xr:uid="{D584FC4E-BE6C-48F9-8911-71F32019B042}"/>
    <hyperlink ref="M35" r:id="rId34" xr:uid="{D9A0140E-41A4-4484-946C-BFC40E2195DA}"/>
    <hyperlink ref="M36" r:id="rId35" xr:uid="{1A1C3B86-79DE-4EC2-9244-CC336EAD46B4}"/>
    <hyperlink ref="M37" r:id="rId36" xr:uid="{6100B9D0-1235-4732-AA0C-6D741888E4E0}"/>
    <hyperlink ref="M38" r:id="rId37" xr:uid="{15FE3DC5-241E-484E-A285-C2B5C28A7FC6}"/>
    <hyperlink ref="M39" r:id="rId38" xr:uid="{2C1C4FA1-5F08-482C-A739-B719B92F41D6}"/>
    <hyperlink ref="M40" r:id="rId39" xr:uid="{6693CEB0-19E3-4D3B-9E7F-809C33760634}"/>
    <hyperlink ref="M41" r:id="rId40" xr:uid="{5597A13F-E544-4D32-A07B-B4574412D30C}"/>
    <hyperlink ref="M42" r:id="rId41" xr:uid="{4B42D31E-409C-4C9F-8250-5CE1FAD31185}"/>
    <hyperlink ref="M43" r:id="rId42" xr:uid="{3A575E8A-7E7F-4250-997B-CAAD40CCAD74}"/>
    <hyperlink ref="M44" r:id="rId43" xr:uid="{0B3D9EBE-AED3-4071-B50B-A1500641C058}"/>
    <hyperlink ref="M45" r:id="rId44" xr:uid="{191A811D-80C6-4D28-81B5-E1CE931DB46F}"/>
    <hyperlink ref="M46" r:id="rId45" xr:uid="{03C73166-15A4-426B-80F2-9A994787B914}"/>
    <hyperlink ref="M47" r:id="rId46" xr:uid="{9CCE4B47-A04F-4E23-B085-C5334CEBEC69}"/>
    <hyperlink ref="M48" r:id="rId47" xr:uid="{3BC4EC96-17BE-4C50-BE08-78A8CF658AAF}"/>
    <hyperlink ref="M49" r:id="rId48" xr:uid="{9DB73D26-AD84-4D27-8D65-ADEA41EE9BE0}"/>
    <hyperlink ref="M50" r:id="rId49" xr:uid="{BE77B5F6-AF22-4823-B20A-D42590FAE2C7}"/>
    <hyperlink ref="M51" r:id="rId50" xr:uid="{E47AE35F-2A63-4E39-8E6F-59B0183AF174}"/>
    <hyperlink ref="M52" r:id="rId51" xr:uid="{2E341B8D-98DC-4EFE-8C5F-5352A2F597FE}"/>
    <hyperlink ref="M53" r:id="rId52" xr:uid="{5DC92992-D1E4-4541-82D3-58655CC4A46C}"/>
    <hyperlink ref="M54" r:id="rId53" xr:uid="{C4E9D5C2-3B9D-416F-AE4A-0B5AD3544DC1}"/>
    <hyperlink ref="M55" r:id="rId54" xr:uid="{67781FB0-5A46-414B-B6A2-8E3E3D8A91F7}"/>
    <hyperlink ref="M56" r:id="rId55" xr:uid="{37D4306F-EE99-4703-826F-3C4554B5419E}"/>
    <hyperlink ref="M57" r:id="rId56" xr:uid="{331251F5-88E0-4E55-A447-EEA1777D955A}"/>
    <hyperlink ref="M58" r:id="rId57" xr:uid="{3A7B78E7-1E85-4F07-B453-1BF176E900F9}"/>
    <hyperlink ref="M59" r:id="rId58" xr:uid="{310BCA6B-C15A-4FFF-981F-240D5A9253B4}"/>
    <hyperlink ref="M60" r:id="rId59" xr:uid="{8D7B2D28-2F6E-40EF-BE07-CC52E26351D1}"/>
    <hyperlink ref="M61" r:id="rId60" xr:uid="{6189FD24-CD5F-4A1E-ABDF-9FE61B37D1FD}"/>
    <hyperlink ref="M62" r:id="rId61" xr:uid="{029C11D0-F4BC-4432-9E8B-CCB54B0D8AA7}"/>
    <hyperlink ref="M63" r:id="rId62" xr:uid="{1285A5E8-915E-4E11-9B20-EB8B41666CE0}"/>
    <hyperlink ref="M64" r:id="rId63" xr:uid="{6ACF2020-DB86-4304-AAB2-092474A521C9}"/>
    <hyperlink ref="M65" r:id="rId64" xr:uid="{78E7FBB6-385F-4578-88DE-9C5A65CCDC18}"/>
    <hyperlink ref="M66" r:id="rId65" xr:uid="{8C1944B0-5DF5-4BA8-8C2D-ADA0E91D41C2}"/>
    <hyperlink ref="M67" r:id="rId66" xr:uid="{B0C589EF-1B3C-4676-8B4F-9EDF421C6073}"/>
    <hyperlink ref="M68" r:id="rId67" xr:uid="{44CDE056-6906-461B-8156-A9F42D83F7A6}"/>
    <hyperlink ref="M69" r:id="rId68" xr:uid="{B28C01F4-7281-474B-B386-96227330512C}"/>
    <hyperlink ref="M70" r:id="rId69" xr:uid="{83132C25-C9D4-4FA7-9DBC-2A685D86CF55}"/>
    <hyperlink ref="M71" r:id="rId70" xr:uid="{F694CF46-1C03-4414-BDBA-5EE3FBBAA270}"/>
    <hyperlink ref="M72" r:id="rId71" xr:uid="{520F3F1A-DE81-400C-885B-90CFD01AE7B5}"/>
    <hyperlink ref="M73" r:id="rId72" xr:uid="{0B4A9C01-453A-48E9-9C3D-D7C27319CC78}"/>
    <hyperlink ref="M74" r:id="rId73" xr:uid="{8A59C46C-97F7-4301-A8AD-A3134CAC1C8E}"/>
    <hyperlink ref="M75" r:id="rId74" xr:uid="{8D9AA411-767D-46CF-B68D-70DD3452C0B8}"/>
    <hyperlink ref="M76" r:id="rId75" xr:uid="{4AE4C56D-DB2A-4A48-9D7B-BB508875C765}"/>
    <hyperlink ref="M77" r:id="rId76" xr:uid="{A9ECD140-DA68-46E1-80E8-EA8582927251}"/>
    <hyperlink ref="M78" r:id="rId77" xr:uid="{04636CBA-7848-4F0B-BC0B-04D4D173362A}"/>
    <hyperlink ref="M79" r:id="rId78" xr:uid="{10F35E82-839E-466D-8A12-385B69E9711A}"/>
    <hyperlink ref="M80" r:id="rId79" xr:uid="{E0699FD7-5987-4181-A84E-A95AC4317B38}"/>
    <hyperlink ref="M81" r:id="rId80" xr:uid="{5CCD34B6-F834-47FA-A808-2C6E27D8376B}"/>
    <hyperlink ref="M82" r:id="rId81" xr:uid="{F4FED6B2-94C5-431A-9B59-646F0D6702B4}"/>
    <hyperlink ref="M83" r:id="rId82" xr:uid="{D79ECE8D-7314-4DFE-BD4A-550229FC8984}"/>
    <hyperlink ref="M84" r:id="rId83" xr:uid="{F4F662F9-5AF4-4A8A-B34C-A43E31921178}"/>
    <hyperlink ref="M85" r:id="rId84" xr:uid="{1B34F988-7842-4B6F-89AA-791D73ACE69F}"/>
    <hyperlink ref="M86" r:id="rId85" xr:uid="{FA150F3D-F75F-4736-8D41-C2C498C69AAC}"/>
    <hyperlink ref="M87" r:id="rId86" xr:uid="{B6D88436-D48D-4049-B82F-A14D8F1FFDDF}"/>
    <hyperlink ref="M88" r:id="rId87" xr:uid="{3278FDFE-64DD-4408-A60F-1AC788275F49}"/>
    <hyperlink ref="M89" r:id="rId88" xr:uid="{212AE086-54D9-4955-A2C5-28BC169FABC2}"/>
    <hyperlink ref="M90" r:id="rId89" xr:uid="{02427954-BFB3-4209-B33F-E17F5BB9EA29}"/>
    <hyperlink ref="M91" r:id="rId90" xr:uid="{29923BA4-9AF0-4FE2-9082-523D228005E0}"/>
    <hyperlink ref="M92" r:id="rId91" xr:uid="{855CD9BB-D105-4D9A-BC4C-3032E8DA9BC7}"/>
    <hyperlink ref="M93" r:id="rId92" xr:uid="{317FD0CD-2BE4-4276-BDCE-AD4B4FBF3D53}"/>
    <hyperlink ref="M94" r:id="rId93" xr:uid="{E16DA993-F6E9-4122-8DE2-4EF39678AF58}"/>
    <hyperlink ref="M95" r:id="rId94" xr:uid="{C3289B07-CD0E-4071-A15E-95E7E814D115}"/>
    <hyperlink ref="M96" r:id="rId95" xr:uid="{830CA823-7E94-429D-B739-6C563C130868}"/>
    <hyperlink ref="M97" r:id="rId96" xr:uid="{13BD26C5-66F2-49F5-9F76-2473DF5B88F8}"/>
    <hyperlink ref="M98" r:id="rId97" xr:uid="{ED5A3948-8BB2-45FF-91CB-7E18058864A2}"/>
    <hyperlink ref="M99" r:id="rId98" xr:uid="{E13F10D3-156A-48A1-B612-ECE06B260E57}"/>
    <hyperlink ref="M100" r:id="rId99" xr:uid="{529B0D4A-7574-4EB7-B211-7CC30AB9395A}"/>
    <hyperlink ref="M101" r:id="rId100" xr:uid="{4ED81F87-105E-4B21-A4F5-0356378C5696}"/>
    <hyperlink ref="M102" r:id="rId101" xr:uid="{AF16FA3B-0703-4257-BD8A-B8C05C9D0238}"/>
    <hyperlink ref="M103" r:id="rId102" xr:uid="{1EC0D94A-0532-4F45-9EED-B54BAE58A67E}"/>
    <hyperlink ref="M104" r:id="rId103" xr:uid="{06A7C311-E5D3-46E8-910D-FBFF986A5AE4}"/>
    <hyperlink ref="M105" r:id="rId104" xr:uid="{EA8018A6-4FC4-4666-B9B4-7787202AF4E3}"/>
    <hyperlink ref="M106" r:id="rId105" xr:uid="{F6A8BDBD-4A32-4060-BDA5-8883FABFE42B}"/>
    <hyperlink ref="M107" r:id="rId106" xr:uid="{8FD3E075-FDEE-4DD0-BE8B-E7DBA5E41D84}"/>
    <hyperlink ref="M108" r:id="rId107" xr:uid="{1FE78FB2-59C1-4363-AC1A-2EAAFF045B5C}"/>
    <hyperlink ref="M109" r:id="rId108" xr:uid="{AA7EA3E5-1EDD-4976-A645-A05ED44A25FE}"/>
    <hyperlink ref="M110" r:id="rId109" xr:uid="{A86A4D20-B5FC-45EC-B1A2-E6AFB21249AF}"/>
    <hyperlink ref="M111" r:id="rId110" xr:uid="{B1D3C34E-E90C-489D-96DE-4B10C8A2FE2E}"/>
    <hyperlink ref="M112" r:id="rId111" xr:uid="{5D36969A-8C2B-4C29-8617-51F3BF37CB09}"/>
    <hyperlink ref="M113" r:id="rId112" xr:uid="{7FC40F4B-A784-48B9-9C0F-38CB9FDFCC15}"/>
    <hyperlink ref="M114" r:id="rId113" xr:uid="{552EB5E9-48C7-4FFD-801F-903AA98FE5FD}"/>
    <hyperlink ref="M115" r:id="rId114" xr:uid="{4891A0BF-E951-445D-9668-361FB5EE603E}"/>
    <hyperlink ref="M116" r:id="rId115" xr:uid="{BE884D66-7693-4B0A-AF00-B441CBF4E75D}"/>
    <hyperlink ref="M117" r:id="rId116" xr:uid="{8030A151-21F7-4F6A-851E-B60E7A4D2B50}"/>
    <hyperlink ref="M118" r:id="rId117" xr:uid="{C0FCEE19-DA1B-4DD8-A2A5-958A84FD5464}"/>
    <hyperlink ref="M119" r:id="rId118" xr:uid="{84990DD3-B358-4BCB-A47F-A7535E1CE35E}"/>
    <hyperlink ref="M120" r:id="rId119" xr:uid="{2C8F9E57-F362-4E82-8487-6BC0CC883E6E}"/>
    <hyperlink ref="M121" r:id="rId120" xr:uid="{0B309F0E-BE7E-46C3-BF56-8285422BC796}"/>
    <hyperlink ref="M122" r:id="rId121" xr:uid="{7CDA313A-DEB3-48D1-BCF3-9DFB4829FEBB}"/>
    <hyperlink ref="M123" r:id="rId122" xr:uid="{D43B4AC7-2213-42F7-8D88-30782DCEFDB3}"/>
    <hyperlink ref="M124" r:id="rId123" xr:uid="{01522435-7907-4C5A-B85A-3DB72486A193}"/>
    <hyperlink ref="M125" r:id="rId124" xr:uid="{3ABBA09E-01AC-4063-9A0F-4EF32FA93DA5}"/>
    <hyperlink ref="M126" r:id="rId125" xr:uid="{C508AB79-97BC-4203-834D-A73A78CFD1FE}"/>
    <hyperlink ref="M127" r:id="rId126" xr:uid="{80DB5825-8A3E-4C4B-AD37-5013ADD3797E}"/>
    <hyperlink ref="M128" r:id="rId127" xr:uid="{8C28B1C6-8D51-4A6F-879D-13CB1F845D28}"/>
    <hyperlink ref="M129" r:id="rId128" xr:uid="{0DBAE2FE-6B0C-48EE-9EC0-3DAAEFF998C1}"/>
    <hyperlink ref="M130" r:id="rId129" xr:uid="{38CE86D1-E568-4BFF-8312-6E888003BCE5}"/>
    <hyperlink ref="M131" r:id="rId130" xr:uid="{14080799-C237-4FBB-91FB-329E8E03A3BD}"/>
    <hyperlink ref="M132" r:id="rId131" xr:uid="{FC5DED2D-F1F8-4A8D-BB0A-A5F784B782CF}"/>
    <hyperlink ref="M133" r:id="rId132" xr:uid="{FDA3830C-1B67-40D5-8992-DFE19A184FB5}"/>
    <hyperlink ref="M134" r:id="rId133" xr:uid="{2F490936-35DD-408F-9E74-F67904A5F3A9}"/>
    <hyperlink ref="M135" r:id="rId134" xr:uid="{57EA7442-77DF-4F60-A79F-ADBD3367E657}"/>
    <hyperlink ref="M136" r:id="rId135" xr:uid="{8942E660-FED6-4C3E-B1D2-445AE88353C4}"/>
    <hyperlink ref="M137" r:id="rId136" xr:uid="{0EB1E66F-778E-4DF3-BB6B-6F714A1B28BC}"/>
    <hyperlink ref="M138" r:id="rId137" xr:uid="{F40420A7-1E70-49EF-8929-03975ED70B72}"/>
    <hyperlink ref="M139" r:id="rId138" xr:uid="{4D2C6340-6A32-4D58-B7AA-FB4AAED3DDCA}"/>
    <hyperlink ref="M140" r:id="rId139" xr:uid="{EE8210A6-05FE-4802-8590-E41411C7CE81}"/>
    <hyperlink ref="M141" r:id="rId140" xr:uid="{55B1772D-5941-4C5C-8B00-BBDADDE4FBDF}"/>
    <hyperlink ref="M142" r:id="rId141" xr:uid="{0588C7C7-2B55-4C80-8A05-A3ADB6CF1B89}"/>
    <hyperlink ref="M143" r:id="rId142" xr:uid="{E89A838F-0E9C-4AA4-89D0-37D16F8E2671}"/>
    <hyperlink ref="M144" r:id="rId143" xr:uid="{6B6F9466-D71F-4E66-AF37-50A3F67B7281}"/>
    <hyperlink ref="M145" r:id="rId144" xr:uid="{321D568B-61C3-4A7D-840E-0C0C796881DA}"/>
    <hyperlink ref="M146" r:id="rId145" xr:uid="{BFA31B19-A3BA-4E00-82E3-BCDEB75F780A}"/>
    <hyperlink ref="M147" r:id="rId146" xr:uid="{72607ACE-D7CB-4A2C-9E3C-CB6B24370E21}"/>
    <hyperlink ref="M148" r:id="rId147" xr:uid="{B3E7AD46-0762-4CBD-9ED9-73B8BFB497C7}"/>
    <hyperlink ref="M149" r:id="rId148" xr:uid="{07D02105-7D71-4F2D-A017-34069921E5C2}"/>
    <hyperlink ref="M150" r:id="rId149" xr:uid="{A7F1BFE0-6562-4F97-BAEC-489B01A96F6D}"/>
    <hyperlink ref="M151" r:id="rId150" xr:uid="{C7BE4551-87D8-4831-AA0A-8E8B4341E38F}"/>
    <hyperlink ref="M152" r:id="rId151" xr:uid="{DED66853-48B2-49DD-8C22-E90F6E15FAD9}"/>
    <hyperlink ref="M153" r:id="rId152" xr:uid="{6ABB386D-CAD6-48E8-ACB8-ADFAC8244542}"/>
    <hyperlink ref="M154" r:id="rId153" xr:uid="{0967055A-8BE4-4F90-9B8D-6AF1A54067E6}"/>
    <hyperlink ref="M155" r:id="rId154" xr:uid="{12C8D545-EE34-4334-A7CA-D87C7C32E718}"/>
    <hyperlink ref="M156" r:id="rId155" xr:uid="{FC37F8E2-3A89-40EF-8B32-0418969DA85F}"/>
    <hyperlink ref="M157" r:id="rId156" xr:uid="{156F3A38-30F1-44B6-8E4F-0B0F7F32C8A6}"/>
    <hyperlink ref="M158" r:id="rId157" xr:uid="{853CF93E-F878-47C2-845E-6DA7DB669D23}"/>
    <hyperlink ref="M159" r:id="rId158" xr:uid="{188FF376-C9B9-4BDA-9DCF-38BE3E0AE665}"/>
    <hyperlink ref="M160" r:id="rId159" xr:uid="{27600DCC-43D3-4678-B0F9-D178650A8800}"/>
    <hyperlink ref="M161" r:id="rId160" xr:uid="{9EA00CF3-F907-4ACA-B4DA-374B87273D73}"/>
    <hyperlink ref="M162" r:id="rId161" xr:uid="{9ED4759F-FA70-4FDA-A97B-10607FF15F5A}"/>
    <hyperlink ref="M163" r:id="rId162" xr:uid="{214FCF91-954A-4526-BEB7-95F9D05FF957}"/>
    <hyperlink ref="M164" r:id="rId163" xr:uid="{4F2415FE-685E-4CE2-A1EB-54C3E8D7D846}"/>
    <hyperlink ref="M165" r:id="rId164" xr:uid="{094ABC50-3E6B-4A43-8327-F34DCDCC05E0}"/>
    <hyperlink ref="M166" r:id="rId165" xr:uid="{7D62E07D-C103-4F63-BD8D-150DF821C844}"/>
    <hyperlink ref="M167" r:id="rId166" xr:uid="{04F9921C-58AD-4963-AA62-0A7BCA735C26}"/>
    <hyperlink ref="M168" r:id="rId167" xr:uid="{EE7EBEC4-1992-4C78-9C65-F4579109A10E}"/>
    <hyperlink ref="M169" r:id="rId168" xr:uid="{328EF03F-AA84-4110-87C1-735CB09B282B}"/>
    <hyperlink ref="M170" r:id="rId169" xr:uid="{E805EC02-58B0-4B22-B240-39960E3BE681}"/>
    <hyperlink ref="M171" r:id="rId170" xr:uid="{9BD1B919-1DEF-4CCE-AA59-C88EBD669618}"/>
    <hyperlink ref="M172" r:id="rId171" xr:uid="{12ED1014-10E9-4A12-9805-66E675B4243C}"/>
    <hyperlink ref="M173" r:id="rId172" xr:uid="{138264F2-9B8B-4B13-9A2C-3D14AA1825E2}"/>
    <hyperlink ref="M174" r:id="rId173" xr:uid="{CAB0F765-1F8E-4CC7-B486-5D75C95777B5}"/>
    <hyperlink ref="M175" r:id="rId174" xr:uid="{80DB4706-334B-4DF7-8224-B24192EE05E7}"/>
    <hyperlink ref="M176" r:id="rId175" xr:uid="{0946DA64-EE26-448A-A0CA-0FE86E357B05}"/>
    <hyperlink ref="M177" r:id="rId176" xr:uid="{76CA175B-7640-4C07-9C97-995DB4DB7B2C}"/>
    <hyperlink ref="M178" r:id="rId177" xr:uid="{9D3082B3-15F6-4830-86DB-DAA1F20FB8D9}"/>
    <hyperlink ref="M179" r:id="rId178" xr:uid="{A7393A53-209D-4361-A468-A84AC44A37F5}"/>
    <hyperlink ref="M180" r:id="rId179" xr:uid="{4F7B4C9E-BE1E-496A-B250-E711E04BF4B0}"/>
    <hyperlink ref="M181" r:id="rId180" xr:uid="{08FF90E8-21E6-499C-AB90-A5C9EF4CCC51}"/>
    <hyperlink ref="M182" r:id="rId181" xr:uid="{5BC80F09-2189-4D90-942A-97A24A82F4D1}"/>
    <hyperlink ref="M183" r:id="rId182" xr:uid="{559BF81C-7A13-4F39-96BC-7D8BA6B8FF4B}"/>
    <hyperlink ref="M184" r:id="rId183" xr:uid="{9542A16E-E0CF-4A67-BEA8-6040D5211A93}"/>
    <hyperlink ref="M185" r:id="rId184" xr:uid="{CA5DE54F-6484-4D1C-A151-80C8F6677A0F}"/>
    <hyperlink ref="M186" r:id="rId185" xr:uid="{80A6EE95-B9D3-4B81-831B-D640C60C0411}"/>
    <hyperlink ref="M187" r:id="rId186" xr:uid="{9ED4880F-F090-4EBF-BE54-BE4805DA696E}"/>
    <hyperlink ref="M188" r:id="rId187" xr:uid="{EF0925D1-8788-4BA2-AA31-5E48D7971046}"/>
    <hyperlink ref="M189" r:id="rId188" xr:uid="{BA8790BD-E8CB-443A-AE42-D3337FF78511}"/>
    <hyperlink ref="M190" r:id="rId189" xr:uid="{EF05E923-A72B-4283-B152-FC753CFC3A4E}"/>
    <hyperlink ref="M191" r:id="rId190" xr:uid="{0B22888F-7845-4605-ACBD-8FB9C41D8B79}"/>
    <hyperlink ref="M192" r:id="rId191" xr:uid="{CFD0CEBA-2999-4F6D-ABFB-187531CB83D7}"/>
    <hyperlink ref="M193" r:id="rId192" xr:uid="{AE12B932-994D-4B15-864D-35675520EEEC}"/>
    <hyperlink ref="M194" r:id="rId193" xr:uid="{EDE88372-FA5B-49FA-AD04-9BEE45B45E99}"/>
    <hyperlink ref="M195" r:id="rId194" xr:uid="{0F2F0C80-33EF-4083-ACBC-BF2F2BE18242}"/>
    <hyperlink ref="M196" r:id="rId195" xr:uid="{8E844FE2-3AB3-435C-A92F-D1BC90722AAC}"/>
    <hyperlink ref="M197" r:id="rId196" xr:uid="{E83BF4BB-CFB5-418F-B16D-6662BAC129E9}"/>
    <hyperlink ref="M198" r:id="rId197" xr:uid="{9F15EB84-B628-4627-B9C7-EE51CCC1A6E8}"/>
    <hyperlink ref="M199" r:id="rId198" xr:uid="{78E859A3-791B-4D86-8B53-563E153CF3F5}"/>
    <hyperlink ref="M200" r:id="rId199" xr:uid="{E0BA3C4E-77C9-4900-AD00-F72FA1C48A44}"/>
    <hyperlink ref="M201" r:id="rId200" xr:uid="{F718417D-7A31-4AEC-8610-D58B35B4D523}"/>
    <hyperlink ref="M202" r:id="rId201" xr:uid="{23159163-AF42-46F9-BD74-25CA04601A92}"/>
    <hyperlink ref="M203" r:id="rId202" xr:uid="{50050CA6-F102-40AE-901A-9CB2680D5112}"/>
    <hyperlink ref="M204" r:id="rId203" xr:uid="{C013B63F-8206-433B-B55A-0DC02FC739A0}"/>
    <hyperlink ref="M205" r:id="rId204" xr:uid="{46448128-1CA3-4C43-936A-69B0E5DBED15}"/>
    <hyperlink ref="M206" r:id="rId205" xr:uid="{E0049F4E-6D6C-42ED-8E48-3156ABB29388}"/>
    <hyperlink ref="M207" r:id="rId206" xr:uid="{A6B840B6-B560-4477-A0D3-3DBDED45C13D}"/>
    <hyperlink ref="M208" r:id="rId207" xr:uid="{C66831ED-780F-4F75-82E4-77F1653277BF}"/>
    <hyperlink ref="M209" r:id="rId208" xr:uid="{46C1AB83-E60B-48E9-BA8F-6B2FDB55DB53}"/>
    <hyperlink ref="M210" r:id="rId209" xr:uid="{C9FC19C7-BD1A-408B-A06B-957FDE1182D5}"/>
    <hyperlink ref="M211" r:id="rId210" xr:uid="{72FB4FC9-9B05-4B51-B569-1D1E0711F73B}"/>
    <hyperlink ref="M212" r:id="rId211" xr:uid="{F1301688-A5D0-4F48-815F-B64FD6F8C17D}"/>
    <hyperlink ref="M213" r:id="rId212" xr:uid="{A2BFB45D-DA44-4746-B0BC-E821C8072820}"/>
    <hyperlink ref="M214" r:id="rId213" xr:uid="{E2B068DC-0E07-4635-A67B-D25D5144558A}"/>
    <hyperlink ref="M215" r:id="rId214" xr:uid="{1999BCA1-45D5-4B57-94FF-197CF722F73A}"/>
    <hyperlink ref="M216" r:id="rId215" xr:uid="{FF10A583-0373-419E-B628-1A444935DBC9}"/>
    <hyperlink ref="M217" r:id="rId216" xr:uid="{60EAA810-8AAD-4092-8EF2-96A4B262A734}"/>
    <hyperlink ref="M218" r:id="rId217" xr:uid="{23C97842-705F-4A2C-AC11-07A0425A0B22}"/>
    <hyperlink ref="M219" r:id="rId218" xr:uid="{B2687A40-F906-47ED-83CC-726F6A19634E}"/>
    <hyperlink ref="M220" r:id="rId219" xr:uid="{B9727688-E2EC-45CB-A3D0-BB0F2DD6FE55}"/>
    <hyperlink ref="M221" r:id="rId220" xr:uid="{9A760C64-97CB-4030-913E-FD378B7A407E}"/>
    <hyperlink ref="M222" r:id="rId221" xr:uid="{0BBDB4E4-DBD9-4C0D-B3CF-0680377F2332}"/>
    <hyperlink ref="M223" r:id="rId222" xr:uid="{B1A5A7A4-FBDF-4301-B790-5DC7D27620F8}"/>
    <hyperlink ref="M224" r:id="rId223" xr:uid="{87165798-18D4-41A6-987F-8A7E74030AB4}"/>
    <hyperlink ref="M225" r:id="rId224" xr:uid="{97F2A280-44BA-484E-98D3-76E1C07393D5}"/>
    <hyperlink ref="M226" r:id="rId225" xr:uid="{356D0FAA-5607-4743-97AB-D52BF6A31206}"/>
    <hyperlink ref="M227" r:id="rId226" xr:uid="{D39B67E9-D409-4FC6-A824-B1490440E55D}"/>
    <hyperlink ref="M228" r:id="rId227" xr:uid="{087D4492-473D-45F8-857B-AB50EEF1FE9C}"/>
    <hyperlink ref="M229" r:id="rId228" xr:uid="{1A63C9AB-EC1F-4434-957B-5C0E9AC26735}"/>
    <hyperlink ref="M230" r:id="rId229" xr:uid="{DE47B478-1CE6-4F39-9B40-2311ED3B8524}"/>
    <hyperlink ref="M231" r:id="rId230" xr:uid="{05CA0CAD-D7BB-4BA0-9ABB-2EDC28E73451}"/>
    <hyperlink ref="M232" r:id="rId231" xr:uid="{AA2EBCA1-2711-41FE-933F-0612D442A154}"/>
    <hyperlink ref="M233" r:id="rId232" xr:uid="{EB9F26D1-1564-4AE9-A702-9DBB33FB15A3}"/>
    <hyperlink ref="M234" r:id="rId233" xr:uid="{0496D746-4468-4DDE-ADBA-4FCBE76812AE}"/>
    <hyperlink ref="M235" r:id="rId234" xr:uid="{DDE29F40-9D18-4B0C-B5E0-1F3206993B2A}"/>
    <hyperlink ref="M236" r:id="rId235" xr:uid="{D96E80CB-1288-426D-AC78-DC434B84FBAE}"/>
    <hyperlink ref="M237" r:id="rId236" xr:uid="{8EB82A34-2926-47F7-B324-E0ED03E1E342}"/>
    <hyperlink ref="M238" r:id="rId237" xr:uid="{4FE40CF4-9F0B-4094-A43F-CAA49385DA48}"/>
    <hyperlink ref="M239" r:id="rId238" xr:uid="{9ECDA06B-3341-4F34-8AB3-BB1661EF4051}"/>
    <hyperlink ref="M240" r:id="rId239" xr:uid="{F5002B23-2CFE-4104-BAF1-5F2AD320EBD7}"/>
    <hyperlink ref="M241" r:id="rId240" xr:uid="{4EA75680-E1BD-4F9E-BC85-D105E6A5D8F8}"/>
    <hyperlink ref="M242" r:id="rId241" xr:uid="{2BE08985-DF99-4591-881A-3E6E4D30AE6C}"/>
    <hyperlink ref="M243" r:id="rId242" xr:uid="{7A5823CC-DB4E-41B4-8B65-C3B2CB2C25BE}"/>
    <hyperlink ref="M244" r:id="rId243" xr:uid="{D53ED815-190A-4077-A58B-45E23D6C2E6D}"/>
    <hyperlink ref="M245" r:id="rId244" xr:uid="{0214ED21-7066-4037-A7E2-30D017B0BB14}"/>
    <hyperlink ref="M246" r:id="rId245" xr:uid="{78F26A31-4C15-4979-8780-72509C601AA6}"/>
    <hyperlink ref="M247" r:id="rId246" xr:uid="{8C3B4748-2650-4E69-B816-805864E18AC2}"/>
    <hyperlink ref="M248" r:id="rId247" xr:uid="{940BFE0E-9AB0-4252-9936-27DBDC363A5E}"/>
    <hyperlink ref="M249" r:id="rId248" xr:uid="{171B803A-BBC7-45ED-856C-3E5E1E49C715}"/>
    <hyperlink ref="M250" r:id="rId249" xr:uid="{EB0DCDDB-B2A1-471F-9435-37D303950BE2}"/>
    <hyperlink ref="M251" r:id="rId250" xr:uid="{E636939D-6AC1-4C20-AD87-1FE6C5B9522A}"/>
    <hyperlink ref="M252" r:id="rId251" xr:uid="{5200E414-4222-4E54-9B18-C68B2E9C6B55}"/>
    <hyperlink ref="M253" r:id="rId252" xr:uid="{48CC4764-A556-488A-BB09-F9EEDBBBEC60}"/>
    <hyperlink ref="M254" r:id="rId253" xr:uid="{EA2EF9AB-127D-41B6-A224-3617CDB7CB08}"/>
    <hyperlink ref="M255" r:id="rId254" xr:uid="{18673AE3-AF25-4C97-AEA6-27A390E0705D}"/>
    <hyperlink ref="M256" r:id="rId255" xr:uid="{9AFD9DA0-382E-4AF3-B870-BB88495DDCBB}"/>
    <hyperlink ref="M257" r:id="rId256" xr:uid="{6DEB0C9D-395D-4A3A-8EB7-02C9CE6AB770}"/>
    <hyperlink ref="M258" r:id="rId257" xr:uid="{8E946B7C-7FB0-465D-B1E1-98BCEC91375E}"/>
    <hyperlink ref="M259" r:id="rId258" xr:uid="{3A1D8A45-F1CB-41D0-84C9-C6E12261967C}"/>
    <hyperlink ref="M260" r:id="rId259" xr:uid="{FCFE3420-C99F-4358-A602-C712BCC7FF17}"/>
    <hyperlink ref="M261" r:id="rId260" xr:uid="{0CD4321C-D84E-4F70-8C4E-70F1802E43EA}"/>
    <hyperlink ref="M262" r:id="rId261" xr:uid="{4860A7CF-BFB2-49E1-9900-01A23B7C89A1}"/>
    <hyperlink ref="M263" r:id="rId262" xr:uid="{F8C0F9C6-9686-4337-8442-EC7DBE4EBDD2}"/>
    <hyperlink ref="M264" r:id="rId263" xr:uid="{1A9638AC-593D-4A49-88F9-AAA20853F76F}"/>
    <hyperlink ref="M265" r:id="rId264" xr:uid="{85E1033E-50E5-4522-8285-C04016B82911}"/>
    <hyperlink ref="M266" r:id="rId265" xr:uid="{E01925AA-6FE5-4FE7-8664-A16450EC2799}"/>
    <hyperlink ref="M267" r:id="rId266" xr:uid="{A4A1C2D5-212D-4257-9A54-A996A5B9AA2A}"/>
    <hyperlink ref="M268" r:id="rId267" xr:uid="{FDA6C35E-8252-45C1-B126-1409B9C50FE0}"/>
    <hyperlink ref="M269" r:id="rId268" xr:uid="{E06D3FCD-32D7-41C5-B1A1-9D43614517DA}"/>
    <hyperlink ref="M270" r:id="rId269" xr:uid="{CCC08708-5F63-456B-A275-B17D5B3EA635}"/>
    <hyperlink ref="M271" r:id="rId270" xr:uid="{A677A8CB-9219-4D0A-8F1C-481AED8C40ED}"/>
    <hyperlink ref="M272" r:id="rId271" xr:uid="{A592AC01-CDB2-4518-BC4E-D98B72A038A0}"/>
    <hyperlink ref="M273" r:id="rId272" xr:uid="{15F1B478-DFF8-43F9-87F6-FD9B229B9A0F}"/>
    <hyperlink ref="M274" r:id="rId273" xr:uid="{C1847D94-F8DD-47FC-A904-B782DF7E85C0}"/>
    <hyperlink ref="M275" r:id="rId274" xr:uid="{D9436A02-2CDF-4E23-86E5-34F622252106}"/>
    <hyperlink ref="M276" r:id="rId275" xr:uid="{5CC6F1F6-2796-46EE-81D0-00A22A772C3E}"/>
    <hyperlink ref="J277" r:id="rId276" xr:uid="{F77E42F7-A98F-4E41-B40D-7B6E48887A91}"/>
    <hyperlink ref="M277" r:id="rId277" xr:uid="{178404C8-9F5B-4877-A095-3400F85B432A}"/>
    <hyperlink ref="M278" r:id="rId278" xr:uid="{0DC52F45-43CD-4A37-861F-093D0BE4232D}"/>
    <hyperlink ref="M279" r:id="rId279" xr:uid="{D82FD0B5-8023-4554-8E5A-A4B58CB2326B}"/>
    <hyperlink ref="M280" r:id="rId280" xr:uid="{469551E1-B5C7-4BF7-9866-9C5787505262}"/>
    <hyperlink ref="M281" r:id="rId281" xr:uid="{0A3256CC-DD6C-4886-84E3-0F8D3C92D33A}"/>
    <hyperlink ref="M282" r:id="rId282" xr:uid="{1BFD8823-71FF-41B9-AD7D-8167D531F1F9}"/>
    <hyperlink ref="M283" r:id="rId283" xr:uid="{3E1473D2-0DAB-4D52-95B5-8E23EF8030F4}"/>
    <hyperlink ref="M284" r:id="rId284" xr:uid="{FA4C30E0-1F00-4D45-B4DA-229C90DB87CE}"/>
    <hyperlink ref="M285" r:id="rId285" xr:uid="{B10183EA-FD16-4634-9925-C6138C76E6D2}"/>
    <hyperlink ref="M286" r:id="rId286" xr:uid="{7B2853D5-9F61-4014-9248-D447D3067809}"/>
    <hyperlink ref="M287" r:id="rId287" xr:uid="{D72C1398-2B52-4648-9214-B625F1838685}"/>
    <hyperlink ref="M288" r:id="rId288" xr:uid="{A7C963EB-525B-4345-BF13-5AA54C386D28}"/>
    <hyperlink ref="M289" r:id="rId289" xr:uid="{D3272D1B-FF9E-4CE7-8540-A4A22F7AFD55}"/>
    <hyperlink ref="M290" r:id="rId290" xr:uid="{86BB17AD-D44E-4FE3-ADB4-285DBC18FE18}"/>
    <hyperlink ref="M291" r:id="rId291" xr:uid="{B59D1BE3-EAE7-45C4-AB2C-F8DF9F6C9E0A}"/>
    <hyperlink ref="M292" r:id="rId292" xr:uid="{7ADFA4B6-2C86-4462-BFEA-336F3CF7398E}"/>
    <hyperlink ref="M293" r:id="rId293" xr:uid="{96A4FD69-D6AD-4056-AC92-25833C9BA34D}"/>
    <hyperlink ref="M294" r:id="rId294" xr:uid="{3F4AE728-1DBD-4E86-B194-5620AA803A33}"/>
    <hyperlink ref="M295" r:id="rId295" xr:uid="{42E57ECF-90F6-4F1E-90C1-A653CE649B85}"/>
    <hyperlink ref="M296" r:id="rId296" xr:uid="{CDEC3934-7862-4978-808B-54D406DF7644}"/>
    <hyperlink ref="M297" r:id="rId297" xr:uid="{46A0B0CF-35B2-49EE-A83E-DCB664FB361D}"/>
    <hyperlink ref="M298" r:id="rId298" xr:uid="{A5D49484-AF98-4838-AF6C-50DE13800428}"/>
    <hyperlink ref="M299" r:id="rId299" xr:uid="{CB5849EA-0954-44B1-97B3-0DCC54CC619D}"/>
    <hyperlink ref="M300" r:id="rId300" xr:uid="{60F44EBD-A0D0-4F24-8D46-4D271982984F}"/>
    <hyperlink ref="M301" r:id="rId301" xr:uid="{F831CA3E-DDB2-4072-8492-AEE0CBC0CF8D}"/>
    <hyperlink ref="M302" r:id="rId302" xr:uid="{DB3E8601-5189-481F-99E5-CDBE209EE19A}"/>
    <hyperlink ref="M303" r:id="rId303" xr:uid="{2DE91411-3BFB-45E9-B86D-893B06525D8A}"/>
    <hyperlink ref="M304" r:id="rId304" xr:uid="{699E0EBE-9E2E-47F0-BAAF-3616D83E1690}"/>
    <hyperlink ref="M305" r:id="rId305" xr:uid="{8FAFB1BE-E543-4464-A20F-5B6757657E6C}"/>
    <hyperlink ref="M306" r:id="rId306" xr:uid="{2E1F4469-5518-4CB4-A78A-98A672D65A2C}"/>
    <hyperlink ref="M307" r:id="rId307" xr:uid="{07885370-DA19-45AC-A3E6-451B070F6B8C}"/>
    <hyperlink ref="M308" r:id="rId308" xr:uid="{F53E724C-69FC-422E-99B1-7349C2CB2A77}"/>
    <hyperlink ref="M309" r:id="rId309" xr:uid="{383B12BC-89CA-41EE-9957-6E6AE3F46637}"/>
    <hyperlink ref="M310" r:id="rId310" xr:uid="{791B63B7-BB5A-496A-8969-D135471624CC}"/>
    <hyperlink ref="M311" r:id="rId311" xr:uid="{6653DB74-87C3-483A-8B2B-46FF13A8B430}"/>
    <hyperlink ref="M312" r:id="rId312" xr:uid="{FFC67976-4A96-4666-BE53-23B3D1D5FBDF}"/>
    <hyperlink ref="M313" r:id="rId313" xr:uid="{B8C20BC5-4D0B-49DB-8C81-307915ED9FD2}"/>
    <hyperlink ref="M314" r:id="rId314" xr:uid="{35AD7EFB-AB91-4FBE-8C36-5332B4C2C0B5}"/>
    <hyperlink ref="M315" r:id="rId315" xr:uid="{E43B559E-C615-41F5-8B37-4EB24651AFA8}"/>
    <hyperlink ref="M316" r:id="rId316" xr:uid="{B2C3315D-93E9-477F-9379-EDA001A16F65}"/>
    <hyperlink ref="M317" r:id="rId317" xr:uid="{451C984E-EF1D-4B8C-B1D8-CFD26F316E25}"/>
    <hyperlink ref="M318" r:id="rId318" xr:uid="{E0106E7A-F6BB-462D-B828-E4F250144452}"/>
    <hyperlink ref="M319" r:id="rId319" xr:uid="{8193A686-7FFC-4630-9930-3375137ACA50}"/>
    <hyperlink ref="M320" r:id="rId320" xr:uid="{98FD190B-0FDC-41F0-B9D7-9DAF24D19511}"/>
    <hyperlink ref="M321" r:id="rId321" xr:uid="{5DAB7673-EB72-46A1-AE5E-8DA321861993}"/>
    <hyperlink ref="M322" r:id="rId322" xr:uid="{091C377F-E2AB-453D-B582-500296D7D85D}"/>
    <hyperlink ref="M323" r:id="rId323" xr:uid="{20AC7C66-BA9E-4C70-991C-76A5DDDE8A2F}"/>
    <hyperlink ref="M324" r:id="rId324" xr:uid="{90B576C5-3AF5-4BEA-9B49-21D5E7314448}"/>
    <hyperlink ref="M325" r:id="rId325" xr:uid="{4C3D33C0-EFE7-4785-B077-39049740E307}"/>
    <hyperlink ref="M326" r:id="rId326" xr:uid="{975BAFFF-8985-4A10-BE1C-EFE5A1EB7776}"/>
    <hyperlink ref="M327" r:id="rId327" xr:uid="{C8212940-A05C-4F79-8C8B-D1965B1C7E30}"/>
    <hyperlink ref="M328" r:id="rId328" xr:uid="{CBFDE0EF-9C68-49EC-9197-E122675CE58E}"/>
    <hyperlink ref="M329" r:id="rId329" xr:uid="{1699E1C1-5996-4EA3-B6AC-CD955A2962F5}"/>
    <hyperlink ref="M330" r:id="rId330" xr:uid="{05EB573C-A6AC-42EE-9B89-A16BE48076D0}"/>
    <hyperlink ref="M331" r:id="rId331" xr:uid="{24A07C67-E7DE-480D-AA32-4C270604DA3E}"/>
    <hyperlink ref="M332" r:id="rId332" xr:uid="{D95282B5-7184-4AA8-AF33-EF63D044FF5F}"/>
    <hyperlink ref="M333" r:id="rId333" xr:uid="{240CB9A3-7879-4ABA-A54F-27AEBCB41C9C}"/>
    <hyperlink ref="M334" r:id="rId334" xr:uid="{F5A690DC-C045-40BF-BCD8-5176818C122A}"/>
    <hyperlink ref="M335" r:id="rId335" xr:uid="{79446414-438D-4032-A8AE-13BBBBFF4FE6}"/>
    <hyperlink ref="M336" r:id="rId336" xr:uid="{547BCF22-113D-43D4-AEE9-C4E0BB13527E}"/>
    <hyperlink ref="M337" r:id="rId337" xr:uid="{EC3253C3-296C-4A9D-82EC-F4EFF3140582}"/>
    <hyperlink ref="M338" r:id="rId338" xr:uid="{DEC788FB-8ADE-4245-9373-CF0949B6F60E}"/>
    <hyperlink ref="M339" r:id="rId339" xr:uid="{D022949B-1497-4883-80D8-A5469C5EBF1A}"/>
    <hyperlink ref="M340" r:id="rId340" xr:uid="{86C54F85-2B93-41F5-9BE9-04A08B90E2CB}"/>
    <hyperlink ref="M341" r:id="rId341" xr:uid="{08835AF6-0315-4A22-A29A-E536108F6F81}"/>
    <hyperlink ref="M342" r:id="rId342" xr:uid="{AC71757A-E522-4955-ACEF-7DA8AC33A5A8}"/>
    <hyperlink ref="M343" r:id="rId343" xr:uid="{0B5021F2-FEBA-4A79-BF26-F03D9D71B707}"/>
    <hyperlink ref="M344" r:id="rId344" xr:uid="{C68668A9-6E95-4C5F-B292-EE3CBE5F0B67}"/>
    <hyperlink ref="M345" r:id="rId345" xr:uid="{A6A108B2-DCB6-46C3-BD3A-E44A59FF3550}"/>
    <hyperlink ref="M346" r:id="rId346" xr:uid="{08B4449F-C201-4F9E-AA55-B02ECE77E168}"/>
    <hyperlink ref="M347" r:id="rId347" xr:uid="{24234233-5266-4D12-90B1-C805F50FE318}"/>
    <hyperlink ref="M348" r:id="rId348" xr:uid="{9725BA8B-DF53-4BF1-B450-F395BE2DCE0C}"/>
    <hyperlink ref="M349" r:id="rId349" xr:uid="{12D692D2-D4EB-487D-A181-82284F7762FC}"/>
    <hyperlink ref="M350" r:id="rId350" xr:uid="{874FF061-56AA-4E16-8AF8-23962811AF5F}"/>
    <hyperlink ref="M351" r:id="rId351" xr:uid="{B26A287C-1BF7-4738-87C5-67ADD43EE720}"/>
    <hyperlink ref="M352" r:id="rId352" xr:uid="{8B6B317A-C970-4998-8E02-3A7B974E3A06}"/>
    <hyperlink ref="M353" r:id="rId353" xr:uid="{8F202134-EE06-451E-B913-5E851149133A}"/>
    <hyperlink ref="M354" r:id="rId354" xr:uid="{4970CDC3-5EF7-4A27-8A96-CB90D2868714}"/>
    <hyperlink ref="M355" r:id="rId355" xr:uid="{03D85AC5-D215-429D-A11A-03459C62812C}"/>
    <hyperlink ref="M356" r:id="rId356" xr:uid="{EC44B705-DA3C-4695-9569-6D8B0CACE0E9}"/>
    <hyperlink ref="M357" r:id="rId357" xr:uid="{ADE249C6-3067-4BF5-845F-A303DB2026E2}"/>
    <hyperlink ref="M358" r:id="rId358" xr:uid="{E78A7154-E034-4264-B8B9-ED8522EA4428}"/>
    <hyperlink ref="M359" r:id="rId359" xr:uid="{5A6C6856-CEFD-4DF5-9119-F55D1714A269}"/>
    <hyperlink ref="M360" r:id="rId360" xr:uid="{65EC6E26-B189-4F5D-80E6-DC6198D8FB5E}"/>
    <hyperlink ref="M361" r:id="rId361" xr:uid="{8B524CBE-BD70-49FE-BFD2-48B91135FDBC}"/>
    <hyperlink ref="M362" r:id="rId362" xr:uid="{BD3573F4-ADBE-4D52-931D-093380641551}"/>
    <hyperlink ref="M363" r:id="rId363" xr:uid="{0EF17118-D72B-41A9-B307-0E2F37CFDC6E}"/>
    <hyperlink ref="M364" r:id="rId364" xr:uid="{7C4F501E-7F7C-457F-A756-EB6E7F1B7699}"/>
    <hyperlink ref="M365" r:id="rId365" xr:uid="{617A9BE3-2C79-4893-9698-577EAEE98FB4}"/>
    <hyperlink ref="M366" r:id="rId366" xr:uid="{E67DBBD9-CF1F-4E09-8039-930C76775727}"/>
    <hyperlink ref="M367" r:id="rId367" xr:uid="{852D05BF-12FF-4E8C-8AEC-AF24B3E15C1B}"/>
    <hyperlink ref="M368" r:id="rId368" xr:uid="{60E35B3D-CC99-4622-99DC-8C6801EF1F48}"/>
    <hyperlink ref="M369" r:id="rId369" xr:uid="{65009D10-C85F-407B-B59A-F67A77ACF27A}"/>
    <hyperlink ref="M370" r:id="rId370" xr:uid="{A0994DAD-7E97-4FA1-AB41-8E371BFB59AC}"/>
    <hyperlink ref="M371" r:id="rId371" xr:uid="{05C3119F-553F-4D8C-947D-F87CCFA555D6}"/>
    <hyperlink ref="M372" r:id="rId372" xr:uid="{44603E65-D727-486B-99F1-1A22E5EDCB5E}"/>
    <hyperlink ref="M374" r:id="rId373" xr:uid="{F3E88789-2B47-4157-AC09-DA3386B32C75}"/>
    <hyperlink ref="M375" r:id="rId374" xr:uid="{E117AB2E-379F-4CCE-A11D-0FCF975BCAFB}"/>
    <hyperlink ref="M376" r:id="rId375" xr:uid="{6B6D6822-A96D-4B8A-8FD2-C37451866F6E}"/>
    <hyperlink ref="M377" r:id="rId376" xr:uid="{54F88F9A-C67A-442A-8D76-5CEC475787E3}"/>
    <hyperlink ref="M378" r:id="rId377" xr:uid="{F31960DC-ED81-4BFD-87A4-7A6A9F0B1D97}"/>
    <hyperlink ref="M379" r:id="rId378" xr:uid="{9578F825-7AA8-4D43-8EF8-3172003CE715}"/>
    <hyperlink ref="M380" r:id="rId379" xr:uid="{A0DA81A8-E0AC-4C16-9004-4B49C4B6C85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  <sheetView workbookViewId="1">
      <selection sqref="A1:A2"/>
    </sheetView>
  </sheetViews>
  <sheetFormatPr defaultColWidth="14.42578125" defaultRowHeight="15" customHeight="1"/>
  <cols>
    <col min="1" max="1" width="5.7109375" customWidth="1"/>
    <col min="2" max="2" width="22.7109375" customWidth="1"/>
    <col min="3" max="3" width="9.7109375" customWidth="1"/>
    <col min="4" max="4" width="18.42578125" customWidth="1"/>
    <col min="5" max="5" width="17.5703125" customWidth="1"/>
    <col min="6" max="6" width="10.7109375" customWidth="1"/>
    <col min="7" max="7" width="34.7109375" customWidth="1"/>
    <col min="8" max="8" width="39.140625" customWidth="1"/>
    <col min="9" max="9" width="8.85546875" customWidth="1"/>
    <col min="10" max="11" width="11.7109375" customWidth="1"/>
    <col min="12" max="12" width="17.42578125" customWidth="1"/>
    <col min="13" max="26" width="8.7109375" customWidth="1"/>
  </cols>
  <sheetData>
    <row r="1" spans="1:26" ht="14.25" customHeight="1">
      <c r="A1" s="102" t="s">
        <v>0</v>
      </c>
      <c r="B1" s="98" t="s">
        <v>1715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7" t="s">
        <v>9</v>
      </c>
      <c r="K1" s="110"/>
      <c r="L1" s="98" t="s">
        <v>10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8" customHeight="1">
      <c r="A2" s="111"/>
      <c r="B2" s="111"/>
      <c r="C2" s="111"/>
      <c r="D2" s="111"/>
      <c r="E2" s="111"/>
      <c r="F2" s="111"/>
      <c r="G2" s="111"/>
      <c r="H2" s="111"/>
      <c r="I2" s="111"/>
      <c r="J2" s="15" t="s">
        <v>18</v>
      </c>
      <c r="K2" s="15" t="s">
        <v>19</v>
      </c>
      <c r="L2" s="111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" customHeight="1">
      <c r="A3" s="16">
        <v>1</v>
      </c>
      <c r="B3" s="17">
        <v>6412213103</v>
      </c>
      <c r="C3" s="17" t="s">
        <v>22</v>
      </c>
      <c r="D3" s="17" t="s">
        <v>23</v>
      </c>
      <c r="E3" s="17" t="s">
        <v>24</v>
      </c>
      <c r="F3" s="17" t="s">
        <v>25</v>
      </c>
      <c r="G3" s="17" t="s">
        <v>26</v>
      </c>
      <c r="H3" s="17" t="s">
        <v>27</v>
      </c>
      <c r="I3" s="17" t="s">
        <v>3707</v>
      </c>
      <c r="J3" s="16"/>
      <c r="K3" s="16" t="str">
        <f t="shared" ref="K3:K90" si="0">IF(J3&gt;=2,"ผ่าน",IF(J3&lt;2,"ไม่ผ่าน"))</f>
        <v>ไม่ผ่าน</v>
      </c>
      <c r="L3" s="16" t="s">
        <v>28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" customHeight="1">
      <c r="A4" s="16">
        <v>2</v>
      </c>
      <c r="B4" s="17">
        <v>6412213109</v>
      </c>
      <c r="C4" s="17" t="s">
        <v>29</v>
      </c>
      <c r="D4" s="17" t="s">
        <v>30</v>
      </c>
      <c r="E4" s="17" t="s">
        <v>31</v>
      </c>
      <c r="F4" s="17" t="s">
        <v>32</v>
      </c>
      <c r="G4" s="17" t="s">
        <v>26</v>
      </c>
      <c r="H4" s="17" t="s">
        <v>27</v>
      </c>
      <c r="I4" s="17" t="s">
        <v>3707</v>
      </c>
      <c r="J4" s="16"/>
      <c r="K4" s="16" t="str">
        <f t="shared" si="0"/>
        <v>ไม่ผ่าน</v>
      </c>
      <c r="L4" s="16" t="s">
        <v>28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" customHeight="1">
      <c r="A5" s="16">
        <v>3</v>
      </c>
      <c r="B5" s="17">
        <v>6412213110</v>
      </c>
      <c r="C5" s="17" t="s">
        <v>29</v>
      </c>
      <c r="D5" s="17" t="s">
        <v>33</v>
      </c>
      <c r="E5" s="17" t="s">
        <v>34</v>
      </c>
      <c r="F5" s="17" t="s">
        <v>35</v>
      </c>
      <c r="G5" s="17" t="s">
        <v>26</v>
      </c>
      <c r="H5" s="17" t="s">
        <v>27</v>
      </c>
      <c r="I5" s="17" t="s">
        <v>3707</v>
      </c>
      <c r="J5" s="16"/>
      <c r="K5" s="16" t="str">
        <f t="shared" si="0"/>
        <v>ไม่ผ่าน</v>
      </c>
      <c r="L5" s="16" t="s">
        <v>28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" customHeight="1">
      <c r="A6" s="16">
        <v>4</v>
      </c>
      <c r="B6" s="17">
        <v>6412213113</v>
      </c>
      <c r="C6" s="17" t="s">
        <v>29</v>
      </c>
      <c r="D6" s="17" t="s">
        <v>36</v>
      </c>
      <c r="E6" s="17" t="s">
        <v>37</v>
      </c>
      <c r="F6" s="17" t="s">
        <v>38</v>
      </c>
      <c r="G6" s="17" t="s">
        <v>26</v>
      </c>
      <c r="H6" s="17" t="s">
        <v>27</v>
      </c>
      <c r="I6" s="17" t="s">
        <v>3707</v>
      </c>
      <c r="J6" s="16"/>
      <c r="K6" s="16" t="str">
        <f t="shared" si="0"/>
        <v>ไม่ผ่าน</v>
      </c>
      <c r="L6" s="16" t="s">
        <v>28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" customHeight="1">
      <c r="A7" s="16">
        <v>5</v>
      </c>
      <c r="B7" s="17">
        <v>6412213114</v>
      </c>
      <c r="C7" s="17" t="s">
        <v>29</v>
      </c>
      <c r="D7" s="17" t="s">
        <v>39</v>
      </c>
      <c r="E7" s="17" t="s">
        <v>40</v>
      </c>
      <c r="F7" s="17" t="s">
        <v>41</v>
      </c>
      <c r="G7" s="17" t="s">
        <v>26</v>
      </c>
      <c r="H7" s="17" t="s">
        <v>27</v>
      </c>
      <c r="I7" s="17" t="s">
        <v>3707</v>
      </c>
      <c r="J7" s="16"/>
      <c r="K7" s="16" t="str">
        <f t="shared" si="0"/>
        <v>ไม่ผ่าน</v>
      </c>
      <c r="L7" s="16" t="s">
        <v>28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" customHeight="1">
      <c r="A8" s="16">
        <v>6</v>
      </c>
      <c r="B8" s="17">
        <v>6412213115</v>
      </c>
      <c r="C8" s="17" t="s">
        <v>29</v>
      </c>
      <c r="D8" s="17" t="s">
        <v>42</v>
      </c>
      <c r="E8" s="17" t="s">
        <v>43</v>
      </c>
      <c r="F8" s="17" t="s">
        <v>44</v>
      </c>
      <c r="G8" s="17" t="s">
        <v>26</v>
      </c>
      <c r="H8" s="17" t="s">
        <v>27</v>
      </c>
      <c r="I8" s="17" t="s">
        <v>3707</v>
      </c>
      <c r="J8" s="16"/>
      <c r="K8" s="16" t="str">
        <f t="shared" si="0"/>
        <v>ไม่ผ่าน</v>
      </c>
      <c r="L8" s="16" t="s">
        <v>28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8" customHeight="1">
      <c r="A9" s="16">
        <v>7</v>
      </c>
      <c r="B9" s="17">
        <v>6412213116</v>
      </c>
      <c r="C9" s="17" t="s">
        <v>22</v>
      </c>
      <c r="D9" s="17" t="s">
        <v>45</v>
      </c>
      <c r="E9" s="17" t="s">
        <v>46</v>
      </c>
      <c r="F9" s="17" t="s">
        <v>47</v>
      </c>
      <c r="G9" s="17" t="s">
        <v>26</v>
      </c>
      <c r="H9" s="17" t="s">
        <v>27</v>
      </c>
      <c r="I9" s="17" t="s">
        <v>3707</v>
      </c>
      <c r="J9" s="16"/>
      <c r="K9" s="16" t="str">
        <f t="shared" si="0"/>
        <v>ไม่ผ่าน</v>
      </c>
      <c r="L9" s="16" t="s">
        <v>28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" customHeight="1">
      <c r="A10" s="16">
        <v>8</v>
      </c>
      <c r="B10" s="17">
        <v>6312213103</v>
      </c>
      <c r="C10" s="17" t="s">
        <v>29</v>
      </c>
      <c r="D10" s="17" t="s">
        <v>48</v>
      </c>
      <c r="E10" s="17" t="s">
        <v>49</v>
      </c>
      <c r="F10" s="17" t="s">
        <v>50</v>
      </c>
      <c r="G10" s="17" t="s">
        <v>26</v>
      </c>
      <c r="H10" s="17" t="s">
        <v>27</v>
      </c>
      <c r="I10" s="17" t="s">
        <v>3708</v>
      </c>
      <c r="J10" s="16"/>
      <c r="K10" s="16" t="str">
        <f t="shared" si="0"/>
        <v>ไม่ผ่าน</v>
      </c>
      <c r="L10" s="16" t="s">
        <v>28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" customHeight="1">
      <c r="A11" s="16">
        <v>9</v>
      </c>
      <c r="B11" s="17">
        <v>6312213105</v>
      </c>
      <c r="C11" s="17" t="s">
        <v>29</v>
      </c>
      <c r="D11" s="17" t="s">
        <v>51</v>
      </c>
      <c r="E11" s="17" t="s">
        <v>52</v>
      </c>
      <c r="F11" s="17" t="s">
        <v>53</v>
      </c>
      <c r="G11" s="17" t="s">
        <v>26</v>
      </c>
      <c r="H11" s="17" t="s">
        <v>27</v>
      </c>
      <c r="I11" s="17" t="s">
        <v>3708</v>
      </c>
      <c r="J11" s="16"/>
      <c r="K11" s="16" t="str">
        <f t="shared" si="0"/>
        <v>ไม่ผ่าน</v>
      </c>
      <c r="L11" s="16" t="s">
        <v>28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8" customHeight="1">
      <c r="A12" s="16">
        <v>10</v>
      </c>
      <c r="B12" s="17">
        <v>6312213108</v>
      </c>
      <c r="C12" s="17" t="s">
        <v>29</v>
      </c>
      <c r="D12" s="17" t="s">
        <v>54</v>
      </c>
      <c r="E12" s="17" t="s">
        <v>55</v>
      </c>
      <c r="F12" s="17" t="s">
        <v>56</v>
      </c>
      <c r="G12" s="17" t="s">
        <v>26</v>
      </c>
      <c r="H12" s="17" t="s">
        <v>27</v>
      </c>
      <c r="I12" s="17" t="s">
        <v>3708</v>
      </c>
      <c r="J12" s="16"/>
      <c r="K12" s="16" t="str">
        <f t="shared" si="0"/>
        <v>ไม่ผ่าน</v>
      </c>
      <c r="L12" s="16" t="s">
        <v>28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8" customHeight="1">
      <c r="A13" s="16">
        <v>11</v>
      </c>
      <c r="B13" s="17">
        <v>6312213117</v>
      </c>
      <c r="C13" s="17" t="s">
        <v>29</v>
      </c>
      <c r="D13" s="17" t="s">
        <v>57</v>
      </c>
      <c r="E13" s="17" t="s">
        <v>58</v>
      </c>
      <c r="F13" s="17" t="s">
        <v>59</v>
      </c>
      <c r="G13" s="17" t="s">
        <v>26</v>
      </c>
      <c r="H13" s="17" t="s">
        <v>27</v>
      </c>
      <c r="I13" s="17" t="s">
        <v>3708</v>
      </c>
      <c r="J13" s="16"/>
      <c r="K13" s="16" t="str">
        <f t="shared" si="0"/>
        <v>ไม่ผ่าน</v>
      </c>
      <c r="L13" s="16" t="s">
        <v>28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8" customHeight="1">
      <c r="A14" s="16">
        <v>12</v>
      </c>
      <c r="B14" s="17">
        <v>6312213121</v>
      </c>
      <c r="C14" s="17" t="s">
        <v>29</v>
      </c>
      <c r="D14" s="17" t="s">
        <v>60</v>
      </c>
      <c r="E14" s="17" t="s">
        <v>61</v>
      </c>
      <c r="F14" s="17" t="s">
        <v>62</v>
      </c>
      <c r="G14" s="17" t="s">
        <v>26</v>
      </c>
      <c r="H14" s="17" t="s">
        <v>27</v>
      </c>
      <c r="I14" s="17" t="s">
        <v>3708</v>
      </c>
      <c r="J14" s="16"/>
      <c r="K14" s="16" t="str">
        <f t="shared" si="0"/>
        <v>ไม่ผ่าน</v>
      </c>
      <c r="L14" s="16" t="s">
        <v>28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8" customHeight="1">
      <c r="A15" s="16">
        <v>13</v>
      </c>
      <c r="B15" s="17">
        <v>6612314111</v>
      </c>
      <c r="C15" s="17" t="s">
        <v>29</v>
      </c>
      <c r="D15" s="17" t="s">
        <v>63</v>
      </c>
      <c r="E15" s="17" t="s">
        <v>64</v>
      </c>
      <c r="F15" s="17" t="s">
        <v>65</v>
      </c>
      <c r="G15" s="17" t="s">
        <v>26</v>
      </c>
      <c r="H15" s="17" t="s">
        <v>66</v>
      </c>
      <c r="I15" s="17" t="s">
        <v>3709</v>
      </c>
      <c r="J15" s="16"/>
      <c r="K15" s="16" t="str">
        <f t="shared" si="0"/>
        <v>ไม่ผ่าน</v>
      </c>
      <c r="L15" s="16" t="s">
        <v>28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8" customHeight="1">
      <c r="A16" s="16">
        <v>14</v>
      </c>
      <c r="B16" s="17">
        <v>6612314112</v>
      </c>
      <c r="C16" s="17" t="s">
        <v>29</v>
      </c>
      <c r="D16" s="17" t="s">
        <v>67</v>
      </c>
      <c r="E16" s="17" t="s">
        <v>68</v>
      </c>
      <c r="F16" s="17" t="s">
        <v>69</v>
      </c>
      <c r="G16" s="17" t="s">
        <v>26</v>
      </c>
      <c r="H16" s="17" t="s">
        <v>66</v>
      </c>
      <c r="I16" s="17" t="s">
        <v>3709</v>
      </c>
      <c r="J16" s="16"/>
      <c r="K16" s="16" t="str">
        <f t="shared" si="0"/>
        <v>ไม่ผ่าน</v>
      </c>
      <c r="L16" s="16" t="s">
        <v>28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8" customHeight="1">
      <c r="A17" s="16">
        <v>15</v>
      </c>
      <c r="B17" s="17">
        <v>6612314113</v>
      </c>
      <c r="C17" s="17" t="s">
        <v>29</v>
      </c>
      <c r="D17" s="17" t="s">
        <v>70</v>
      </c>
      <c r="E17" s="17" t="s">
        <v>71</v>
      </c>
      <c r="F17" s="17" t="s">
        <v>72</v>
      </c>
      <c r="G17" s="17" t="s">
        <v>26</v>
      </c>
      <c r="H17" s="17" t="s">
        <v>66</v>
      </c>
      <c r="I17" s="17" t="s">
        <v>3709</v>
      </c>
      <c r="J17" s="16"/>
      <c r="K17" s="16" t="str">
        <f t="shared" si="0"/>
        <v>ไม่ผ่าน</v>
      </c>
      <c r="L17" s="16" t="s">
        <v>28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8" customHeight="1">
      <c r="A18" s="16">
        <v>16</v>
      </c>
      <c r="B18" s="17">
        <v>6612314114</v>
      </c>
      <c r="C18" s="17" t="s">
        <v>29</v>
      </c>
      <c r="D18" s="17" t="s">
        <v>73</v>
      </c>
      <c r="E18" s="17" t="s">
        <v>74</v>
      </c>
      <c r="F18" s="17" t="s">
        <v>75</v>
      </c>
      <c r="G18" s="17" t="s">
        <v>26</v>
      </c>
      <c r="H18" s="17" t="s">
        <v>66</v>
      </c>
      <c r="I18" s="17" t="s">
        <v>3709</v>
      </c>
      <c r="J18" s="16"/>
      <c r="K18" s="16" t="str">
        <f t="shared" si="0"/>
        <v>ไม่ผ่าน</v>
      </c>
      <c r="L18" s="16" t="s">
        <v>28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8" customHeight="1">
      <c r="A19" s="16">
        <v>17</v>
      </c>
      <c r="B19" s="17">
        <v>6612314126</v>
      </c>
      <c r="C19" s="17" t="s">
        <v>29</v>
      </c>
      <c r="D19" s="17" t="s">
        <v>76</v>
      </c>
      <c r="E19" s="17" t="s">
        <v>77</v>
      </c>
      <c r="F19" s="17" t="s">
        <v>78</v>
      </c>
      <c r="G19" s="17" t="s">
        <v>26</v>
      </c>
      <c r="H19" s="17" t="s">
        <v>66</v>
      </c>
      <c r="I19" s="17" t="s">
        <v>3709</v>
      </c>
      <c r="J19" s="16"/>
      <c r="K19" s="16" t="str">
        <f t="shared" si="0"/>
        <v>ไม่ผ่าน</v>
      </c>
      <c r="L19" s="16" t="s">
        <v>28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8" customHeight="1">
      <c r="A20" s="16">
        <v>18</v>
      </c>
      <c r="B20" s="17">
        <v>6612314130</v>
      </c>
      <c r="C20" s="17" t="s">
        <v>29</v>
      </c>
      <c r="D20" s="17" t="s">
        <v>79</v>
      </c>
      <c r="E20" s="17" t="s">
        <v>80</v>
      </c>
      <c r="F20" s="17" t="s">
        <v>38</v>
      </c>
      <c r="G20" s="17" t="s">
        <v>26</v>
      </c>
      <c r="H20" s="17" t="s">
        <v>66</v>
      </c>
      <c r="I20" s="17" t="s">
        <v>3709</v>
      </c>
      <c r="J20" s="16"/>
      <c r="K20" s="16" t="str">
        <f t="shared" si="0"/>
        <v>ไม่ผ่าน</v>
      </c>
      <c r="L20" s="16" t="s">
        <v>28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8" customHeight="1">
      <c r="A21" s="16">
        <v>19</v>
      </c>
      <c r="B21" s="17">
        <v>6612314132</v>
      </c>
      <c r="C21" s="17" t="s">
        <v>29</v>
      </c>
      <c r="D21" s="17" t="s">
        <v>81</v>
      </c>
      <c r="E21" s="17" t="s">
        <v>82</v>
      </c>
      <c r="F21" s="17" t="s">
        <v>83</v>
      </c>
      <c r="G21" s="17" t="s">
        <v>26</v>
      </c>
      <c r="H21" s="17" t="s">
        <v>66</v>
      </c>
      <c r="I21" s="17" t="s">
        <v>3709</v>
      </c>
      <c r="J21" s="16"/>
      <c r="K21" s="16" t="str">
        <f t="shared" si="0"/>
        <v>ไม่ผ่าน</v>
      </c>
      <c r="L21" s="16" t="s">
        <v>28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" customHeight="1">
      <c r="A22" s="16">
        <v>20</v>
      </c>
      <c r="B22" s="17">
        <v>6612314133</v>
      </c>
      <c r="C22" s="17" t="s">
        <v>29</v>
      </c>
      <c r="D22" s="17" t="s">
        <v>84</v>
      </c>
      <c r="E22" s="17" t="s">
        <v>85</v>
      </c>
      <c r="F22" s="17" t="s">
        <v>86</v>
      </c>
      <c r="G22" s="17" t="s">
        <v>26</v>
      </c>
      <c r="H22" s="17" t="s">
        <v>66</v>
      </c>
      <c r="I22" s="17" t="s">
        <v>3709</v>
      </c>
      <c r="J22" s="16"/>
      <c r="K22" s="16" t="str">
        <f t="shared" si="0"/>
        <v>ไม่ผ่าน</v>
      </c>
      <c r="L22" s="16" t="s">
        <v>28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" customHeight="1">
      <c r="A23" s="16">
        <v>21</v>
      </c>
      <c r="B23" s="17">
        <v>6612314135</v>
      </c>
      <c r="C23" s="17" t="s">
        <v>29</v>
      </c>
      <c r="D23" s="17" t="s">
        <v>87</v>
      </c>
      <c r="E23" s="17" t="s">
        <v>88</v>
      </c>
      <c r="F23" s="17" t="s">
        <v>89</v>
      </c>
      <c r="G23" s="17" t="s">
        <v>26</v>
      </c>
      <c r="H23" s="17" t="s">
        <v>66</v>
      </c>
      <c r="I23" s="17" t="s">
        <v>3709</v>
      </c>
      <c r="J23" s="16"/>
      <c r="K23" s="16" t="str">
        <f t="shared" si="0"/>
        <v>ไม่ผ่าน</v>
      </c>
      <c r="L23" s="16" t="s">
        <v>28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" customHeight="1">
      <c r="A24" s="16">
        <v>22</v>
      </c>
      <c r="B24" s="17">
        <v>6412314102</v>
      </c>
      <c r="C24" s="17" t="s">
        <v>22</v>
      </c>
      <c r="D24" s="17" t="s">
        <v>90</v>
      </c>
      <c r="E24" s="17" t="s">
        <v>91</v>
      </c>
      <c r="F24" s="17" t="s">
        <v>92</v>
      </c>
      <c r="G24" s="17" t="s">
        <v>26</v>
      </c>
      <c r="H24" s="17" t="s">
        <v>66</v>
      </c>
      <c r="I24" s="17" t="s">
        <v>3707</v>
      </c>
      <c r="J24" s="16"/>
      <c r="K24" s="16" t="str">
        <f t="shared" si="0"/>
        <v>ไม่ผ่าน</v>
      </c>
      <c r="L24" s="16" t="s">
        <v>28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8" customHeight="1">
      <c r="A25" s="16">
        <v>23</v>
      </c>
      <c r="B25" s="17">
        <v>6412314105</v>
      </c>
      <c r="C25" s="17" t="s">
        <v>29</v>
      </c>
      <c r="D25" s="17" t="s">
        <v>93</v>
      </c>
      <c r="E25" s="17" t="s">
        <v>94</v>
      </c>
      <c r="F25" s="17" t="s">
        <v>95</v>
      </c>
      <c r="G25" s="17" t="s">
        <v>26</v>
      </c>
      <c r="H25" s="17" t="s">
        <v>66</v>
      </c>
      <c r="I25" s="17" t="s">
        <v>3707</v>
      </c>
      <c r="J25" s="16"/>
      <c r="K25" s="16" t="str">
        <f t="shared" si="0"/>
        <v>ไม่ผ่าน</v>
      </c>
      <c r="L25" s="16" t="s">
        <v>28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" customHeight="1">
      <c r="A26" s="16">
        <v>24</v>
      </c>
      <c r="B26" s="17">
        <v>6412314107</v>
      </c>
      <c r="C26" s="17" t="s">
        <v>29</v>
      </c>
      <c r="D26" s="17" t="s">
        <v>96</v>
      </c>
      <c r="E26" s="17" t="s">
        <v>97</v>
      </c>
      <c r="F26" s="17" t="s">
        <v>98</v>
      </c>
      <c r="G26" s="17" t="s">
        <v>26</v>
      </c>
      <c r="H26" s="17" t="s">
        <v>66</v>
      </c>
      <c r="I26" s="17" t="s">
        <v>3707</v>
      </c>
      <c r="J26" s="16"/>
      <c r="K26" s="16" t="str">
        <f t="shared" si="0"/>
        <v>ไม่ผ่าน</v>
      </c>
      <c r="L26" s="16" t="s">
        <v>28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" customHeight="1">
      <c r="A27" s="16">
        <v>25</v>
      </c>
      <c r="B27" s="17">
        <v>6312314110</v>
      </c>
      <c r="C27" s="17" t="s">
        <v>29</v>
      </c>
      <c r="D27" s="17" t="s">
        <v>99</v>
      </c>
      <c r="E27" s="17" t="s">
        <v>100</v>
      </c>
      <c r="F27" s="17" t="s">
        <v>101</v>
      </c>
      <c r="G27" s="17" t="s">
        <v>26</v>
      </c>
      <c r="H27" s="17" t="s">
        <v>66</v>
      </c>
      <c r="I27" s="17" t="s">
        <v>3708</v>
      </c>
      <c r="J27" s="16"/>
      <c r="K27" s="16" t="str">
        <f t="shared" si="0"/>
        <v>ไม่ผ่าน</v>
      </c>
      <c r="L27" s="16" t="s">
        <v>28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" customHeight="1">
      <c r="A28" s="16">
        <v>26</v>
      </c>
      <c r="B28" s="17">
        <v>6312314114</v>
      </c>
      <c r="C28" s="17" t="s">
        <v>29</v>
      </c>
      <c r="D28" s="17" t="s">
        <v>102</v>
      </c>
      <c r="E28" s="17" t="s">
        <v>103</v>
      </c>
      <c r="F28" s="17" t="s">
        <v>104</v>
      </c>
      <c r="G28" s="17" t="s">
        <v>26</v>
      </c>
      <c r="H28" s="17" t="s">
        <v>66</v>
      </c>
      <c r="I28" s="17" t="s">
        <v>3708</v>
      </c>
      <c r="J28" s="16"/>
      <c r="K28" s="16" t="str">
        <f t="shared" si="0"/>
        <v>ไม่ผ่าน</v>
      </c>
      <c r="L28" s="16" t="s">
        <v>28</v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" customHeight="1">
      <c r="A29" s="16">
        <v>27</v>
      </c>
      <c r="B29" s="17">
        <v>6312314115</v>
      </c>
      <c r="C29" s="17" t="s">
        <v>29</v>
      </c>
      <c r="D29" s="17" t="s">
        <v>105</v>
      </c>
      <c r="E29" s="17" t="s">
        <v>106</v>
      </c>
      <c r="F29" s="17" t="s">
        <v>107</v>
      </c>
      <c r="G29" s="17" t="s">
        <v>26</v>
      </c>
      <c r="H29" s="17" t="s">
        <v>66</v>
      </c>
      <c r="I29" s="17" t="s">
        <v>3708</v>
      </c>
      <c r="J29" s="16"/>
      <c r="K29" s="16" t="str">
        <f t="shared" si="0"/>
        <v>ไม่ผ่าน</v>
      </c>
      <c r="L29" s="16" t="s">
        <v>28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" customHeight="1">
      <c r="A30" s="16">
        <v>28</v>
      </c>
      <c r="B30" s="17">
        <v>6312314120</v>
      </c>
      <c r="C30" s="17" t="s">
        <v>29</v>
      </c>
      <c r="D30" s="17" t="s">
        <v>108</v>
      </c>
      <c r="E30" s="17" t="s">
        <v>109</v>
      </c>
      <c r="F30" s="17" t="s">
        <v>110</v>
      </c>
      <c r="G30" s="17" t="s">
        <v>26</v>
      </c>
      <c r="H30" s="17" t="s">
        <v>66</v>
      </c>
      <c r="I30" s="17" t="s">
        <v>3708</v>
      </c>
      <c r="J30" s="16"/>
      <c r="K30" s="16" t="str">
        <f t="shared" si="0"/>
        <v>ไม่ผ่าน</v>
      </c>
      <c r="L30" s="16" t="s">
        <v>28</v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" customHeight="1">
      <c r="A31" s="16">
        <v>29</v>
      </c>
      <c r="B31" s="17">
        <v>6312314124</v>
      </c>
      <c r="C31" s="17" t="s">
        <v>29</v>
      </c>
      <c r="D31" s="17" t="s">
        <v>111</v>
      </c>
      <c r="E31" s="17" t="s">
        <v>112</v>
      </c>
      <c r="F31" s="17" t="s">
        <v>65</v>
      </c>
      <c r="G31" s="17" t="s">
        <v>26</v>
      </c>
      <c r="H31" s="17" t="s">
        <v>66</v>
      </c>
      <c r="I31" s="17" t="s">
        <v>3708</v>
      </c>
      <c r="J31" s="16"/>
      <c r="K31" s="16" t="str">
        <f t="shared" si="0"/>
        <v>ไม่ผ่าน</v>
      </c>
      <c r="L31" s="16" t="s">
        <v>28</v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" customHeight="1">
      <c r="A32" s="16">
        <v>30</v>
      </c>
      <c r="B32" s="17">
        <v>6410094115</v>
      </c>
      <c r="C32" s="17" t="s">
        <v>22</v>
      </c>
      <c r="D32" s="17" t="s">
        <v>113</v>
      </c>
      <c r="E32" s="17" t="s">
        <v>114</v>
      </c>
      <c r="F32" s="17" t="s">
        <v>115</v>
      </c>
      <c r="G32" s="17" t="s">
        <v>26</v>
      </c>
      <c r="H32" s="17" t="s">
        <v>116</v>
      </c>
      <c r="I32" s="17" t="s">
        <v>3707</v>
      </c>
      <c r="J32" s="16"/>
      <c r="K32" s="16" t="str">
        <f t="shared" si="0"/>
        <v>ไม่ผ่าน</v>
      </c>
      <c r="L32" s="16" t="s">
        <v>28</v>
      </c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" customHeight="1">
      <c r="A33" s="16">
        <v>31</v>
      </c>
      <c r="B33" s="17">
        <v>6310094124</v>
      </c>
      <c r="C33" s="17" t="s">
        <v>29</v>
      </c>
      <c r="D33" s="17" t="s">
        <v>117</v>
      </c>
      <c r="E33" s="17" t="s">
        <v>118</v>
      </c>
      <c r="F33" s="17" t="s">
        <v>38</v>
      </c>
      <c r="G33" s="17" t="s">
        <v>26</v>
      </c>
      <c r="H33" s="17" t="s">
        <v>116</v>
      </c>
      <c r="I33" s="17" t="s">
        <v>3708</v>
      </c>
      <c r="J33" s="16"/>
      <c r="K33" s="16" t="str">
        <f t="shared" si="0"/>
        <v>ไม่ผ่าน</v>
      </c>
      <c r="L33" s="16" t="s">
        <v>28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" customHeight="1">
      <c r="A34" s="16">
        <v>32</v>
      </c>
      <c r="B34" s="17">
        <v>6310094126</v>
      </c>
      <c r="C34" s="17" t="s">
        <v>29</v>
      </c>
      <c r="D34" s="17" t="s">
        <v>119</v>
      </c>
      <c r="E34" s="17" t="s">
        <v>120</v>
      </c>
      <c r="F34" s="17" t="s">
        <v>121</v>
      </c>
      <c r="G34" s="17" t="s">
        <v>26</v>
      </c>
      <c r="H34" s="17" t="s">
        <v>116</v>
      </c>
      <c r="I34" s="17" t="s">
        <v>3708</v>
      </c>
      <c r="J34" s="16"/>
      <c r="K34" s="16" t="str">
        <f t="shared" si="0"/>
        <v>ไม่ผ่าน</v>
      </c>
      <c r="L34" s="16" t="s">
        <v>28</v>
      </c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" customHeight="1">
      <c r="A35" s="16">
        <v>33</v>
      </c>
      <c r="B35" s="17">
        <v>6310094130</v>
      </c>
      <c r="C35" s="17" t="s">
        <v>29</v>
      </c>
      <c r="D35" s="17" t="s">
        <v>122</v>
      </c>
      <c r="E35" s="17" t="s">
        <v>123</v>
      </c>
      <c r="F35" s="17" t="s">
        <v>124</v>
      </c>
      <c r="G35" s="17" t="s">
        <v>26</v>
      </c>
      <c r="H35" s="17" t="s">
        <v>116</v>
      </c>
      <c r="I35" s="17" t="s">
        <v>3708</v>
      </c>
      <c r="J35" s="16"/>
      <c r="K35" s="16" t="str">
        <f t="shared" si="0"/>
        <v>ไม่ผ่าน</v>
      </c>
      <c r="L35" s="16" t="s">
        <v>28</v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" customHeight="1">
      <c r="A36" s="16">
        <v>34</v>
      </c>
      <c r="B36" s="17">
        <v>6310094134</v>
      </c>
      <c r="C36" s="17" t="s">
        <v>29</v>
      </c>
      <c r="D36" s="17" t="s">
        <v>125</v>
      </c>
      <c r="E36" s="17" t="s">
        <v>126</v>
      </c>
      <c r="F36" s="17" t="s">
        <v>127</v>
      </c>
      <c r="G36" s="17" t="s">
        <v>26</v>
      </c>
      <c r="H36" s="17" t="s">
        <v>116</v>
      </c>
      <c r="I36" s="17" t="s">
        <v>3708</v>
      </c>
      <c r="J36" s="16"/>
      <c r="K36" s="16" t="str">
        <f t="shared" si="0"/>
        <v>ไม่ผ่าน</v>
      </c>
      <c r="L36" s="16" t="s">
        <v>28</v>
      </c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" customHeight="1">
      <c r="A37" s="16">
        <v>35</v>
      </c>
      <c r="B37" s="17">
        <v>6310094136</v>
      </c>
      <c r="C37" s="17" t="s">
        <v>29</v>
      </c>
      <c r="D37" s="17" t="s">
        <v>128</v>
      </c>
      <c r="E37" s="17" t="s">
        <v>129</v>
      </c>
      <c r="F37" s="17" t="s">
        <v>130</v>
      </c>
      <c r="G37" s="17" t="s">
        <v>26</v>
      </c>
      <c r="H37" s="17" t="s">
        <v>116</v>
      </c>
      <c r="I37" s="17" t="s">
        <v>3708</v>
      </c>
      <c r="J37" s="16"/>
      <c r="K37" s="16" t="str">
        <f t="shared" si="0"/>
        <v>ไม่ผ่าน</v>
      </c>
      <c r="L37" s="16" t="s">
        <v>28</v>
      </c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" customHeight="1">
      <c r="A38" s="16">
        <v>36</v>
      </c>
      <c r="B38" s="17">
        <v>6610403109</v>
      </c>
      <c r="C38" s="17" t="s">
        <v>29</v>
      </c>
      <c r="D38" s="17" t="s">
        <v>131</v>
      </c>
      <c r="E38" s="17" t="s">
        <v>132</v>
      </c>
      <c r="F38" s="17" t="s">
        <v>133</v>
      </c>
      <c r="G38" s="17" t="s">
        <v>26</v>
      </c>
      <c r="H38" s="17" t="s">
        <v>134</v>
      </c>
      <c r="I38" s="17" t="s">
        <v>3709</v>
      </c>
      <c r="J38" s="16"/>
      <c r="K38" s="16" t="str">
        <f t="shared" si="0"/>
        <v>ไม่ผ่าน</v>
      </c>
      <c r="L38" s="16" t="s">
        <v>28</v>
      </c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" customHeight="1">
      <c r="A39" s="16">
        <v>37</v>
      </c>
      <c r="B39" s="17">
        <v>6610403116</v>
      </c>
      <c r="C39" s="17" t="s">
        <v>29</v>
      </c>
      <c r="D39" s="17" t="s">
        <v>135</v>
      </c>
      <c r="E39" s="17" t="s">
        <v>136</v>
      </c>
      <c r="F39" s="17" t="s">
        <v>137</v>
      </c>
      <c r="G39" s="17" t="s">
        <v>26</v>
      </c>
      <c r="H39" s="17" t="s">
        <v>134</v>
      </c>
      <c r="I39" s="17" t="s">
        <v>3709</v>
      </c>
      <c r="J39" s="16"/>
      <c r="K39" s="16" t="str">
        <f t="shared" si="0"/>
        <v>ไม่ผ่าน</v>
      </c>
      <c r="L39" s="16" t="s">
        <v>28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" customHeight="1">
      <c r="A40" s="16">
        <v>38</v>
      </c>
      <c r="B40" s="17">
        <v>6610403121</v>
      </c>
      <c r="C40" s="17" t="s">
        <v>29</v>
      </c>
      <c r="D40" s="17" t="s">
        <v>138</v>
      </c>
      <c r="E40" s="17" t="s">
        <v>139</v>
      </c>
      <c r="F40" s="17" t="s">
        <v>140</v>
      </c>
      <c r="G40" s="17" t="s">
        <v>26</v>
      </c>
      <c r="H40" s="17" t="s">
        <v>134</v>
      </c>
      <c r="I40" s="17" t="s">
        <v>3709</v>
      </c>
      <c r="J40" s="16"/>
      <c r="K40" s="16" t="str">
        <f t="shared" si="0"/>
        <v>ไม่ผ่าน</v>
      </c>
      <c r="L40" s="16" t="s">
        <v>28</v>
      </c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" customHeight="1">
      <c r="A41" s="16">
        <v>39</v>
      </c>
      <c r="B41" s="17">
        <v>6610403124</v>
      </c>
      <c r="C41" s="17" t="s">
        <v>29</v>
      </c>
      <c r="D41" s="17" t="s">
        <v>141</v>
      </c>
      <c r="E41" s="17" t="s">
        <v>142</v>
      </c>
      <c r="F41" s="17" t="s">
        <v>143</v>
      </c>
      <c r="G41" s="17" t="s">
        <v>26</v>
      </c>
      <c r="H41" s="17" t="s">
        <v>134</v>
      </c>
      <c r="I41" s="17" t="s">
        <v>3709</v>
      </c>
      <c r="J41" s="16"/>
      <c r="K41" s="16" t="str">
        <f t="shared" si="0"/>
        <v>ไม่ผ่าน</v>
      </c>
      <c r="L41" s="16" t="s">
        <v>28</v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" customHeight="1">
      <c r="A42" s="16">
        <v>40</v>
      </c>
      <c r="B42" s="17">
        <v>6610403305</v>
      </c>
      <c r="C42" s="17" t="s">
        <v>29</v>
      </c>
      <c r="D42" s="17" t="s">
        <v>144</v>
      </c>
      <c r="E42" s="17" t="s">
        <v>145</v>
      </c>
      <c r="F42" s="17" t="s">
        <v>146</v>
      </c>
      <c r="G42" s="17" t="s">
        <v>26</v>
      </c>
      <c r="H42" s="17" t="s">
        <v>134</v>
      </c>
      <c r="I42" s="17" t="s">
        <v>3709</v>
      </c>
      <c r="J42" s="16"/>
      <c r="K42" s="16" t="str">
        <f t="shared" si="0"/>
        <v>ไม่ผ่าน</v>
      </c>
      <c r="L42" s="16" t="s">
        <v>28</v>
      </c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" customHeight="1">
      <c r="A43" s="16">
        <v>41</v>
      </c>
      <c r="B43" s="17">
        <v>6610403309</v>
      </c>
      <c r="C43" s="17" t="s">
        <v>29</v>
      </c>
      <c r="D43" s="17" t="s">
        <v>147</v>
      </c>
      <c r="E43" s="17" t="s">
        <v>148</v>
      </c>
      <c r="F43" s="17" t="s">
        <v>124</v>
      </c>
      <c r="G43" s="17" t="s">
        <v>26</v>
      </c>
      <c r="H43" s="17" t="s">
        <v>134</v>
      </c>
      <c r="I43" s="17" t="s">
        <v>3709</v>
      </c>
      <c r="J43" s="16"/>
      <c r="K43" s="16" t="str">
        <f t="shared" si="0"/>
        <v>ไม่ผ่าน</v>
      </c>
      <c r="L43" s="16" t="s">
        <v>28</v>
      </c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" customHeight="1">
      <c r="A44" s="16">
        <v>42</v>
      </c>
      <c r="B44" s="17">
        <v>6610403326</v>
      </c>
      <c r="C44" s="17" t="s">
        <v>29</v>
      </c>
      <c r="D44" s="17" t="s">
        <v>149</v>
      </c>
      <c r="E44" s="17" t="s">
        <v>150</v>
      </c>
      <c r="F44" s="17" t="s">
        <v>151</v>
      </c>
      <c r="G44" s="17" t="s">
        <v>26</v>
      </c>
      <c r="H44" s="17" t="s">
        <v>134</v>
      </c>
      <c r="I44" s="17" t="s">
        <v>3709</v>
      </c>
      <c r="J44" s="16"/>
      <c r="K44" s="16" t="str">
        <f t="shared" si="0"/>
        <v>ไม่ผ่าน</v>
      </c>
      <c r="L44" s="16" t="s">
        <v>28</v>
      </c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" customHeight="1">
      <c r="A45" s="16">
        <v>43</v>
      </c>
      <c r="B45" s="17">
        <v>6510403107</v>
      </c>
      <c r="C45" s="17" t="s">
        <v>29</v>
      </c>
      <c r="D45" s="17" t="s">
        <v>152</v>
      </c>
      <c r="E45" s="17" t="s">
        <v>153</v>
      </c>
      <c r="F45" s="17" t="s">
        <v>154</v>
      </c>
      <c r="G45" s="17" t="s">
        <v>26</v>
      </c>
      <c r="H45" s="17" t="s">
        <v>134</v>
      </c>
      <c r="I45" s="17" t="s">
        <v>3710</v>
      </c>
      <c r="J45" s="16"/>
      <c r="K45" s="16" t="str">
        <f t="shared" si="0"/>
        <v>ไม่ผ่าน</v>
      </c>
      <c r="L45" s="16" t="s">
        <v>28</v>
      </c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" customHeight="1">
      <c r="A46" s="16">
        <v>44</v>
      </c>
      <c r="B46" s="17">
        <v>6510403121</v>
      </c>
      <c r="C46" s="17" t="s">
        <v>29</v>
      </c>
      <c r="D46" s="17" t="s">
        <v>155</v>
      </c>
      <c r="E46" s="17" t="s">
        <v>156</v>
      </c>
      <c r="F46" s="17" t="s">
        <v>157</v>
      </c>
      <c r="G46" s="17" t="s">
        <v>26</v>
      </c>
      <c r="H46" s="17" t="s">
        <v>134</v>
      </c>
      <c r="I46" s="17" t="s">
        <v>3710</v>
      </c>
      <c r="J46" s="16"/>
      <c r="K46" s="16" t="str">
        <f t="shared" si="0"/>
        <v>ไม่ผ่าน</v>
      </c>
      <c r="L46" s="16" t="s">
        <v>28</v>
      </c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" customHeight="1">
      <c r="A47" s="16">
        <v>45</v>
      </c>
      <c r="B47" s="17">
        <v>6510403126</v>
      </c>
      <c r="C47" s="17" t="s">
        <v>29</v>
      </c>
      <c r="D47" s="17" t="s">
        <v>79</v>
      </c>
      <c r="E47" s="17" t="s">
        <v>158</v>
      </c>
      <c r="F47" s="17" t="s">
        <v>143</v>
      </c>
      <c r="G47" s="17" t="s">
        <v>26</v>
      </c>
      <c r="H47" s="17" t="s">
        <v>134</v>
      </c>
      <c r="I47" s="17" t="s">
        <v>3710</v>
      </c>
      <c r="J47" s="16"/>
      <c r="K47" s="16" t="str">
        <f t="shared" si="0"/>
        <v>ไม่ผ่าน</v>
      </c>
      <c r="L47" s="16" t="s">
        <v>28</v>
      </c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" customHeight="1">
      <c r="A48" s="16">
        <v>46</v>
      </c>
      <c r="B48" s="17">
        <v>6510403130</v>
      </c>
      <c r="C48" s="17" t="s">
        <v>29</v>
      </c>
      <c r="D48" s="17" t="s">
        <v>159</v>
      </c>
      <c r="E48" s="17" t="s">
        <v>160</v>
      </c>
      <c r="F48" s="17" t="s">
        <v>161</v>
      </c>
      <c r="G48" s="17" t="s">
        <v>26</v>
      </c>
      <c r="H48" s="17" t="s">
        <v>134</v>
      </c>
      <c r="I48" s="17" t="s">
        <v>3710</v>
      </c>
      <c r="J48" s="16"/>
      <c r="K48" s="16" t="str">
        <f t="shared" si="0"/>
        <v>ไม่ผ่าน</v>
      </c>
      <c r="L48" s="16" t="s">
        <v>28</v>
      </c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" customHeight="1">
      <c r="A49" s="16">
        <v>47</v>
      </c>
      <c r="B49" s="17">
        <v>6510403131</v>
      </c>
      <c r="C49" s="17" t="s">
        <v>29</v>
      </c>
      <c r="D49" s="17" t="s">
        <v>162</v>
      </c>
      <c r="E49" s="17" t="s">
        <v>163</v>
      </c>
      <c r="F49" s="17" t="s">
        <v>164</v>
      </c>
      <c r="G49" s="17" t="s">
        <v>26</v>
      </c>
      <c r="H49" s="17" t="s">
        <v>134</v>
      </c>
      <c r="I49" s="17" t="s">
        <v>3710</v>
      </c>
      <c r="J49" s="16"/>
      <c r="K49" s="16" t="str">
        <f t="shared" si="0"/>
        <v>ไม่ผ่าน</v>
      </c>
      <c r="L49" s="16" t="s">
        <v>28</v>
      </c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" customHeight="1">
      <c r="A50" s="16">
        <v>48</v>
      </c>
      <c r="B50" s="17">
        <v>6510403207</v>
      </c>
      <c r="C50" s="17" t="s">
        <v>29</v>
      </c>
      <c r="D50" s="17" t="s">
        <v>165</v>
      </c>
      <c r="E50" s="17" t="s">
        <v>166</v>
      </c>
      <c r="F50" s="17" t="s">
        <v>167</v>
      </c>
      <c r="G50" s="17" t="s">
        <v>26</v>
      </c>
      <c r="H50" s="17" t="s">
        <v>134</v>
      </c>
      <c r="I50" s="17" t="s">
        <v>3710</v>
      </c>
      <c r="J50" s="16"/>
      <c r="K50" s="16" t="str">
        <f t="shared" si="0"/>
        <v>ไม่ผ่าน</v>
      </c>
      <c r="L50" s="16" t="s">
        <v>28</v>
      </c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" customHeight="1">
      <c r="A51" s="16">
        <v>49</v>
      </c>
      <c r="B51" s="17">
        <v>6510403208</v>
      </c>
      <c r="C51" s="17" t="s">
        <v>29</v>
      </c>
      <c r="D51" s="17" t="s">
        <v>168</v>
      </c>
      <c r="E51" s="17" t="s">
        <v>169</v>
      </c>
      <c r="F51" s="17" t="s">
        <v>170</v>
      </c>
      <c r="G51" s="17" t="s">
        <v>26</v>
      </c>
      <c r="H51" s="17" t="s">
        <v>134</v>
      </c>
      <c r="I51" s="17" t="s">
        <v>3710</v>
      </c>
      <c r="J51" s="16"/>
      <c r="K51" s="16" t="str">
        <f t="shared" si="0"/>
        <v>ไม่ผ่าน</v>
      </c>
      <c r="L51" s="16" t="s">
        <v>28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" customHeight="1">
      <c r="A52" s="16">
        <v>50</v>
      </c>
      <c r="B52" s="17">
        <v>6510403209</v>
      </c>
      <c r="C52" s="17" t="s">
        <v>29</v>
      </c>
      <c r="D52" s="17" t="s">
        <v>171</v>
      </c>
      <c r="E52" s="17" t="s">
        <v>172</v>
      </c>
      <c r="F52" s="17" t="s">
        <v>173</v>
      </c>
      <c r="G52" s="17" t="s">
        <v>26</v>
      </c>
      <c r="H52" s="17" t="s">
        <v>134</v>
      </c>
      <c r="I52" s="17" t="s">
        <v>3710</v>
      </c>
      <c r="J52" s="16"/>
      <c r="K52" s="16" t="str">
        <f t="shared" si="0"/>
        <v>ไม่ผ่าน</v>
      </c>
      <c r="L52" s="16" t="s">
        <v>28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" customHeight="1">
      <c r="A53" s="16">
        <v>51</v>
      </c>
      <c r="B53" s="17">
        <v>6510403210</v>
      </c>
      <c r="C53" s="17" t="s">
        <v>29</v>
      </c>
      <c r="D53" s="17" t="s">
        <v>174</v>
      </c>
      <c r="E53" s="17" t="s">
        <v>175</v>
      </c>
      <c r="F53" s="17" t="s">
        <v>176</v>
      </c>
      <c r="G53" s="17" t="s">
        <v>26</v>
      </c>
      <c r="H53" s="17" t="s">
        <v>134</v>
      </c>
      <c r="I53" s="17" t="s">
        <v>3710</v>
      </c>
      <c r="J53" s="16"/>
      <c r="K53" s="16" t="str">
        <f t="shared" si="0"/>
        <v>ไม่ผ่าน</v>
      </c>
      <c r="L53" s="16" t="s">
        <v>28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" customHeight="1">
      <c r="A54" s="16">
        <v>52</v>
      </c>
      <c r="B54" s="17">
        <v>6510403215</v>
      </c>
      <c r="C54" s="17" t="s">
        <v>29</v>
      </c>
      <c r="D54" s="17" t="s">
        <v>177</v>
      </c>
      <c r="E54" s="17" t="s">
        <v>178</v>
      </c>
      <c r="F54" s="17" t="s">
        <v>179</v>
      </c>
      <c r="G54" s="17" t="s">
        <v>26</v>
      </c>
      <c r="H54" s="17" t="s">
        <v>134</v>
      </c>
      <c r="I54" s="17" t="s">
        <v>3710</v>
      </c>
      <c r="J54" s="16"/>
      <c r="K54" s="16" t="str">
        <f t="shared" si="0"/>
        <v>ไม่ผ่าน</v>
      </c>
      <c r="L54" s="16" t="s">
        <v>28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" customHeight="1">
      <c r="A55" s="16">
        <v>53</v>
      </c>
      <c r="B55" s="17">
        <v>6510403221</v>
      </c>
      <c r="C55" s="17" t="s">
        <v>29</v>
      </c>
      <c r="D55" s="17" t="s">
        <v>180</v>
      </c>
      <c r="E55" s="17" t="s">
        <v>181</v>
      </c>
      <c r="F55" s="17" t="s">
        <v>182</v>
      </c>
      <c r="G55" s="17" t="s">
        <v>26</v>
      </c>
      <c r="H55" s="17" t="s">
        <v>134</v>
      </c>
      <c r="I55" s="17" t="s">
        <v>3710</v>
      </c>
      <c r="J55" s="16"/>
      <c r="K55" s="16" t="str">
        <f t="shared" si="0"/>
        <v>ไม่ผ่าน</v>
      </c>
      <c r="L55" s="16" t="s">
        <v>28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" customHeight="1">
      <c r="A56" s="16">
        <v>54</v>
      </c>
      <c r="B56" s="17">
        <v>6510403222</v>
      </c>
      <c r="C56" s="17" t="s">
        <v>29</v>
      </c>
      <c r="D56" s="17" t="s">
        <v>183</v>
      </c>
      <c r="E56" s="17" t="s">
        <v>184</v>
      </c>
      <c r="F56" s="17" t="s">
        <v>185</v>
      </c>
      <c r="G56" s="17" t="s">
        <v>26</v>
      </c>
      <c r="H56" s="17" t="s">
        <v>134</v>
      </c>
      <c r="I56" s="17" t="s">
        <v>3710</v>
      </c>
      <c r="J56" s="16"/>
      <c r="K56" s="16" t="str">
        <f t="shared" si="0"/>
        <v>ไม่ผ่าน</v>
      </c>
      <c r="L56" s="16" t="s">
        <v>28</v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" customHeight="1">
      <c r="A57" s="16">
        <v>55</v>
      </c>
      <c r="B57" s="17">
        <v>6510403226</v>
      </c>
      <c r="C57" s="17" t="s">
        <v>29</v>
      </c>
      <c r="D57" s="17" t="s">
        <v>186</v>
      </c>
      <c r="E57" s="17" t="s">
        <v>187</v>
      </c>
      <c r="F57" s="17" t="s">
        <v>115</v>
      </c>
      <c r="G57" s="17" t="s">
        <v>26</v>
      </c>
      <c r="H57" s="17" t="s">
        <v>134</v>
      </c>
      <c r="I57" s="17" t="s">
        <v>3710</v>
      </c>
      <c r="J57" s="16"/>
      <c r="K57" s="16" t="str">
        <f t="shared" si="0"/>
        <v>ไม่ผ่าน</v>
      </c>
      <c r="L57" s="16" t="s">
        <v>28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" customHeight="1">
      <c r="A58" s="16">
        <v>56</v>
      </c>
      <c r="B58" s="17">
        <v>6510403230</v>
      </c>
      <c r="C58" s="17" t="s">
        <v>29</v>
      </c>
      <c r="D58" s="17" t="s">
        <v>188</v>
      </c>
      <c r="E58" s="17" t="s">
        <v>189</v>
      </c>
      <c r="F58" s="17" t="s">
        <v>190</v>
      </c>
      <c r="G58" s="17" t="s">
        <v>26</v>
      </c>
      <c r="H58" s="17" t="s">
        <v>134</v>
      </c>
      <c r="I58" s="17" t="s">
        <v>3710</v>
      </c>
      <c r="J58" s="16"/>
      <c r="K58" s="16" t="str">
        <f t="shared" si="0"/>
        <v>ไม่ผ่าน</v>
      </c>
      <c r="L58" s="16" t="s">
        <v>28</v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" customHeight="1">
      <c r="A59" s="16">
        <v>57</v>
      </c>
      <c r="B59" s="17">
        <v>6410403105</v>
      </c>
      <c r="C59" s="17" t="s">
        <v>29</v>
      </c>
      <c r="D59" s="17" t="s">
        <v>191</v>
      </c>
      <c r="E59" s="17" t="s">
        <v>192</v>
      </c>
      <c r="F59" s="17" t="s">
        <v>193</v>
      </c>
      <c r="G59" s="17" t="s">
        <v>26</v>
      </c>
      <c r="H59" s="17" t="s">
        <v>134</v>
      </c>
      <c r="I59" s="17" t="s">
        <v>3707</v>
      </c>
      <c r="J59" s="16"/>
      <c r="K59" s="16" t="str">
        <f t="shared" si="0"/>
        <v>ไม่ผ่าน</v>
      </c>
      <c r="L59" s="16" t="s">
        <v>28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" customHeight="1">
      <c r="A60" s="16">
        <v>58</v>
      </c>
      <c r="B60" s="17">
        <v>6410403113</v>
      </c>
      <c r="C60" s="17" t="s">
        <v>29</v>
      </c>
      <c r="D60" s="17" t="s">
        <v>194</v>
      </c>
      <c r="E60" s="17" t="s">
        <v>195</v>
      </c>
      <c r="F60" s="17" t="s">
        <v>196</v>
      </c>
      <c r="G60" s="17" t="s">
        <v>26</v>
      </c>
      <c r="H60" s="17" t="s">
        <v>134</v>
      </c>
      <c r="I60" s="17" t="s">
        <v>3707</v>
      </c>
      <c r="J60" s="16"/>
      <c r="K60" s="16" t="str">
        <f t="shared" si="0"/>
        <v>ไม่ผ่าน</v>
      </c>
      <c r="L60" s="16" t="s">
        <v>28</v>
      </c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" customHeight="1">
      <c r="A61" s="16">
        <v>59</v>
      </c>
      <c r="B61" s="17">
        <v>6410403204</v>
      </c>
      <c r="C61" s="17" t="s">
        <v>29</v>
      </c>
      <c r="D61" s="17" t="s">
        <v>197</v>
      </c>
      <c r="E61" s="17" t="s">
        <v>198</v>
      </c>
      <c r="F61" s="17" t="s">
        <v>199</v>
      </c>
      <c r="G61" s="17" t="s">
        <v>26</v>
      </c>
      <c r="H61" s="17" t="s">
        <v>134</v>
      </c>
      <c r="I61" s="17" t="s">
        <v>3707</v>
      </c>
      <c r="J61" s="16"/>
      <c r="K61" s="16" t="str">
        <f t="shared" si="0"/>
        <v>ไม่ผ่าน</v>
      </c>
      <c r="L61" s="16" t="s">
        <v>28</v>
      </c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" customHeight="1">
      <c r="A62" s="16">
        <v>60</v>
      </c>
      <c r="B62" s="17">
        <v>6410403206</v>
      </c>
      <c r="C62" s="17" t="s">
        <v>29</v>
      </c>
      <c r="D62" s="17" t="s">
        <v>200</v>
      </c>
      <c r="E62" s="17" t="s">
        <v>201</v>
      </c>
      <c r="F62" s="17" t="s">
        <v>78</v>
      </c>
      <c r="G62" s="17" t="s">
        <v>26</v>
      </c>
      <c r="H62" s="17" t="s">
        <v>134</v>
      </c>
      <c r="I62" s="17" t="s">
        <v>3707</v>
      </c>
      <c r="J62" s="16"/>
      <c r="K62" s="16" t="str">
        <f t="shared" si="0"/>
        <v>ไม่ผ่าน</v>
      </c>
      <c r="L62" s="16" t="s">
        <v>28</v>
      </c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" customHeight="1">
      <c r="A63" s="16">
        <v>61</v>
      </c>
      <c r="B63" s="17">
        <v>6410403213</v>
      </c>
      <c r="C63" s="17" t="s">
        <v>29</v>
      </c>
      <c r="D63" s="17" t="s">
        <v>202</v>
      </c>
      <c r="E63" s="17" t="s">
        <v>203</v>
      </c>
      <c r="F63" s="17" t="s">
        <v>204</v>
      </c>
      <c r="G63" s="17" t="s">
        <v>26</v>
      </c>
      <c r="H63" s="17" t="s">
        <v>134</v>
      </c>
      <c r="I63" s="17" t="s">
        <v>3707</v>
      </c>
      <c r="J63" s="16"/>
      <c r="K63" s="16" t="str">
        <f t="shared" si="0"/>
        <v>ไม่ผ่าน</v>
      </c>
      <c r="L63" s="16" t="s">
        <v>28</v>
      </c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" customHeight="1">
      <c r="A64" s="16">
        <v>62</v>
      </c>
      <c r="B64" s="17">
        <v>6410403222</v>
      </c>
      <c r="C64" s="17" t="s">
        <v>29</v>
      </c>
      <c r="D64" s="17" t="s">
        <v>205</v>
      </c>
      <c r="E64" s="17" t="s">
        <v>206</v>
      </c>
      <c r="F64" s="17" t="s">
        <v>207</v>
      </c>
      <c r="G64" s="17" t="s">
        <v>26</v>
      </c>
      <c r="H64" s="17" t="s">
        <v>134</v>
      </c>
      <c r="I64" s="17" t="s">
        <v>3707</v>
      </c>
      <c r="J64" s="16"/>
      <c r="K64" s="16" t="str">
        <f t="shared" si="0"/>
        <v>ไม่ผ่าน</v>
      </c>
      <c r="L64" s="16" t="s">
        <v>28</v>
      </c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" customHeight="1">
      <c r="A65" s="16">
        <v>63</v>
      </c>
      <c r="B65" s="17">
        <v>6410403224</v>
      </c>
      <c r="C65" s="17" t="s">
        <v>29</v>
      </c>
      <c r="D65" s="17" t="s">
        <v>208</v>
      </c>
      <c r="E65" s="17" t="s">
        <v>209</v>
      </c>
      <c r="F65" s="17" t="s">
        <v>210</v>
      </c>
      <c r="G65" s="17" t="s">
        <v>26</v>
      </c>
      <c r="H65" s="17" t="s">
        <v>134</v>
      </c>
      <c r="I65" s="17" t="s">
        <v>3707</v>
      </c>
      <c r="J65" s="16"/>
      <c r="K65" s="16" t="str">
        <f t="shared" si="0"/>
        <v>ไม่ผ่าน</v>
      </c>
      <c r="L65" s="16" t="s">
        <v>28</v>
      </c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" customHeight="1">
      <c r="A66" s="16">
        <v>64</v>
      </c>
      <c r="B66" s="17">
        <v>6410403225</v>
      </c>
      <c r="C66" s="17" t="s">
        <v>29</v>
      </c>
      <c r="D66" s="17" t="s">
        <v>211</v>
      </c>
      <c r="E66" s="17" t="s">
        <v>212</v>
      </c>
      <c r="F66" s="17" t="s">
        <v>213</v>
      </c>
      <c r="G66" s="17" t="s">
        <v>26</v>
      </c>
      <c r="H66" s="17" t="s">
        <v>134</v>
      </c>
      <c r="I66" s="17" t="s">
        <v>3707</v>
      </c>
      <c r="J66" s="16"/>
      <c r="K66" s="16" t="str">
        <f t="shared" si="0"/>
        <v>ไม่ผ่าน</v>
      </c>
      <c r="L66" s="16" t="s">
        <v>28</v>
      </c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" customHeight="1">
      <c r="A67" s="16">
        <v>65</v>
      </c>
      <c r="B67" s="17">
        <v>6410403228</v>
      </c>
      <c r="C67" s="17" t="s">
        <v>29</v>
      </c>
      <c r="D67" s="17" t="s">
        <v>214</v>
      </c>
      <c r="E67" s="17" t="s">
        <v>215</v>
      </c>
      <c r="F67" s="17" t="s">
        <v>216</v>
      </c>
      <c r="G67" s="17" t="s">
        <v>26</v>
      </c>
      <c r="H67" s="17" t="s">
        <v>134</v>
      </c>
      <c r="I67" s="17" t="s">
        <v>3707</v>
      </c>
      <c r="J67" s="16"/>
      <c r="K67" s="16" t="str">
        <f t="shared" si="0"/>
        <v>ไม่ผ่าน</v>
      </c>
      <c r="L67" s="16" t="s">
        <v>28</v>
      </c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" customHeight="1">
      <c r="A68" s="16">
        <v>66</v>
      </c>
      <c r="B68" s="17">
        <v>6410403230</v>
      </c>
      <c r="C68" s="17" t="s">
        <v>29</v>
      </c>
      <c r="D68" s="17" t="s">
        <v>217</v>
      </c>
      <c r="E68" s="17" t="s">
        <v>218</v>
      </c>
      <c r="F68" s="17" t="s">
        <v>219</v>
      </c>
      <c r="G68" s="17" t="s">
        <v>26</v>
      </c>
      <c r="H68" s="17" t="s">
        <v>134</v>
      </c>
      <c r="I68" s="17" t="s">
        <v>3707</v>
      </c>
      <c r="J68" s="16"/>
      <c r="K68" s="16" t="str">
        <f t="shared" si="0"/>
        <v>ไม่ผ่าน</v>
      </c>
      <c r="L68" s="16" t="s">
        <v>28</v>
      </c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" customHeight="1">
      <c r="A69" s="16">
        <v>67</v>
      </c>
      <c r="B69" s="17">
        <v>6410403232</v>
      </c>
      <c r="C69" s="17" t="s">
        <v>29</v>
      </c>
      <c r="D69" s="17" t="s">
        <v>220</v>
      </c>
      <c r="E69" s="17" t="s">
        <v>221</v>
      </c>
      <c r="F69" s="17" t="s">
        <v>222</v>
      </c>
      <c r="G69" s="17" t="s">
        <v>26</v>
      </c>
      <c r="H69" s="17" t="s">
        <v>134</v>
      </c>
      <c r="I69" s="17" t="s">
        <v>3707</v>
      </c>
      <c r="J69" s="16"/>
      <c r="K69" s="16" t="str">
        <f t="shared" si="0"/>
        <v>ไม่ผ่าน</v>
      </c>
      <c r="L69" s="16" t="s">
        <v>28</v>
      </c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" customHeight="1">
      <c r="A70" s="16">
        <v>68</v>
      </c>
      <c r="B70" s="17">
        <v>6310403107</v>
      </c>
      <c r="C70" s="17" t="s">
        <v>29</v>
      </c>
      <c r="D70" s="17" t="s">
        <v>223</v>
      </c>
      <c r="E70" s="17" t="s">
        <v>224</v>
      </c>
      <c r="F70" s="17" t="s">
        <v>190</v>
      </c>
      <c r="G70" s="17" t="s">
        <v>26</v>
      </c>
      <c r="H70" s="17" t="s">
        <v>134</v>
      </c>
      <c r="I70" s="17" t="s">
        <v>3708</v>
      </c>
      <c r="J70" s="16"/>
      <c r="K70" s="16" t="str">
        <f t="shared" si="0"/>
        <v>ไม่ผ่าน</v>
      </c>
      <c r="L70" s="16" t="s">
        <v>28</v>
      </c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" customHeight="1">
      <c r="A71" s="16">
        <v>69</v>
      </c>
      <c r="B71" s="17">
        <v>6310403120</v>
      </c>
      <c r="C71" s="17" t="s">
        <v>29</v>
      </c>
      <c r="D71" s="17" t="s">
        <v>225</v>
      </c>
      <c r="E71" s="17" t="s">
        <v>226</v>
      </c>
      <c r="F71" s="17" t="s">
        <v>227</v>
      </c>
      <c r="G71" s="17" t="s">
        <v>26</v>
      </c>
      <c r="H71" s="17" t="s">
        <v>134</v>
      </c>
      <c r="I71" s="17" t="s">
        <v>3708</v>
      </c>
      <c r="J71" s="16"/>
      <c r="K71" s="16" t="str">
        <f t="shared" si="0"/>
        <v>ไม่ผ่าน</v>
      </c>
      <c r="L71" s="16" t="s">
        <v>28</v>
      </c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" customHeight="1">
      <c r="A72" s="16">
        <v>70</v>
      </c>
      <c r="B72" s="17">
        <v>6310403124</v>
      </c>
      <c r="C72" s="17" t="s">
        <v>29</v>
      </c>
      <c r="D72" s="17" t="s">
        <v>228</v>
      </c>
      <c r="E72" s="17" t="s">
        <v>229</v>
      </c>
      <c r="F72" s="17" t="s">
        <v>230</v>
      </c>
      <c r="G72" s="17" t="s">
        <v>26</v>
      </c>
      <c r="H72" s="17" t="s">
        <v>134</v>
      </c>
      <c r="I72" s="17" t="s">
        <v>3708</v>
      </c>
      <c r="J72" s="16"/>
      <c r="K72" s="16" t="str">
        <f t="shared" si="0"/>
        <v>ไม่ผ่าน</v>
      </c>
      <c r="L72" s="16" t="s">
        <v>28</v>
      </c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" customHeight="1">
      <c r="A73" s="16">
        <v>71</v>
      </c>
      <c r="B73" s="17">
        <v>6310403125</v>
      </c>
      <c r="C73" s="17" t="s">
        <v>29</v>
      </c>
      <c r="D73" s="17" t="s">
        <v>231</v>
      </c>
      <c r="E73" s="17" t="s">
        <v>232</v>
      </c>
      <c r="F73" s="17" t="s">
        <v>233</v>
      </c>
      <c r="G73" s="17" t="s">
        <v>26</v>
      </c>
      <c r="H73" s="17" t="s">
        <v>134</v>
      </c>
      <c r="I73" s="17" t="s">
        <v>3708</v>
      </c>
      <c r="J73" s="16"/>
      <c r="K73" s="16" t="str">
        <f t="shared" si="0"/>
        <v>ไม่ผ่าน</v>
      </c>
      <c r="L73" s="16" t="s">
        <v>28</v>
      </c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" customHeight="1">
      <c r="A74" s="16">
        <v>72</v>
      </c>
      <c r="B74" s="17">
        <v>6310403127</v>
      </c>
      <c r="C74" s="17" t="s">
        <v>29</v>
      </c>
      <c r="D74" s="17" t="s">
        <v>234</v>
      </c>
      <c r="E74" s="17" t="s">
        <v>235</v>
      </c>
      <c r="F74" s="17" t="s">
        <v>236</v>
      </c>
      <c r="G74" s="17" t="s">
        <v>26</v>
      </c>
      <c r="H74" s="17" t="s">
        <v>134</v>
      </c>
      <c r="I74" s="17" t="s">
        <v>3708</v>
      </c>
      <c r="J74" s="16"/>
      <c r="K74" s="16" t="str">
        <f t="shared" si="0"/>
        <v>ไม่ผ่าน</v>
      </c>
      <c r="L74" s="16" t="s">
        <v>28</v>
      </c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" customHeight="1">
      <c r="A75" s="16">
        <v>73</v>
      </c>
      <c r="B75" s="17">
        <v>6310403303</v>
      </c>
      <c r="C75" s="17" t="s">
        <v>29</v>
      </c>
      <c r="D75" s="17" t="s">
        <v>237</v>
      </c>
      <c r="E75" s="17" t="s">
        <v>238</v>
      </c>
      <c r="F75" s="17" t="s">
        <v>239</v>
      </c>
      <c r="G75" s="17" t="s">
        <v>26</v>
      </c>
      <c r="H75" s="17" t="s">
        <v>134</v>
      </c>
      <c r="I75" s="17" t="s">
        <v>3708</v>
      </c>
      <c r="J75" s="16"/>
      <c r="K75" s="16" t="str">
        <f t="shared" si="0"/>
        <v>ไม่ผ่าน</v>
      </c>
      <c r="L75" s="16" t="s">
        <v>28</v>
      </c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" customHeight="1">
      <c r="A76" s="16">
        <v>74</v>
      </c>
      <c r="B76" s="17">
        <v>6310403310</v>
      </c>
      <c r="C76" s="17" t="s">
        <v>29</v>
      </c>
      <c r="D76" s="17" t="s">
        <v>240</v>
      </c>
      <c r="E76" s="17" t="s">
        <v>241</v>
      </c>
      <c r="F76" s="17" t="s">
        <v>242</v>
      </c>
      <c r="G76" s="17" t="s">
        <v>26</v>
      </c>
      <c r="H76" s="17" t="s">
        <v>134</v>
      </c>
      <c r="I76" s="17" t="s">
        <v>3708</v>
      </c>
      <c r="J76" s="16"/>
      <c r="K76" s="16" t="str">
        <f t="shared" si="0"/>
        <v>ไม่ผ่าน</v>
      </c>
      <c r="L76" s="16" t="s">
        <v>28</v>
      </c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" customHeight="1">
      <c r="A77" s="16">
        <v>75</v>
      </c>
      <c r="B77" s="17">
        <v>6310403311</v>
      </c>
      <c r="C77" s="17" t="s">
        <v>29</v>
      </c>
      <c r="D77" s="17" t="s">
        <v>243</v>
      </c>
      <c r="E77" s="17" t="s">
        <v>244</v>
      </c>
      <c r="F77" s="17" t="s">
        <v>245</v>
      </c>
      <c r="G77" s="17" t="s">
        <v>26</v>
      </c>
      <c r="H77" s="17" t="s">
        <v>134</v>
      </c>
      <c r="I77" s="17" t="s">
        <v>3708</v>
      </c>
      <c r="J77" s="16"/>
      <c r="K77" s="16" t="str">
        <f t="shared" si="0"/>
        <v>ไม่ผ่าน</v>
      </c>
      <c r="L77" s="16" t="s">
        <v>28</v>
      </c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" customHeight="1">
      <c r="A78" s="16">
        <v>76</v>
      </c>
      <c r="B78" s="17">
        <v>6310403317</v>
      </c>
      <c r="C78" s="17" t="s">
        <v>29</v>
      </c>
      <c r="D78" s="17" t="s">
        <v>246</v>
      </c>
      <c r="E78" s="17" t="s">
        <v>247</v>
      </c>
      <c r="F78" s="17" t="s">
        <v>248</v>
      </c>
      <c r="G78" s="17" t="s">
        <v>26</v>
      </c>
      <c r="H78" s="17" t="s">
        <v>134</v>
      </c>
      <c r="I78" s="17" t="s">
        <v>3708</v>
      </c>
      <c r="J78" s="16"/>
      <c r="K78" s="16" t="str">
        <f t="shared" si="0"/>
        <v>ไม่ผ่าน</v>
      </c>
      <c r="L78" s="16" t="s">
        <v>28</v>
      </c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" customHeight="1">
      <c r="A79" s="16">
        <v>77</v>
      </c>
      <c r="B79" s="17">
        <v>6310403326</v>
      </c>
      <c r="C79" s="17" t="s">
        <v>29</v>
      </c>
      <c r="D79" s="17" t="s">
        <v>249</v>
      </c>
      <c r="E79" s="17" t="s">
        <v>250</v>
      </c>
      <c r="F79" s="17" t="s">
        <v>251</v>
      </c>
      <c r="G79" s="17" t="s">
        <v>26</v>
      </c>
      <c r="H79" s="17" t="s">
        <v>134</v>
      </c>
      <c r="I79" s="17" t="s">
        <v>3708</v>
      </c>
      <c r="J79" s="16"/>
      <c r="K79" s="16" t="str">
        <f t="shared" si="0"/>
        <v>ไม่ผ่าน</v>
      </c>
      <c r="L79" s="16" t="s">
        <v>28</v>
      </c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" customHeight="1">
      <c r="A80" s="16">
        <v>78</v>
      </c>
      <c r="B80" s="17">
        <v>6312325110</v>
      </c>
      <c r="C80" s="17" t="s">
        <v>29</v>
      </c>
      <c r="D80" s="17" t="s">
        <v>252</v>
      </c>
      <c r="E80" s="17" t="s">
        <v>253</v>
      </c>
      <c r="F80" s="17" t="s">
        <v>254</v>
      </c>
      <c r="G80" s="17" t="s">
        <v>26</v>
      </c>
      <c r="H80" s="17" t="s">
        <v>255</v>
      </c>
      <c r="I80" s="17" t="s">
        <v>3708</v>
      </c>
      <c r="J80" s="16"/>
      <c r="K80" s="16" t="str">
        <f t="shared" si="0"/>
        <v>ไม่ผ่าน</v>
      </c>
      <c r="L80" s="16" t="s">
        <v>28</v>
      </c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" customHeight="1">
      <c r="A81" s="16">
        <v>79</v>
      </c>
      <c r="B81" s="17">
        <v>6412325114</v>
      </c>
      <c r="C81" s="17" t="s">
        <v>29</v>
      </c>
      <c r="D81" s="17" t="s">
        <v>256</v>
      </c>
      <c r="E81" s="17" t="s">
        <v>257</v>
      </c>
      <c r="F81" s="17" t="s">
        <v>258</v>
      </c>
      <c r="G81" s="17" t="s">
        <v>26</v>
      </c>
      <c r="H81" s="17" t="s">
        <v>259</v>
      </c>
      <c r="I81" s="17" t="s">
        <v>3707</v>
      </c>
      <c r="J81" s="16"/>
      <c r="K81" s="16" t="str">
        <f t="shared" si="0"/>
        <v>ไม่ผ่าน</v>
      </c>
      <c r="L81" s="16" t="s">
        <v>28</v>
      </c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" customHeight="1">
      <c r="A82" s="16">
        <v>80</v>
      </c>
      <c r="B82" s="17">
        <v>6312325102</v>
      </c>
      <c r="C82" s="17" t="s">
        <v>22</v>
      </c>
      <c r="D82" s="17" t="s">
        <v>260</v>
      </c>
      <c r="E82" s="17" t="s">
        <v>261</v>
      </c>
      <c r="F82" s="17" t="s">
        <v>262</v>
      </c>
      <c r="G82" s="17" t="s">
        <v>26</v>
      </c>
      <c r="H82" s="17" t="s">
        <v>259</v>
      </c>
      <c r="I82" s="17" t="s">
        <v>3708</v>
      </c>
      <c r="J82" s="16"/>
      <c r="K82" s="16" t="str">
        <f t="shared" si="0"/>
        <v>ไม่ผ่าน</v>
      </c>
      <c r="L82" s="16" t="s">
        <v>28</v>
      </c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" customHeight="1">
      <c r="A83" s="16">
        <v>81</v>
      </c>
      <c r="B83" s="17">
        <v>6312325103</v>
      </c>
      <c r="C83" s="17" t="s">
        <v>22</v>
      </c>
      <c r="D83" s="17" t="s">
        <v>263</v>
      </c>
      <c r="E83" s="17" t="s">
        <v>264</v>
      </c>
      <c r="F83" s="17" t="s">
        <v>265</v>
      </c>
      <c r="G83" s="17" t="s">
        <v>26</v>
      </c>
      <c r="H83" s="17" t="s">
        <v>259</v>
      </c>
      <c r="I83" s="17" t="s">
        <v>3708</v>
      </c>
      <c r="J83" s="16"/>
      <c r="K83" s="16" t="str">
        <f t="shared" si="0"/>
        <v>ไม่ผ่าน</v>
      </c>
      <c r="L83" s="16" t="s">
        <v>28</v>
      </c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" customHeight="1">
      <c r="A84" s="16">
        <v>82</v>
      </c>
      <c r="B84" s="17">
        <v>6312325104</v>
      </c>
      <c r="C84" s="17" t="s">
        <v>22</v>
      </c>
      <c r="D84" s="17" t="s">
        <v>266</v>
      </c>
      <c r="E84" s="17" t="s">
        <v>267</v>
      </c>
      <c r="F84" s="17" t="s">
        <v>22</v>
      </c>
      <c r="G84" s="17" t="s">
        <v>26</v>
      </c>
      <c r="H84" s="17" t="s">
        <v>259</v>
      </c>
      <c r="I84" s="17" t="s">
        <v>3708</v>
      </c>
      <c r="J84" s="16"/>
      <c r="K84" s="16" t="str">
        <f t="shared" si="0"/>
        <v>ไม่ผ่าน</v>
      </c>
      <c r="L84" s="16" t="s">
        <v>28</v>
      </c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" customHeight="1">
      <c r="A85" s="16">
        <v>83</v>
      </c>
      <c r="B85" s="17">
        <v>6312325105</v>
      </c>
      <c r="C85" s="17" t="s">
        <v>22</v>
      </c>
      <c r="D85" s="17" t="s">
        <v>268</v>
      </c>
      <c r="E85" s="17" t="s">
        <v>269</v>
      </c>
      <c r="F85" s="17" t="s">
        <v>270</v>
      </c>
      <c r="G85" s="17" t="s">
        <v>26</v>
      </c>
      <c r="H85" s="17" t="s">
        <v>259</v>
      </c>
      <c r="I85" s="17" t="s">
        <v>3708</v>
      </c>
      <c r="J85" s="16"/>
      <c r="K85" s="16" t="str">
        <f t="shared" si="0"/>
        <v>ไม่ผ่าน</v>
      </c>
      <c r="L85" s="16" t="s">
        <v>28</v>
      </c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" customHeight="1">
      <c r="A86" s="16">
        <v>84</v>
      </c>
      <c r="B86" s="17">
        <v>6312325106</v>
      </c>
      <c r="C86" s="17" t="s">
        <v>29</v>
      </c>
      <c r="D86" s="17" t="s">
        <v>271</v>
      </c>
      <c r="E86" s="17" t="s">
        <v>272</v>
      </c>
      <c r="F86" s="17" t="s">
        <v>273</v>
      </c>
      <c r="G86" s="17" t="s">
        <v>26</v>
      </c>
      <c r="H86" s="17" t="s">
        <v>259</v>
      </c>
      <c r="I86" s="17" t="s">
        <v>3708</v>
      </c>
      <c r="J86" s="16"/>
      <c r="K86" s="16" t="str">
        <f t="shared" si="0"/>
        <v>ไม่ผ่าน</v>
      </c>
      <c r="L86" s="16" t="s">
        <v>28</v>
      </c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" customHeight="1">
      <c r="A87" s="16">
        <v>85</v>
      </c>
      <c r="B87" s="17">
        <v>6312325107</v>
      </c>
      <c r="C87" s="17" t="s">
        <v>29</v>
      </c>
      <c r="D87" s="17" t="s">
        <v>274</v>
      </c>
      <c r="E87" s="17" t="s">
        <v>275</v>
      </c>
      <c r="F87" s="17" t="s">
        <v>276</v>
      </c>
      <c r="G87" s="17" t="s">
        <v>26</v>
      </c>
      <c r="H87" s="17" t="s">
        <v>259</v>
      </c>
      <c r="I87" s="17" t="s">
        <v>3708</v>
      </c>
      <c r="J87" s="16"/>
      <c r="K87" s="16" t="str">
        <f t="shared" si="0"/>
        <v>ไม่ผ่าน</v>
      </c>
      <c r="L87" s="16" t="s">
        <v>28</v>
      </c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" customHeight="1">
      <c r="A88" s="16">
        <v>86</v>
      </c>
      <c r="B88" s="17">
        <v>6312325113</v>
      </c>
      <c r="C88" s="17" t="s">
        <v>29</v>
      </c>
      <c r="D88" s="17" t="s">
        <v>277</v>
      </c>
      <c r="E88" s="17" t="s">
        <v>278</v>
      </c>
      <c r="F88" s="17" t="s">
        <v>279</v>
      </c>
      <c r="G88" s="17" t="s">
        <v>26</v>
      </c>
      <c r="H88" s="17" t="s">
        <v>259</v>
      </c>
      <c r="I88" s="17" t="s">
        <v>3708</v>
      </c>
      <c r="J88" s="16"/>
      <c r="K88" s="16" t="str">
        <f t="shared" si="0"/>
        <v>ไม่ผ่าน</v>
      </c>
      <c r="L88" s="16" t="s">
        <v>28</v>
      </c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" customHeight="1">
      <c r="A89" s="16">
        <v>87</v>
      </c>
      <c r="B89" s="17">
        <v>6312325114</v>
      </c>
      <c r="C89" s="17" t="s">
        <v>22</v>
      </c>
      <c r="D89" s="17" t="s">
        <v>280</v>
      </c>
      <c r="E89" s="17" t="s">
        <v>281</v>
      </c>
      <c r="F89" s="17" t="s">
        <v>282</v>
      </c>
      <c r="G89" s="17" t="s">
        <v>26</v>
      </c>
      <c r="H89" s="17" t="s">
        <v>259</v>
      </c>
      <c r="I89" s="17" t="s">
        <v>3708</v>
      </c>
      <c r="J89" s="16"/>
      <c r="K89" s="16" t="str">
        <f t="shared" si="0"/>
        <v>ไม่ผ่าน</v>
      </c>
      <c r="L89" s="16" t="s">
        <v>28</v>
      </c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" customHeight="1">
      <c r="A90" s="16">
        <v>88</v>
      </c>
      <c r="B90" s="17">
        <v>6312325117</v>
      </c>
      <c r="C90" s="17" t="s">
        <v>22</v>
      </c>
      <c r="D90" s="17" t="s">
        <v>283</v>
      </c>
      <c r="E90" s="17" t="s">
        <v>284</v>
      </c>
      <c r="F90" s="17" t="s">
        <v>285</v>
      </c>
      <c r="G90" s="17" t="s">
        <v>26</v>
      </c>
      <c r="H90" s="17" t="s">
        <v>259</v>
      </c>
      <c r="I90" s="17" t="s">
        <v>3708</v>
      </c>
      <c r="J90" s="16"/>
      <c r="K90" s="16" t="str">
        <f t="shared" si="0"/>
        <v>ไม่ผ่าน</v>
      </c>
      <c r="L90" s="16" t="s">
        <v>28</v>
      </c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" customHeight="1">
      <c r="A91" s="14"/>
      <c r="B91" s="13"/>
      <c r="C91" s="13"/>
      <c r="D91" s="13"/>
      <c r="E91" s="13"/>
      <c r="F91" s="13"/>
      <c r="G91" s="13"/>
      <c r="H91" s="99" t="s">
        <v>1711</v>
      </c>
      <c r="I91" s="110"/>
      <c r="J91" s="16">
        <f>COUNT(A3:A90)</f>
        <v>88</v>
      </c>
      <c r="K91" s="18" t="s">
        <v>1712</v>
      </c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" customHeight="1">
      <c r="A92" s="14"/>
      <c r="B92" s="13"/>
      <c r="C92" s="13"/>
      <c r="D92" s="13"/>
      <c r="E92" s="13"/>
      <c r="F92" s="13"/>
      <c r="G92" s="13"/>
      <c r="H92" s="100" t="s">
        <v>1713</v>
      </c>
      <c r="I92" s="110"/>
      <c r="J92" s="16"/>
      <c r="K92" s="19" t="s">
        <v>1712</v>
      </c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" customHeight="1">
      <c r="A93" s="14"/>
      <c r="B93" s="13"/>
      <c r="C93" s="13"/>
      <c r="D93" s="13"/>
      <c r="E93" s="13"/>
      <c r="F93" s="13"/>
      <c r="G93" s="13"/>
      <c r="H93" s="101" t="s">
        <v>1714</v>
      </c>
      <c r="I93" s="110"/>
      <c r="J93" s="16"/>
      <c r="K93" s="20" t="s">
        <v>1712</v>
      </c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" customHeight="1">
      <c r="A94" s="14"/>
      <c r="B94" s="13"/>
      <c r="C94" s="13"/>
      <c r="D94" s="13"/>
      <c r="E94" s="13"/>
      <c r="F94" s="13"/>
      <c r="G94" s="13"/>
      <c r="H94" s="13"/>
      <c r="I94" s="13"/>
      <c r="J94" s="14"/>
      <c r="K94" s="14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" customHeight="1">
      <c r="A95" s="14"/>
      <c r="B95" s="13"/>
      <c r="C95" s="13"/>
      <c r="D95" s="13"/>
      <c r="E95" s="13"/>
      <c r="F95" s="13"/>
      <c r="G95" s="13"/>
      <c r="H95" s="13"/>
      <c r="I95" s="13"/>
      <c r="J95" s="14"/>
      <c r="K95" s="14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" customHeight="1">
      <c r="A96" s="14"/>
      <c r="B96" s="13"/>
      <c r="C96" s="13"/>
      <c r="D96" s="13"/>
      <c r="E96" s="13"/>
      <c r="F96" s="13"/>
      <c r="G96" s="13"/>
      <c r="H96" s="13"/>
      <c r="I96" s="13"/>
      <c r="J96" s="14"/>
      <c r="K96" s="14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" customHeight="1">
      <c r="A97" s="14"/>
      <c r="B97" s="13"/>
      <c r="C97" s="13"/>
      <c r="D97" s="13"/>
      <c r="E97" s="13"/>
      <c r="F97" s="13"/>
      <c r="G97" s="13"/>
      <c r="H97" s="13"/>
      <c r="I97" s="13"/>
      <c r="J97" s="14"/>
      <c r="K97" s="14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" customHeight="1">
      <c r="A98" s="14"/>
      <c r="B98" s="13"/>
      <c r="C98" s="13"/>
      <c r="D98" s="13"/>
      <c r="E98" s="13"/>
      <c r="F98" s="13"/>
      <c r="G98" s="13"/>
      <c r="H98" s="13"/>
      <c r="I98" s="13"/>
      <c r="J98" s="14"/>
      <c r="K98" s="14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" customHeight="1">
      <c r="A99" s="14"/>
      <c r="B99" s="13"/>
      <c r="C99" s="13"/>
      <c r="D99" s="13"/>
      <c r="E99" s="13"/>
      <c r="F99" s="13"/>
      <c r="G99" s="13"/>
      <c r="H99" s="13"/>
      <c r="I99" s="13"/>
      <c r="J99" s="14"/>
      <c r="K99" s="14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" customHeight="1">
      <c r="A100" s="14"/>
      <c r="B100" s="13"/>
      <c r="C100" s="13"/>
      <c r="D100" s="13"/>
      <c r="E100" s="13"/>
      <c r="F100" s="13"/>
      <c r="G100" s="13"/>
      <c r="H100" s="13"/>
      <c r="I100" s="13"/>
      <c r="J100" s="14"/>
      <c r="K100" s="14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" customHeight="1">
      <c r="A101" s="14"/>
      <c r="B101" s="13"/>
      <c r="C101" s="13"/>
      <c r="D101" s="13"/>
      <c r="E101" s="13"/>
      <c r="F101" s="13"/>
      <c r="G101" s="13"/>
      <c r="H101" s="13"/>
      <c r="I101" s="13"/>
      <c r="J101" s="14"/>
      <c r="K101" s="14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" customHeight="1">
      <c r="A102" s="14"/>
      <c r="B102" s="13"/>
      <c r="C102" s="13"/>
      <c r="D102" s="13"/>
      <c r="E102" s="13"/>
      <c r="F102" s="13"/>
      <c r="G102" s="13"/>
      <c r="H102" s="13"/>
      <c r="I102" s="13"/>
      <c r="J102" s="14"/>
      <c r="K102" s="14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" customHeight="1">
      <c r="A103" s="14"/>
      <c r="B103" s="13"/>
      <c r="C103" s="13"/>
      <c r="D103" s="13"/>
      <c r="E103" s="13"/>
      <c r="F103" s="13"/>
      <c r="G103" s="13"/>
      <c r="H103" s="13"/>
      <c r="I103" s="13"/>
      <c r="J103" s="14"/>
      <c r="K103" s="14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" customHeight="1">
      <c r="A104" s="14"/>
      <c r="B104" s="13"/>
      <c r="C104" s="13"/>
      <c r="D104" s="13"/>
      <c r="E104" s="13"/>
      <c r="F104" s="13"/>
      <c r="G104" s="13"/>
      <c r="H104" s="13"/>
      <c r="I104" s="13"/>
      <c r="J104" s="14"/>
      <c r="K104" s="14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" customHeight="1">
      <c r="A105" s="14"/>
      <c r="B105" s="13"/>
      <c r="C105" s="13"/>
      <c r="D105" s="13"/>
      <c r="E105" s="13"/>
      <c r="F105" s="13"/>
      <c r="G105" s="13"/>
      <c r="H105" s="13"/>
      <c r="I105" s="13"/>
      <c r="J105" s="14"/>
      <c r="K105" s="14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" customHeight="1">
      <c r="A106" s="14"/>
      <c r="B106" s="13"/>
      <c r="C106" s="13"/>
      <c r="D106" s="13"/>
      <c r="E106" s="13"/>
      <c r="F106" s="13"/>
      <c r="G106" s="13"/>
      <c r="H106" s="13"/>
      <c r="I106" s="13"/>
      <c r="J106" s="14"/>
      <c r="K106" s="14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" customHeight="1">
      <c r="A107" s="14"/>
      <c r="B107" s="13"/>
      <c r="C107" s="13"/>
      <c r="D107" s="13"/>
      <c r="E107" s="13"/>
      <c r="F107" s="13"/>
      <c r="G107" s="13"/>
      <c r="H107" s="13"/>
      <c r="I107" s="13"/>
      <c r="J107" s="14"/>
      <c r="K107" s="14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" customHeight="1">
      <c r="A108" s="14"/>
      <c r="B108" s="13"/>
      <c r="C108" s="13"/>
      <c r="D108" s="13"/>
      <c r="E108" s="13"/>
      <c r="F108" s="13"/>
      <c r="G108" s="13"/>
      <c r="H108" s="13"/>
      <c r="I108" s="13"/>
      <c r="J108" s="14"/>
      <c r="K108" s="14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" customHeight="1">
      <c r="A109" s="14"/>
      <c r="B109" s="13"/>
      <c r="C109" s="13"/>
      <c r="D109" s="13"/>
      <c r="E109" s="13"/>
      <c r="F109" s="13"/>
      <c r="G109" s="13"/>
      <c r="H109" s="13"/>
      <c r="I109" s="13"/>
      <c r="J109" s="14"/>
      <c r="K109" s="14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" customHeight="1">
      <c r="A110" s="14"/>
      <c r="B110" s="13"/>
      <c r="C110" s="13"/>
      <c r="D110" s="13"/>
      <c r="E110" s="13"/>
      <c r="F110" s="13"/>
      <c r="G110" s="13"/>
      <c r="H110" s="13"/>
      <c r="I110" s="13"/>
      <c r="J110" s="14"/>
      <c r="K110" s="14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" customHeight="1">
      <c r="A111" s="14"/>
      <c r="B111" s="13"/>
      <c r="C111" s="13"/>
      <c r="D111" s="13"/>
      <c r="E111" s="13"/>
      <c r="F111" s="13"/>
      <c r="G111" s="13"/>
      <c r="H111" s="13"/>
      <c r="I111" s="13"/>
      <c r="J111" s="14"/>
      <c r="K111" s="14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" customHeight="1">
      <c r="A112" s="14"/>
      <c r="B112" s="13"/>
      <c r="C112" s="13"/>
      <c r="D112" s="13"/>
      <c r="E112" s="13"/>
      <c r="F112" s="13"/>
      <c r="G112" s="13"/>
      <c r="H112" s="13"/>
      <c r="I112" s="13"/>
      <c r="J112" s="14"/>
      <c r="K112" s="14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" customHeight="1">
      <c r="A113" s="14"/>
      <c r="B113" s="13"/>
      <c r="C113" s="13"/>
      <c r="D113" s="13"/>
      <c r="E113" s="13"/>
      <c r="F113" s="13"/>
      <c r="G113" s="13"/>
      <c r="H113" s="13"/>
      <c r="I113" s="13"/>
      <c r="J113" s="14"/>
      <c r="K113" s="14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" customHeight="1">
      <c r="A114" s="14"/>
      <c r="B114" s="13"/>
      <c r="C114" s="13"/>
      <c r="D114" s="13"/>
      <c r="E114" s="13"/>
      <c r="F114" s="13"/>
      <c r="G114" s="13"/>
      <c r="H114" s="13"/>
      <c r="I114" s="13"/>
      <c r="J114" s="14"/>
      <c r="K114" s="14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" customHeight="1">
      <c r="A115" s="14"/>
      <c r="B115" s="13"/>
      <c r="C115" s="13"/>
      <c r="D115" s="13"/>
      <c r="E115" s="13"/>
      <c r="F115" s="13"/>
      <c r="G115" s="13"/>
      <c r="H115" s="13"/>
      <c r="I115" s="13"/>
      <c r="J115" s="14"/>
      <c r="K115" s="14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" customHeight="1">
      <c r="A116" s="14"/>
      <c r="B116" s="13"/>
      <c r="C116" s="13"/>
      <c r="D116" s="13"/>
      <c r="E116" s="13"/>
      <c r="F116" s="13"/>
      <c r="G116" s="13"/>
      <c r="H116" s="13"/>
      <c r="I116" s="13"/>
      <c r="J116" s="14"/>
      <c r="K116" s="14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" customHeight="1">
      <c r="A117" s="14"/>
      <c r="B117" s="13"/>
      <c r="C117" s="13"/>
      <c r="D117" s="13"/>
      <c r="E117" s="13"/>
      <c r="F117" s="13"/>
      <c r="G117" s="13"/>
      <c r="H117" s="13"/>
      <c r="I117" s="13"/>
      <c r="J117" s="14"/>
      <c r="K117" s="14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" customHeight="1">
      <c r="A118" s="14"/>
      <c r="B118" s="13"/>
      <c r="C118" s="13"/>
      <c r="D118" s="13"/>
      <c r="E118" s="13"/>
      <c r="F118" s="13"/>
      <c r="G118" s="13"/>
      <c r="H118" s="13"/>
      <c r="I118" s="13"/>
      <c r="J118" s="14"/>
      <c r="K118" s="14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" customHeight="1">
      <c r="A119" s="14"/>
      <c r="B119" s="13"/>
      <c r="C119" s="13"/>
      <c r="D119" s="13"/>
      <c r="E119" s="13"/>
      <c r="F119" s="13"/>
      <c r="G119" s="13"/>
      <c r="H119" s="13"/>
      <c r="I119" s="13"/>
      <c r="J119" s="14"/>
      <c r="K119" s="14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" customHeight="1">
      <c r="A120" s="14"/>
      <c r="B120" s="13"/>
      <c r="C120" s="13"/>
      <c r="D120" s="13"/>
      <c r="E120" s="13"/>
      <c r="F120" s="13"/>
      <c r="G120" s="13"/>
      <c r="H120" s="13"/>
      <c r="I120" s="13"/>
      <c r="J120" s="14"/>
      <c r="K120" s="14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" customHeight="1">
      <c r="A121" s="14"/>
      <c r="B121" s="13"/>
      <c r="C121" s="13"/>
      <c r="D121" s="13"/>
      <c r="E121" s="13"/>
      <c r="F121" s="13"/>
      <c r="G121" s="13"/>
      <c r="H121" s="13"/>
      <c r="I121" s="13"/>
      <c r="J121" s="14"/>
      <c r="K121" s="14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" customHeight="1">
      <c r="A122" s="14"/>
      <c r="B122" s="13"/>
      <c r="C122" s="13"/>
      <c r="D122" s="13"/>
      <c r="E122" s="13"/>
      <c r="F122" s="13"/>
      <c r="G122" s="13"/>
      <c r="H122" s="13"/>
      <c r="I122" s="13"/>
      <c r="J122" s="14"/>
      <c r="K122" s="14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" customHeight="1">
      <c r="A123" s="14"/>
      <c r="B123" s="13"/>
      <c r="C123" s="13"/>
      <c r="D123" s="13"/>
      <c r="E123" s="13"/>
      <c r="F123" s="13"/>
      <c r="G123" s="13"/>
      <c r="H123" s="13"/>
      <c r="I123" s="13"/>
      <c r="J123" s="14"/>
      <c r="K123" s="14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" customHeight="1">
      <c r="A124" s="14"/>
      <c r="B124" s="13"/>
      <c r="C124" s="13"/>
      <c r="D124" s="13"/>
      <c r="E124" s="13"/>
      <c r="F124" s="13"/>
      <c r="G124" s="13"/>
      <c r="H124" s="13"/>
      <c r="I124" s="13"/>
      <c r="J124" s="14"/>
      <c r="K124" s="14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" customHeight="1">
      <c r="A125" s="14"/>
      <c r="B125" s="13"/>
      <c r="C125" s="13"/>
      <c r="D125" s="13"/>
      <c r="E125" s="13"/>
      <c r="F125" s="13"/>
      <c r="G125" s="13"/>
      <c r="H125" s="13"/>
      <c r="I125" s="13"/>
      <c r="J125" s="14"/>
      <c r="K125" s="14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" customHeight="1">
      <c r="A126" s="14"/>
      <c r="B126" s="13"/>
      <c r="C126" s="13"/>
      <c r="D126" s="13"/>
      <c r="E126" s="13"/>
      <c r="F126" s="13"/>
      <c r="G126" s="13"/>
      <c r="H126" s="13"/>
      <c r="I126" s="13"/>
      <c r="J126" s="14"/>
      <c r="K126" s="14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" customHeight="1">
      <c r="A127" s="14"/>
      <c r="B127" s="13"/>
      <c r="C127" s="13"/>
      <c r="D127" s="13"/>
      <c r="E127" s="13"/>
      <c r="F127" s="13"/>
      <c r="G127" s="13"/>
      <c r="H127" s="13"/>
      <c r="I127" s="13"/>
      <c r="J127" s="14"/>
      <c r="K127" s="14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" customHeight="1">
      <c r="A128" s="14"/>
      <c r="B128" s="13"/>
      <c r="C128" s="13"/>
      <c r="D128" s="13"/>
      <c r="E128" s="13"/>
      <c r="F128" s="13"/>
      <c r="G128" s="13"/>
      <c r="H128" s="13"/>
      <c r="I128" s="13"/>
      <c r="J128" s="14"/>
      <c r="K128" s="14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" customHeight="1">
      <c r="A129" s="14"/>
      <c r="B129" s="13"/>
      <c r="C129" s="13"/>
      <c r="D129" s="13"/>
      <c r="E129" s="13"/>
      <c r="F129" s="13"/>
      <c r="G129" s="13"/>
      <c r="H129" s="13"/>
      <c r="I129" s="13"/>
      <c r="J129" s="14"/>
      <c r="K129" s="14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" customHeight="1">
      <c r="A130" s="14"/>
      <c r="B130" s="13"/>
      <c r="C130" s="13"/>
      <c r="D130" s="13"/>
      <c r="E130" s="13"/>
      <c r="F130" s="13"/>
      <c r="G130" s="13"/>
      <c r="H130" s="13"/>
      <c r="I130" s="13"/>
      <c r="J130" s="14"/>
      <c r="K130" s="14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" customHeight="1">
      <c r="A131" s="14"/>
      <c r="B131" s="13"/>
      <c r="C131" s="13"/>
      <c r="D131" s="13"/>
      <c r="E131" s="13"/>
      <c r="F131" s="13"/>
      <c r="G131" s="13"/>
      <c r="H131" s="13"/>
      <c r="I131" s="13"/>
      <c r="J131" s="14"/>
      <c r="K131" s="14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" customHeight="1">
      <c r="A132" s="14"/>
      <c r="B132" s="13"/>
      <c r="C132" s="13"/>
      <c r="D132" s="13"/>
      <c r="E132" s="13"/>
      <c r="F132" s="13"/>
      <c r="G132" s="13"/>
      <c r="H132" s="13"/>
      <c r="I132" s="13"/>
      <c r="J132" s="14"/>
      <c r="K132" s="14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" customHeight="1">
      <c r="A133" s="14"/>
      <c r="B133" s="13"/>
      <c r="C133" s="13"/>
      <c r="D133" s="13"/>
      <c r="E133" s="13"/>
      <c r="F133" s="13"/>
      <c r="G133" s="13"/>
      <c r="H133" s="13"/>
      <c r="I133" s="13"/>
      <c r="J133" s="14"/>
      <c r="K133" s="14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" customHeight="1">
      <c r="A134" s="14"/>
      <c r="B134" s="13"/>
      <c r="C134" s="13"/>
      <c r="D134" s="13"/>
      <c r="E134" s="13"/>
      <c r="F134" s="13"/>
      <c r="G134" s="13"/>
      <c r="H134" s="13"/>
      <c r="I134" s="13"/>
      <c r="J134" s="14"/>
      <c r="K134" s="14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" customHeight="1">
      <c r="A135" s="14"/>
      <c r="B135" s="13"/>
      <c r="C135" s="13"/>
      <c r="D135" s="13"/>
      <c r="E135" s="13"/>
      <c r="F135" s="13"/>
      <c r="G135" s="13"/>
      <c r="H135" s="13"/>
      <c r="I135" s="13"/>
      <c r="J135" s="14"/>
      <c r="K135" s="14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" customHeight="1">
      <c r="A136" s="14"/>
      <c r="B136" s="13"/>
      <c r="C136" s="13"/>
      <c r="D136" s="13"/>
      <c r="E136" s="13"/>
      <c r="F136" s="13"/>
      <c r="G136" s="13"/>
      <c r="H136" s="13"/>
      <c r="I136" s="13"/>
      <c r="J136" s="14"/>
      <c r="K136" s="14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" customHeight="1">
      <c r="A137" s="14"/>
      <c r="B137" s="13"/>
      <c r="C137" s="13"/>
      <c r="D137" s="13"/>
      <c r="E137" s="13"/>
      <c r="F137" s="13"/>
      <c r="G137" s="13"/>
      <c r="H137" s="13"/>
      <c r="I137" s="13"/>
      <c r="J137" s="14"/>
      <c r="K137" s="14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" customHeight="1">
      <c r="A138" s="14"/>
      <c r="B138" s="13"/>
      <c r="C138" s="13"/>
      <c r="D138" s="13"/>
      <c r="E138" s="13"/>
      <c r="F138" s="13"/>
      <c r="G138" s="13"/>
      <c r="H138" s="13"/>
      <c r="I138" s="13"/>
      <c r="J138" s="14"/>
      <c r="K138" s="14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" customHeight="1">
      <c r="A139" s="14"/>
      <c r="B139" s="13"/>
      <c r="C139" s="13"/>
      <c r="D139" s="13"/>
      <c r="E139" s="13"/>
      <c r="F139" s="13"/>
      <c r="G139" s="13"/>
      <c r="H139" s="13"/>
      <c r="I139" s="13"/>
      <c r="J139" s="14"/>
      <c r="K139" s="14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" customHeight="1">
      <c r="A140" s="14"/>
      <c r="B140" s="13"/>
      <c r="C140" s="13"/>
      <c r="D140" s="13"/>
      <c r="E140" s="13"/>
      <c r="F140" s="13"/>
      <c r="G140" s="13"/>
      <c r="H140" s="13"/>
      <c r="I140" s="13"/>
      <c r="J140" s="14"/>
      <c r="K140" s="14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" customHeight="1">
      <c r="A141" s="14"/>
      <c r="B141" s="13"/>
      <c r="C141" s="13"/>
      <c r="D141" s="13"/>
      <c r="E141" s="13"/>
      <c r="F141" s="13"/>
      <c r="G141" s="13"/>
      <c r="H141" s="13"/>
      <c r="I141" s="13"/>
      <c r="J141" s="14"/>
      <c r="K141" s="14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" customHeight="1">
      <c r="A142" s="14"/>
      <c r="B142" s="13"/>
      <c r="C142" s="13"/>
      <c r="D142" s="13"/>
      <c r="E142" s="13"/>
      <c r="F142" s="13"/>
      <c r="G142" s="13"/>
      <c r="H142" s="13"/>
      <c r="I142" s="13"/>
      <c r="J142" s="14"/>
      <c r="K142" s="14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" customHeight="1">
      <c r="A143" s="14"/>
      <c r="B143" s="13"/>
      <c r="C143" s="13"/>
      <c r="D143" s="13"/>
      <c r="E143" s="13"/>
      <c r="F143" s="13"/>
      <c r="G143" s="13"/>
      <c r="H143" s="13"/>
      <c r="I143" s="13"/>
      <c r="J143" s="14"/>
      <c r="K143" s="14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" customHeight="1">
      <c r="A144" s="14"/>
      <c r="B144" s="13"/>
      <c r="C144" s="13"/>
      <c r="D144" s="13"/>
      <c r="E144" s="13"/>
      <c r="F144" s="13"/>
      <c r="G144" s="13"/>
      <c r="H144" s="13"/>
      <c r="I144" s="13"/>
      <c r="J144" s="14"/>
      <c r="K144" s="14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" customHeight="1">
      <c r="A145" s="14"/>
      <c r="B145" s="13"/>
      <c r="C145" s="13"/>
      <c r="D145" s="13"/>
      <c r="E145" s="13"/>
      <c r="F145" s="13"/>
      <c r="G145" s="13"/>
      <c r="H145" s="13"/>
      <c r="I145" s="13"/>
      <c r="J145" s="14"/>
      <c r="K145" s="14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" customHeight="1">
      <c r="A146" s="14"/>
      <c r="B146" s="13"/>
      <c r="C146" s="13"/>
      <c r="D146" s="13"/>
      <c r="E146" s="13"/>
      <c r="F146" s="13"/>
      <c r="G146" s="13"/>
      <c r="H146" s="13"/>
      <c r="I146" s="13"/>
      <c r="J146" s="14"/>
      <c r="K146" s="14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" customHeight="1">
      <c r="A147" s="14"/>
      <c r="B147" s="13"/>
      <c r="C147" s="13"/>
      <c r="D147" s="13"/>
      <c r="E147" s="13"/>
      <c r="F147" s="13"/>
      <c r="G147" s="13"/>
      <c r="H147" s="13"/>
      <c r="I147" s="13"/>
      <c r="J147" s="14"/>
      <c r="K147" s="14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" customHeight="1">
      <c r="A148" s="14"/>
      <c r="B148" s="13"/>
      <c r="C148" s="13"/>
      <c r="D148" s="13"/>
      <c r="E148" s="13"/>
      <c r="F148" s="13"/>
      <c r="G148" s="13"/>
      <c r="H148" s="13"/>
      <c r="I148" s="13"/>
      <c r="J148" s="14"/>
      <c r="K148" s="14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" customHeight="1">
      <c r="A149" s="14"/>
      <c r="B149" s="13"/>
      <c r="C149" s="13"/>
      <c r="D149" s="13"/>
      <c r="E149" s="13"/>
      <c r="F149" s="13"/>
      <c r="G149" s="13"/>
      <c r="H149" s="13"/>
      <c r="I149" s="13"/>
      <c r="J149" s="14"/>
      <c r="K149" s="14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" customHeight="1">
      <c r="A150" s="14"/>
      <c r="B150" s="13"/>
      <c r="C150" s="13"/>
      <c r="D150" s="13"/>
      <c r="E150" s="13"/>
      <c r="F150" s="13"/>
      <c r="G150" s="13"/>
      <c r="H150" s="13"/>
      <c r="I150" s="13"/>
      <c r="J150" s="14"/>
      <c r="K150" s="14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" customHeight="1">
      <c r="A151" s="14"/>
      <c r="B151" s="13"/>
      <c r="C151" s="13"/>
      <c r="D151" s="13"/>
      <c r="E151" s="13"/>
      <c r="F151" s="13"/>
      <c r="G151" s="13"/>
      <c r="H151" s="13"/>
      <c r="I151" s="13"/>
      <c r="J151" s="14"/>
      <c r="K151" s="14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" customHeight="1">
      <c r="A152" s="14"/>
      <c r="B152" s="13"/>
      <c r="C152" s="13"/>
      <c r="D152" s="13"/>
      <c r="E152" s="13"/>
      <c r="F152" s="13"/>
      <c r="G152" s="13"/>
      <c r="H152" s="13"/>
      <c r="I152" s="13"/>
      <c r="J152" s="14"/>
      <c r="K152" s="14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" customHeight="1">
      <c r="A153" s="14"/>
      <c r="B153" s="13"/>
      <c r="C153" s="13"/>
      <c r="D153" s="13"/>
      <c r="E153" s="13"/>
      <c r="F153" s="13"/>
      <c r="G153" s="13"/>
      <c r="H153" s="13"/>
      <c r="I153" s="13"/>
      <c r="J153" s="14"/>
      <c r="K153" s="14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" customHeight="1">
      <c r="A154" s="14"/>
      <c r="B154" s="13"/>
      <c r="C154" s="13"/>
      <c r="D154" s="13"/>
      <c r="E154" s="13"/>
      <c r="F154" s="13"/>
      <c r="G154" s="13"/>
      <c r="H154" s="13"/>
      <c r="I154" s="13"/>
      <c r="J154" s="14"/>
      <c r="K154" s="14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" customHeight="1">
      <c r="A155" s="14"/>
      <c r="B155" s="13"/>
      <c r="C155" s="13"/>
      <c r="D155" s="13"/>
      <c r="E155" s="13"/>
      <c r="F155" s="13"/>
      <c r="G155" s="13"/>
      <c r="H155" s="13"/>
      <c r="I155" s="13"/>
      <c r="J155" s="14"/>
      <c r="K155" s="14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" customHeight="1">
      <c r="A156" s="14"/>
      <c r="B156" s="13"/>
      <c r="C156" s="13"/>
      <c r="D156" s="13"/>
      <c r="E156" s="13"/>
      <c r="F156" s="13"/>
      <c r="G156" s="13"/>
      <c r="H156" s="13"/>
      <c r="I156" s="13"/>
      <c r="J156" s="14"/>
      <c r="K156" s="14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" customHeight="1">
      <c r="A157" s="14"/>
      <c r="B157" s="13"/>
      <c r="C157" s="13"/>
      <c r="D157" s="13"/>
      <c r="E157" s="13"/>
      <c r="F157" s="13"/>
      <c r="G157" s="13"/>
      <c r="H157" s="13"/>
      <c r="I157" s="13"/>
      <c r="J157" s="14"/>
      <c r="K157" s="14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" customHeight="1">
      <c r="A158" s="14"/>
      <c r="B158" s="13"/>
      <c r="C158" s="13"/>
      <c r="D158" s="13"/>
      <c r="E158" s="13"/>
      <c r="F158" s="13"/>
      <c r="G158" s="13"/>
      <c r="H158" s="13"/>
      <c r="I158" s="13"/>
      <c r="J158" s="14"/>
      <c r="K158" s="14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" customHeight="1">
      <c r="A159" s="14"/>
      <c r="B159" s="13"/>
      <c r="C159" s="13"/>
      <c r="D159" s="13"/>
      <c r="E159" s="13"/>
      <c r="F159" s="13"/>
      <c r="G159" s="13"/>
      <c r="H159" s="13"/>
      <c r="I159" s="13"/>
      <c r="J159" s="14"/>
      <c r="K159" s="14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" customHeight="1">
      <c r="A160" s="14"/>
      <c r="B160" s="13"/>
      <c r="C160" s="13"/>
      <c r="D160" s="13"/>
      <c r="E160" s="13"/>
      <c r="F160" s="13"/>
      <c r="G160" s="13"/>
      <c r="H160" s="13"/>
      <c r="I160" s="13"/>
      <c r="J160" s="14"/>
      <c r="K160" s="14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" customHeight="1">
      <c r="A161" s="14"/>
      <c r="B161" s="13"/>
      <c r="C161" s="13"/>
      <c r="D161" s="13"/>
      <c r="E161" s="13"/>
      <c r="F161" s="13"/>
      <c r="G161" s="13"/>
      <c r="H161" s="13"/>
      <c r="I161" s="13"/>
      <c r="J161" s="14"/>
      <c r="K161" s="14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" customHeight="1">
      <c r="A162" s="14"/>
      <c r="B162" s="13"/>
      <c r="C162" s="13"/>
      <c r="D162" s="13"/>
      <c r="E162" s="13"/>
      <c r="F162" s="13"/>
      <c r="G162" s="13"/>
      <c r="H162" s="13"/>
      <c r="I162" s="13"/>
      <c r="J162" s="14"/>
      <c r="K162" s="14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" customHeight="1">
      <c r="A163" s="14"/>
      <c r="B163" s="13"/>
      <c r="C163" s="13"/>
      <c r="D163" s="13"/>
      <c r="E163" s="13"/>
      <c r="F163" s="13"/>
      <c r="G163" s="13"/>
      <c r="H163" s="13"/>
      <c r="I163" s="13"/>
      <c r="J163" s="14"/>
      <c r="K163" s="14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" customHeight="1">
      <c r="A164" s="14"/>
      <c r="B164" s="13"/>
      <c r="C164" s="13"/>
      <c r="D164" s="13"/>
      <c r="E164" s="13"/>
      <c r="F164" s="13"/>
      <c r="G164" s="13"/>
      <c r="H164" s="13"/>
      <c r="I164" s="13"/>
      <c r="J164" s="14"/>
      <c r="K164" s="14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" customHeight="1">
      <c r="A165" s="14"/>
      <c r="B165" s="13"/>
      <c r="C165" s="13"/>
      <c r="D165" s="13"/>
      <c r="E165" s="13"/>
      <c r="F165" s="13"/>
      <c r="G165" s="13"/>
      <c r="H165" s="13"/>
      <c r="I165" s="13"/>
      <c r="J165" s="14"/>
      <c r="K165" s="14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" customHeight="1">
      <c r="A166" s="14"/>
      <c r="B166" s="13"/>
      <c r="C166" s="13"/>
      <c r="D166" s="13"/>
      <c r="E166" s="13"/>
      <c r="F166" s="13"/>
      <c r="G166" s="13"/>
      <c r="H166" s="13"/>
      <c r="I166" s="13"/>
      <c r="J166" s="14"/>
      <c r="K166" s="14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" customHeight="1">
      <c r="A167" s="14"/>
      <c r="B167" s="13"/>
      <c r="C167" s="13"/>
      <c r="D167" s="13"/>
      <c r="E167" s="13"/>
      <c r="F167" s="13"/>
      <c r="G167" s="13"/>
      <c r="H167" s="13"/>
      <c r="I167" s="13"/>
      <c r="J167" s="14"/>
      <c r="K167" s="14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" customHeight="1">
      <c r="A168" s="14"/>
      <c r="B168" s="13"/>
      <c r="C168" s="13"/>
      <c r="D168" s="13"/>
      <c r="E168" s="13"/>
      <c r="F168" s="13"/>
      <c r="G168" s="13"/>
      <c r="H168" s="13"/>
      <c r="I168" s="13"/>
      <c r="J168" s="14"/>
      <c r="K168" s="14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" customHeight="1">
      <c r="A169" s="14"/>
      <c r="B169" s="13"/>
      <c r="C169" s="13"/>
      <c r="D169" s="13"/>
      <c r="E169" s="13"/>
      <c r="F169" s="13"/>
      <c r="G169" s="13"/>
      <c r="H169" s="13"/>
      <c r="I169" s="13"/>
      <c r="J169" s="14"/>
      <c r="K169" s="14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" customHeight="1">
      <c r="A170" s="14"/>
      <c r="B170" s="13"/>
      <c r="C170" s="13"/>
      <c r="D170" s="13"/>
      <c r="E170" s="13"/>
      <c r="F170" s="13"/>
      <c r="G170" s="13"/>
      <c r="H170" s="13"/>
      <c r="I170" s="13"/>
      <c r="J170" s="14"/>
      <c r="K170" s="14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" customHeight="1">
      <c r="A171" s="14"/>
      <c r="B171" s="13"/>
      <c r="C171" s="13"/>
      <c r="D171" s="13"/>
      <c r="E171" s="13"/>
      <c r="F171" s="13"/>
      <c r="G171" s="13"/>
      <c r="H171" s="13"/>
      <c r="I171" s="13"/>
      <c r="J171" s="14"/>
      <c r="K171" s="14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" customHeight="1">
      <c r="A172" s="14"/>
      <c r="B172" s="13"/>
      <c r="C172" s="13"/>
      <c r="D172" s="13"/>
      <c r="E172" s="13"/>
      <c r="F172" s="13"/>
      <c r="G172" s="13"/>
      <c r="H172" s="13"/>
      <c r="I172" s="13"/>
      <c r="J172" s="14"/>
      <c r="K172" s="14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" customHeight="1">
      <c r="A173" s="14"/>
      <c r="B173" s="13"/>
      <c r="C173" s="13"/>
      <c r="D173" s="13"/>
      <c r="E173" s="13"/>
      <c r="F173" s="13"/>
      <c r="G173" s="13"/>
      <c r="H173" s="13"/>
      <c r="I173" s="13"/>
      <c r="J173" s="14"/>
      <c r="K173" s="14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" customHeight="1">
      <c r="A174" s="14"/>
      <c r="B174" s="13"/>
      <c r="C174" s="13"/>
      <c r="D174" s="13"/>
      <c r="E174" s="13"/>
      <c r="F174" s="13"/>
      <c r="G174" s="13"/>
      <c r="H174" s="13"/>
      <c r="I174" s="13"/>
      <c r="J174" s="14"/>
      <c r="K174" s="14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" customHeight="1">
      <c r="A175" s="14"/>
      <c r="B175" s="13"/>
      <c r="C175" s="13"/>
      <c r="D175" s="13"/>
      <c r="E175" s="13"/>
      <c r="F175" s="13"/>
      <c r="G175" s="13"/>
      <c r="H175" s="13"/>
      <c r="I175" s="13"/>
      <c r="J175" s="14"/>
      <c r="K175" s="14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" customHeight="1">
      <c r="A176" s="14"/>
      <c r="B176" s="13"/>
      <c r="C176" s="13"/>
      <c r="D176" s="13"/>
      <c r="E176" s="13"/>
      <c r="F176" s="13"/>
      <c r="G176" s="13"/>
      <c r="H176" s="13"/>
      <c r="I176" s="13"/>
      <c r="J176" s="14"/>
      <c r="K176" s="14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" customHeight="1">
      <c r="A177" s="14"/>
      <c r="B177" s="13"/>
      <c r="C177" s="13"/>
      <c r="D177" s="13"/>
      <c r="E177" s="13"/>
      <c r="F177" s="13"/>
      <c r="G177" s="13"/>
      <c r="H177" s="13"/>
      <c r="I177" s="13"/>
      <c r="J177" s="14"/>
      <c r="K177" s="14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" customHeight="1">
      <c r="A178" s="14"/>
      <c r="B178" s="13"/>
      <c r="C178" s="13"/>
      <c r="D178" s="13"/>
      <c r="E178" s="13"/>
      <c r="F178" s="13"/>
      <c r="G178" s="13"/>
      <c r="H178" s="13"/>
      <c r="I178" s="13"/>
      <c r="J178" s="14"/>
      <c r="K178" s="14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" customHeight="1">
      <c r="A179" s="14"/>
      <c r="B179" s="13"/>
      <c r="C179" s="13"/>
      <c r="D179" s="13"/>
      <c r="E179" s="13"/>
      <c r="F179" s="13"/>
      <c r="G179" s="13"/>
      <c r="H179" s="13"/>
      <c r="I179" s="13"/>
      <c r="J179" s="14"/>
      <c r="K179" s="14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" customHeight="1">
      <c r="A180" s="14"/>
      <c r="B180" s="13"/>
      <c r="C180" s="13"/>
      <c r="D180" s="13"/>
      <c r="E180" s="13"/>
      <c r="F180" s="13"/>
      <c r="G180" s="13"/>
      <c r="H180" s="13"/>
      <c r="I180" s="13"/>
      <c r="J180" s="14"/>
      <c r="K180" s="14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" customHeight="1">
      <c r="A181" s="14"/>
      <c r="B181" s="13"/>
      <c r="C181" s="13"/>
      <c r="D181" s="13"/>
      <c r="E181" s="13"/>
      <c r="F181" s="13"/>
      <c r="G181" s="13"/>
      <c r="H181" s="13"/>
      <c r="I181" s="13"/>
      <c r="J181" s="14"/>
      <c r="K181" s="14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" customHeight="1">
      <c r="A182" s="14"/>
      <c r="B182" s="13"/>
      <c r="C182" s="13"/>
      <c r="D182" s="13"/>
      <c r="E182" s="13"/>
      <c r="F182" s="13"/>
      <c r="G182" s="13"/>
      <c r="H182" s="13"/>
      <c r="I182" s="13"/>
      <c r="J182" s="14"/>
      <c r="K182" s="14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" customHeight="1">
      <c r="A183" s="14"/>
      <c r="B183" s="13"/>
      <c r="C183" s="13"/>
      <c r="D183" s="13"/>
      <c r="E183" s="13"/>
      <c r="F183" s="13"/>
      <c r="G183" s="13"/>
      <c r="H183" s="13"/>
      <c r="I183" s="13"/>
      <c r="J183" s="14"/>
      <c r="K183" s="14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" customHeight="1">
      <c r="A184" s="14"/>
      <c r="B184" s="13"/>
      <c r="C184" s="13"/>
      <c r="D184" s="13"/>
      <c r="E184" s="13"/>
      <c r="F184" s="13"/>
      <c r="G184" s="13"/>
      <c r="H184" s="13"/>
      <c r="I184" s="13"/>
      <c r="J184" s="14"/>
      <c r="K184" s="14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" customHeight="1">
      <c r="A185" s="14"/>
      <c r="B185" s="13"/>
      <c r="C185" s="13"/>
      <c r="D185" s="13"/>
      <c r="E185" s="13"/>
      <c r="F185" s="13"/>
      <c r="G185" s="13"/>
      <c r="H185" s="13"/>
      <c r="I185" s="13"/>
      <c r="J185" s="14"/>
      <c r="K185" s="14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" customHeight="1">
      <c r="A186" s="14"/>
      <c r="B186" s="13"/>
      <c r="C186" s="13"/>
      <c r="D186" s="13"/>
      <c r="E186" s="13"/>
      <c r="F186" s="13"/>
      <c r="G186" s="13"/>
      <c r="H186" s="13"/>
      <c r="I186" s="13"/>
      <c r="J186" s="14"/>
      <c r="K186" s="14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" customHeight="1">
      <c r="A187" s="14"/>
      <c r="B187" s="13"/>
      <c r="C187" s="13"/>
      <c r="D187" s="13"/>
      <c r="E187" s="13"/>
      <c r="F187" s="13"/>
      <c r="G187" s="13"/>
      <c r="H187" s="13"/>
      <c r="I187" s="13"/>
      <c r="J187" s="14"/>
      <c r="K187" s="14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" customHeight="1">
      <c r="A188" s="14"/>
      <c r="B188" s="13"/>
      <c r="C188" s="13"/>
      <c r="D188" s="13"/>
      <c r="E188" s="13"/>
      <c r="F188" s="13"/>
      <c r="G188" s="13"/>
      <c r="H188" s="13"/>
      <c r="I188" s="13"/>
      <c r="J188" s="14"/>
      <c r="K188" s="14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" customHeight="1">
      <c r="A189" s="14"/>
      <c r="B189" s="13"/>
      <c r="C189" s="13"/>
      <c r="D189" s="13"/>
      <c r="E189" s="13"/>
      <c r="F189" s="13"/>
      <c r="G189" s="13"/>
      <c r="H189" s="13"/>
      <c r="I189" s="13"/>
      <c r="J189" s="14"/>
      <c r="K189" s="14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" customHeight="1">
      <c r="A190" s="14"/>
      <c r="B190" s="13"/>
      <c r="C190" s="13"/>
      <c r="D190" s="13"/>
      <c r="E190" s="13"/>
      <c r="F190" s="13"/>
      <c r="G190" s="13"/>
      <c r="H190" s="13"/>
      <c r="I190" s="13"/>
      <c r="J190" s="14"/>
      <c r="K190" s="14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" customHeight="1">
      <c r="A191" s="14"/>
      <c r="B191" s="13"/>
      <c r="C191" s="13"/>
      <c r="D191" s="13"/>
      <c r="E191" s="13"/>
      <c r="F191" s="13"/>
      <c r="G191" s="13"/>
      <c r="H191" s="13"/>
      <c r="I191" s="13"/>
      <c r="J191" s="14"/>
      <c r="K191" s="14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" customHeight="1">
      <c r="A192" s="14"/>
      <c r="B192" s="13"/>
      <c r="C192" s="13"/>
      <c r="D192" s="13"/>
      <c r="E192" s="13"/>
      <c r="F192" s="13"/>
      <c r="G192" s="13"/>
      <c r="H192" s="13"/>
      <c r="I192" s="13"/>
      <c r="J192" s="14"/>
      <c r="K192" s="14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" customHeight="1">
      <c r="A193" s="14"/>
      <c r="B193" s="13"/>
      <c r="C193" s="13"/>
      <c r="D193" s="13"/>
      <c r="E193" s="13"/>
      <c r="F193" s="13"/>
      <c r="G193" s="13"/>
      <c r="H193" s="13"/>
      <c r="I193" s="13"/>
      <c r="J193" s="14"/>
      <c r="K193" s="14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" customHeight="1">
      <c r="A194" s="14"/>
      <c r="B194" s="13"/>
      <c r="C194" s="13"/>
      <c r="D194" s="13"/>
      <c r="E194" s="13"/>
      <c r="F194" s="13"/>
      <c r="G194" s="13"/>
      <c r="H194" s="13"/>
      <c r="I194" s="13"/>
      <c r="J194" s="14"/>
      <c r="K194" s="14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" customHeight="1">
      <c r="A195" s="14"/>
      <c r="B195" s="13"/>
      <c r="C195" s="13"/>
      <c r="D195" s="13"/>
      <c r="E195" s="13"/>
      <c r="F195" s="13"/>
      <c r="G195" s="13"/>
      <c r="H195" s="13"/>
      <c r="I195" s="13"/>
      <c r="J195" s="14"/>
      <c r="K195" s="14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" customHeight="1">
      <c r="A196" s="14"/>
      <c r="B196" s="13"/>
      <c r="C196" s="13"/>
      <c r="D196" s="13"/>
      <c r="E196" s="13"/>
      <c r="F196" s="13"/>
      <c r="G196" s="13"/>
      <c r="H196" s="13"/>
      <c r="I196" s="13"/>
      <c r="J196" s="14"/>
      <c r="K196" s="14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" customHeight="1">
      <c r="A197" s="14"/>
      <c r="B197" s="13"/>
      <c r="C197" s="13"/>
      <c r="D197" s="13"/>
      <c r="E197" s="13"/>
      <c r="F197" s="13"/>
      <c r="G197" s="13"/>
      <c r="H197" s="13"/>
      <c r="I197" s="13"/>
      <c r="J197" s="14"/>
      <c r="K197" s="14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" customHeight="1">
      <c r="A198" s="14"/>
      <c r="B198" s="13"/>
      <c r="C198" s="13"/>
      <c r="D198" s="13"/>
      <c r="E198" s="13"/>
      <c r="F198" s="13"/>
      <c r="G198" s="13"/>
      <c r="H198" s="13"/>
      <c r="I198" s="13"/>
      <c r="J198" s="14"/>
      <c r="K198" s="14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" customHeight="1">
      <c r="A199" s="14"/>
      <c r="B199" s="13"/>
      <c r="C199" s="13"/>
      <c r="D199" s="13"/>
      <c r="E199" s="13"/>
      <c r="F199" s="13"/>
      <c r="G199" s="13"/>
      <c r="H199" s="13"/>
      <c r="I199" s="13"/>
      <c r="J199" s="14"/>
      <c r="K199" s="14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" customHeight="1">
      <c r="A200" s="14"/>
      <c r="B200" s="13"/>
      <c r="C200" s="13"/>
      <c r="D200" s="13"/>
      <c r="E200" s="13"/>
      <c r="F200" s="13"/>
      <c r="G200" s="13"/>
      <c r="H200" s="13"/>
      <c r="I200" s="13"/>
      <c r="J200" s="14"/>
      <c r="K200" s="14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" customHeight="1">
      <c r="A201" s="14"/>
      <c r="B201" s="13"/>
      <c r="C201" s="13"/>
      <c r="D201" s="13"/>
      <c r="E201" s="13"/>
      <c r="F201" s="13"/>
      <c r="G201" s="13"/>
      <c r="H201" s="13"/>
      <c r="I201" s="13"/>
      <c r="J201" s="14"/>
      <c r="K201" s="14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" customHeight="1">
      <c r="A202" s="14"/>
      <c r="B202" s="13"/>
      <c r="C202" s="13"/>
      <c r="D202" s="13"/>
      <c r="E202" s="13"/>
      <c r="F202" s="13"/>
      <c r="G202" s="13"/>
      <c r="H202" s="13"/>
      <c r="I202" s="13"/>
      <c r="J202" s="14"/>
      <c r="K202" s="14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" customHeight="1">
      <c r="A203" s="14"/>
      <c r="B203" s="13"/>
      <c r="C203" s="13"/>
      <c r="D203" s="13"/>
      <c r="E203" s="13"/>
      <c r="F203" s="13"/>
      <c r="G203" s="13"/>
      <c r="H203" s="13"/>
      <c r="I203" s="13"/>
      <c r="J203" s="14"/>
      <c r="K203" s="14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" customHeight="1">
      <c r="A204" s="14"/>
      <c r="B204" s="13"/>
      <c r="C204" s="13"/>
      <c r="D204" s="13"/>
      <c r="E204" s="13"/>
      <c r="F204" s="13"/>
      <c r="G204" s="13"/>
      <c r="H204" s="13"/>
      <c r="I204" s="13"/>
      <c r="J204" s="14"/>
      <c r="K204" s="14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" customHeight="1">
      <c r="A205" s="14"/>
      <c r="B205" s="13"/>
      <c r="C205" s="13"/>
      <c r="D205" s="13"/>
      <c r="E205" s="13"/>
      <c r="F205" s="13"/>
      <c r="G205" s="13"/>
      <c r="H205" s="13"/>
      <c r="I205" s="13"/>
      <c r="J205" s="14"/>
      <c r="K205" s="14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" customHeight="1">
      <c r="A206" s="14"/>
      <c r="B206" s="13"/>
      <c r="C206" s="13"/>
      <c r="D206" s="13"/>
      <c r="E206" s="13"/>
      <c r="F206" s="13"/>
      <c r="G206" s="13"/>
      <c r="H206" s="13"/>
      <c r="I206" s="13"/>
      <c r="J206" s="14"/>
      <c r="K206" s="14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" customHeight="1">
      <c r="A207" s="14"/>
      <c r="B207" s="13"/>
      <c r="C207" s="13"/>
      <c r="D207" s="13"/>
      <c r="E207" s="13"/>
      <c r="F207" s="13"/>
      <c r="G207" s="13"/>
      <c r="H207" s="13"/>
      <c r="I207" s="13"/>
      <c r="J207" s="14"/>
      <c r="K207" s="14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" customHeight="1">
      <c r="A208" s="14"/>
      <c r="B208" s="13"/>
      <c r="C208" s="13"/>
      <c r="D208" s="13"/>
      <c r="E208" s="13"/>
      <c r="F208" s="13"/>
      <c r="G208" s="13"/>
      <c r="H208" s="13"/>
      <c r="I208" s="13"/>
      <c r="J208" s="14"/>
      <c r="K208" s="14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" customHeight="1">
      <c r="A209" s="14"/>
      <c r="B209" s="13"/>
      <c r="C209" s="13"/>
      <c r="D209" s="13"/>
      <c r="E209" s="13"/>
      <c r="F209" s="13"/>
      <c r="G209" s="13"/>
      <c r="H209" s="13"/>
      <c r="I209" s="13"/>
      <c r="J209" s="14"/>
      <c r="K209" s="14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" customHeight="1">
      <c r="A210" s="14"/>
      <c r="B210" s="13"/>
      <c r="C210" s="13"/>
      <c r="D210" s="13"/>
      <c r="E210" s="13"/>
      <c r="F210" s="13"/>
      <c r="G210" s="13"/>
      <c r="H210" s="13"/>
      <c r="I210" s="13"/>
      <c r="J210" s="14"/>
      <c r="K210" s="14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" customHeight="1">
      <c r="A211" s="14"/>
      <c r="B211" s="13"/>
      <c r="C211" s="13"/>
      <c r="D211" s="13"/>
      <c r="E211" s="13"/>
      <c r="F211" s="13"/>
      <c r="G211" s="13"/>
      <c r="H211" s="13"/>
      <c r="I211" s="13"/>
      <c r="J211" s="14"/>
      <c r="K211" s="14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" customHeight="1">
      <c r="A212" s="14"/>
      <c r="B212" s="13"/>
      <c r="C212" s="13"/>
      <c r="D212" s="13"/>
      <c r="E212" s="13"/>
      <c r="F212" s="13"/>
      <c r="G212" s="13"/>
      <c r="H212" s="13"/>
      <c r="I212" s="13"/>
      <c r="J212" s="14"/>
      <c r="K212" s="14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" customHeight="1">
      <c r="A213" s="14"/>
      <c r="B213" s="13"/>
      <c r="C213" s="13"/>
      <c r="D213" s="13"/>
      <c r="E213" s="13"/>
      <c r="F213" s="13"/>
      <c r="G213" s="13"/>
      <c r="H213" s="13"/>
      <c r="I213" s="13"/>
      <c r="J213" s="14"/>
      <c r="K213" s="14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" customHeight="1">
      <c r="A214" s="14"/>
      <c r="B214" s="13"/>
      <c r="C214" s="13"/>
      <c r="D214" s="13"/>
      <c r="E214" s="13"/>
      <c r="F214" s="13"/>
      <c r="G214" s="13"/>
      <c r="H214" s="13"/>
      <c r="I214" s="13"/>
      <c r="J214" s="14"/>
      <c r="K214" s="14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" customHeight="1">
      <c r="A215" s="14"/>
      <c r="B215" s="13"/>
      <c r="C215" s="13"/>
      <c r="D215" s="13"/>
      <c r="E215" s="13"/>
      <c r="F215" s="13"/>
      <c r="G215" s="13"/>
      <c r="H215" s="13"/>
      <c r="I215" s="13"/>
      <c r="J215" s="14"/>
      <c r="K215" s="14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" customHeight="1">
      <c r="A216" s="14"/>
      <c r="B216" s="13"/>
      <c r="C216" s="13"/>
      <c r="D216" s="13"/>
      <c r="E216" s="13"/>
      <c r="F216" s="13"/>
      <c r="G216" s="13"/>
      <c r="H216" s="13"/>
      <c r="I216" s="13"/>
      <c r="J216" s="14"/>
      <c r="K216" s="14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" customHeight="1">
      <c r="A217" s="14"/>
      <c r="B217" s="13"/>
      <c r="C217" s="13"/>
      <c r="D217" s="13"/>
      <c r="E217" s="13"/>
      <c r="F217" s="13"/>
      <c r="G217" s="13"/>
      <c r="H217" s="13"/>
      <c r="I217" s="13"/>
      <c r="J217" s="14"/>
      <c r="K217" s="14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" customHeight="1">
      <c r="A218" s="14"/>
      <c r="B218" s="13"/>
      <c r="C218" s="13"/>
      <c r="D218" s="13"/>
      <c r="E218" s="13"/>
      <c r="F218" s="13"/>
      <c r="G218" s="13"/>
      <c r="H218" s="13"/>
      <c r="I218" s="13"/>
      <c r="J218" s="14"/>
      <c r="K218" s="14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" customHeight="1">
      <c r="A219" s="14"/>
      <c r="B219" s="13"/>
      <c r="C219" s="13"/>
      <c r="D219" s="13"/>
      <c r="E219" s="13"/>
      <c r="F219" s="13"/>
      <c r="G219" s="13"/>
      <c r="H219" s="13"/>
      <c r="I219" s="13"/>
      <c r="J219" s="14"/>
      <c r="K219" s="14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" customHeight="1">
      <c r="A220" s="14"/>
      <c r="B220" s="13"/>
      <c r="C220" s="13"/>
      <c r="D220" s="13"/>
      <c r="E220" s="13"/>
      <c r="F220" s="13"/>
      <c r="G220" s="13"/>
      <c r="H220" s="13"/>
      <c r="I220" s="13"/>
      <c r="J220" s="14"/>
      <c r="K220" s="14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" customHeight="1">
      <c r="A221" s="14"/>
      <c r="B221" s="13"/>
      <c r="C221" s="13"/>
      <c r="D221" s="13"/>
      <c r="E221" s="13"/>
      <c r="F221" s="13"/>
      <c r="G221" s="13"/>
      <c r="H221" s="13"/>
      <c r="I221" s="13"/>
      <c r="J221" s="14"/>
      <c r="K221" s="14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" customHeight="1">
      <c r="A222" s="14"/>
      <c r="B222" s="13"/>
      <c r="C222" s="13"/>
      <c r="D222" s="13"/>
      <c r="E222" s="13"/>
      <c r="F222" s="13"/>
      <c r="G222" s="13"/>
      <c r="H222" s="13"/>
      <c r="I222" s="13"/>
      <c r="J222" s="14"/>
      <c r="K222" s="14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" customHeight="1">
      <c r="A223" s="14"/>
      <c r="B223" s="13"/>
      <c r="C223" s="13"/>
      <c r="D223" s="13"/>
      <c r="E223" s="13"/>
      <c r="F223" s="13"/>
      <c r="G223" s="13"/>
      <c r="H223" s="13"/>
      <c r="I223" s="13"/>
      <c r="J223" s="14"/>
      <c r="K223" s="14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" customHeight="1">
      <c r="A224" s="14"/>
      <c r="B224" s="13"/>
      <c r="C224" s="13"/>
      <c r="D224" s="13"/>
      <c r="E224" s="13"/>
      <c r="F224" s="13"/>
      <c r="G224" s="13"/>
      <c r="H224" s="13"/>
      <c r="I224" s="13"/>
      <c r="J224" s="14"/>
      <c r="K224" s="14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" customHeight="1">
      <c r="A225" s="14"/>
      <c r="B225" s="13"/>
      <c r="C225" s="13"/>
      <c r="D225" s="13"/>
      <c r="E225" s="13"/>
      <c r="F225" s="13"/>
      <c r="G225" s="13"/>
      <c r="H225" s="13"/>
      <c r="I225" s="13"/>
      <c r="J225" s="14"/>
      <c r="K225" s="14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" customHeight="1">
      <c r="A226" s="14"/>
      <c r="B226" s="13"/>
      <c r="C226" s="13"/>
      <c r="D226" s="13"/>
      <c r="E226" s="13"/>
      <c r="F226" s="13"/>
      <c r="G226" s="13"/>
      <c r="H226" s="13"/>
      <c r="I226" s="13"/>
      <c r="J226" s="14"/>
      <c r="K226" s="14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" customHeight="1">
      <c r="A227" s="14"/>
      <c r="B227" s="13"/>
      <c r="C227" s="13"/>
      <c r="D227" s="13"/>
      <c r="E227" s="13"/>
      <c r="F227" s="13"/>
      <c r="G227" s="13"/>
      <c r="H227" s="13"/>
      <c r="I227" s="13"/>
      <c r="J227" s="14"/>
      <c r="K227" s="14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" customHeight="1">
      <c r="A228" s="14"/>
      <c r="B228" s="13"/>
      <c r="C228" s="13"/>
      <c r="D228" s="13"/>
      <c r="E228" s="13"/>
      <c r="F228" s="13"/>
      <c r="G228" s="13"/>
      <c r="H228" s="13"/>
      <c r="I228" s="13"/>
      <c r="J228" s="14"/>
      <c r="K228" s="14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" customHeight="1">
      <c r="A229" s="14"/>
      <c r="B229" s="13"/>
      <c r="C229" s="13"/>
      <c r="D229" s="13"/>
      <c r="E229" s="13"/>
      <c r="F229" s="13"/>
      <c r="G229" s="13"/>
      <c r="H229" s="13"/>
      <c r="I229" s="13"/>
      <c r="J229" s="14"/>
      <c r="K229" s="14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" customHeight="1">
      <c r="A230" s="14"/>
      <c r="B230" s="13"/>
      <c r="C230" s="13"/>
      <c r="D230" s="13"/>
      <c r="E230" s="13"/>
      <c r="F230" s="13"/>
      <c r="G230" s="13"/>
      <c r="H230" s="13"/>
      <c r="I230" s="13"/>
      <c r="J230" s="14"/>
      <c r="K230" s="14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" customHeight="1">
      <c r="A231" s="14"/>
      <c r="B231" s="13"/>
      <c r="C231" s="13"/>
      <c r="D231" s="13"/>
      <c r="E231" s="13"/>
      <c r="F231" s="13"/>
      <c r="G231" s="13"/>
      <c r="H231" s="13"/>
      <c r="I231" s="13"/>
      <c r="J231" s="14"/>
      <c r="K231" s="14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" customHeight="1">
      <c r="A232" s="14"/>
      <c r="B232" s="13"/>
      <c r="C232" s="13"/>
      <c r="D232" s="13"/>
      <c r="E232" s="13"/>
      <c r="F232" s="13"/>
      <c r="G232" s="13"/>
      <c r="H232" s="13"/>
      <c r="I232" s="13"/>
      <c r="J232" s="14"/>
      <c r="K232" s="14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" customHeight="1">
      <c r="A233" s="14"/>
      <c r="B233" s="13"/>
      <c r="C233" s="13"/>
      <c r="D233" s="13"/>
      <c r="E233" s="13"/>
      <c r="F233" s="13"/>
      <c r="G233" s="13"/>
      <c r="H233" s="13"/>
      <c r="I233" s="13"/>
      <c r="J233" s="14"/>
      <c r="K233" s="14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" customHeight="1">
      <c r="A234" s="14"/>
      <c r="B234" s="13"/>
      <c r="C234" s="13"/>
      <c r="D234" s="13"/>
      <c r="E234" s="13"/>
      <c r="F234" s="13"/>
      <c r="G234" s="13"/>
      <c r="H234" s="13"/>
      <c r="I234" s="13"/>
      <c r="J234" s="14"/>
      <c r="K234" s="14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" customHeight="1">
      <c r="A235" s="14"/>
      <c r="B235" s="13"/>
      <c r="C235" s="13"/>
      <c r="D235" s="13"/>
      <c r="E235" s="13"/>
      <c r="F235" s="13"/>
      <c r="G235" s="13"/>
      <c r="H235" s="13"/>
      <c r="I235" s="13"/>
      <c r="J235" s="14"/>
      <c r="K235" s="14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" customHeight="1">
      <c r="A236" s="14"/>
      <c r="B236" s="13"/>
      <c r="C236" s="13"/>
      <c r="D236" s="13"/>
      <c r="E236" s="13"/>
      <c r="F236" s="13"/>
      <c r="G236" s="13"/>
      <c r="H236" s="13"/>
      <c r="I236" s="13"/>
      <c r="J236" s="14"/>
      <c r="K236" s="14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" customHeight="1">
      <c r="A237" s="14"/>
      <c r="B237" s="13"/>
      <c r="C237" s="13"/>
      <c r="D237" s="13"/>
      <c r="E237" s="13"/>
      <c r="F237" s="13"/>
      <c r="G237" s="13"/>
      <c r="H237" s="13"/>
      <c r="I237" s="13"/>
      <c r="J237" s="14"/>
      <c r="K237" s="14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" customHeight="1">
      <c r="A238" s="14"/>
      <c r="B238" s="13"/>
      <c r="C238" s="13"/>
      <c r="D238" s="13"/>
      <c r="E238" s="13"/>
      <c r="F238" s="13"/>
      <c r="G238" s="13"/>
      <c r="H238" s="13"/>
      <c r="I238" s="13"/>
      <c r="J238" s="14"/>
      <c r="K238" s="14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" customHeight="1">
      <c r="A239" s="14"/>
      <c r="B239" s="13"/>
      <c r="C239" s="13"/>
      <c r="D239" s="13"/>
      <c r="E239" s="13"/>
      <c r="F239" s="13"/>
      <c r="G239" s="13"/>
      <c r="H239" s="13"/>
      <c r="I239" s="13"/>
      <c r="J239" s="14"/>
      <c r="K239" s="14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" customHeight="1">
      <c r="A240" s="14"/>
      <c r="B240" s="13"/>
      <c r="C240" s="13"/>
      <c r="D240" s="13"/>
      <c r="E240" s="13"/>
      <c r="F240" s="13"/>
      <c r="G240" s="13"/>
      <c r="H240" s="13"/>
      <c r="I240" s="13"/>
      <c r="J240" s="14"/>
      <c r="K240" s="14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" customHeight="1">
      <c r="A241" s="14"/>
      <c r="B241" s="13"/>
      <c r="C241" s="13"/>
      <c r="D241" s="13"/>
      <c r="E241" s="13"/>
      <c r="F241" s="13"/>
      <c r="G241" s="13"/>
      <c r="H241" s="13"/>
      <c r="I241" s="13"/>
      <c r="J241" s="14"/>
      <c r="K241" s="14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" customHeight="1">
      <c r="A242" s="14"/>
      <c r="B242" s="13"/>
      <c r="C242" s="13"/>
      <c r="D242" s="13"/>
      <c r="E242" s="13"/>
      <c r="F242" s="13"/>
      <c r="G242" s="13"/>
      <c r="H242" s="13"/>
      <c r="I242" s="13"/>
      <c r="J242" s="14"/>
      <c r="K242" s="14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" customHeight="1">
      <c r="A243" s="14"/>
      <c r="B243" s="13"/>
      <c r="C243" s="13"/>
      <c r="D243" s="13"/>
      <c r="E243" s="13"/>
      <c r="F243" s="13"/>
      <c r="G243" s="13"/>
      <c r="H243" s="13"/>
      <c r="I243" s="13"/>
      <c r="J243" s="14"/>
      <c r="K243" s="14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" customHeight="1">
      <c r="A244" s="14"/>
      <c r="B244" s="13"/>
      <c r="C244" s="13"/>
      <c r="D244" s="13"/>
      <c r="E244" s="13"/>
      <c r="F244" s="13"/>
      <c r="G244" s="13"/>
      <c r="H244" s="13"/>
      <c r="I244" s="13"/>
      <c r="J244" s="14"/>
      <c r="K244" s="14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" customHeight="1">
      <c r="A245" s="14"/>
      <c r="B245" s="13"/>
      <c r="C245" s="13"/>
      <c r="D245" s="13"/>
      <c r="E245" s="13"/>
      <c r="F245" s="13"/>
      <c r="G245" s="13"/>
      <c r="H245" s="13"/>
      <c r="I245" s="13"/>
      <c r="J245" s="14"/>
      <c r="K245" s="14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" customHeight="1">
      <c r="A246" s="14"/>
      <c r="B246" s="13"/>
      <c r="C246" s="13"/>
      <c r="D246" s="13"/>
      <c r="E246" s="13"/>
      <c r="F246" s="13"/>
      <c r="G246" s="13"/>
      <c r="H246" s="13"/>
      <c r="I246" s="13"/>
      <c r="J246" s="14"/>
      <c r="K246" s="14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" customHeight="1">
      <c r="A247" s="14"/>
      <c r="B247" s="13"/>
      <c r="C247" s="13"/>
      <c r="D247" s="13"/>
      <c r="E247" s="13"/>
      <c r="F247" s="13"/>
      <c r="G247" s="13"/>
      <c r="H247" s="13"/>
      <c r="I247" s="13"/>
      <c r="J247" s="14"/>
      <c r="K247" s="14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" customHeight="1">
      <c r="A248" s="14"/>
      <c r="B248" s="13"/>
      <c r="C248" s="13"/>
      <c r="D248" s="13"/>
      <c r="E248" s="13"/>
      <c r="F248" s="13"/>
      <c r="G248" s="13"/>
      <c r="H248" s="13"/>
      <c r="I248" s="13"/>
      <c r="J248" s="14"/>
      <c r="K248" s="14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" customHeight="1">
      <c r="A249" s="14"/>
      <c r="B249" s="13"/>
      <c r="C249" s="13"/>
      <c r="D249" s="13"/>
      <c r="E249" s="13"/>
      <c r="F249" s="13"/>
      <c r="G249" s="13"/>
      <c r="H249" s="13"/>
      <c r="I249" s="13"/>
      <c r="J249" s="14"/>
      <c r="K249" s="14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" customHeight="1">
      <c r="A250" s="14"/>
      <c r="B250" s="13"/>
      <c r="C250" s="13"/>
      <c r="D250" s="13"/>
      <c r="E250" s="13"/>
      <c r="F250" s="13"/>
      <c r="G250" s="13"/>
      <c r="H250" s="13"/>
      <c r="I250" s="13"/>
      <c r="J250" s="14"/>
      <c r="K250" s="14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" customHeight="1">
      <c r="A251" s="14"/>
      <c r="B251" s="13"/>
      <c r="C251" s="13"/>
      <c r="D251" s="13"/>
      <c r="E251" s="13"/>
      <c r="F251" s="13"/>
      <c r="G251" s="13"/>
      <c r="H251" s="13"/>
      <c r="I251" s="13"/>
      <c r="J251" s="14"/>
      <c r="K251" s="14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" customHeight="1">
      <c r="A252" s="14"/>
      <c r="B252" s="13"/>
      <c r="C252" s="13"/>
      <c r="D252" s="13"/>
      <c r="E252" s="13"/>
      <c r="F252" s="13"/>
      <c r="G252" s="13"/>
      <c r="H252" s="13"/>
      <c r="I252" s="13"/>
      <c r="J252" s="14"/>
      <c r="K252" s="14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" customHeight="1">
      <c r="A253" s="14"/>
      <c r="B253" s="13"/>
      <c r="C253" s="13"/>
      <c r="D253" s="13"/>
      <c r="E253" s="13"/>
      <c r="F253" s="13"/>
      <c r="G253" s="13"/>
      <c r="H253" s="13"/>
      <c r="I253" s="13"/>
      <c r="J253" s="14"/>
      <c r="K253" s="14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" customHeight="1">
      <c r="A254" s="14"/>
      <c r="B254" s="13"/>
      <c r="C254" s="13"/>
      <c r="D254" s="13"/>
      <c r="E254" s="13"/>
      <c r="F254" s="13"/>
      <c r="G254" s="13"/>
      <c r="H254" s="13"/>
      <c r="I254" s="13"/>
      <c r="J254" s="14"/>
      <c r="K254" s="14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" customHeight="1">
      <c r="A255" s="14"/>
      <c r="B255" s="13"/>
      <c r="C255" s="13"/>
      <c r="D255" s="13"/>
      <c r="E255" s="13"/>
      <c r="F255" s="13"/>
      <c r="G255" s="13"/>
      <c r="H255" s="13"/>
      <c r="I255" s="13"/>
      <c r="J255" s="14"/>
      <c r="K255" s="14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" customHeight="1">
      <c r="A256" s="14"/>
      <c r="B256" s="13"/>
      <c r="C256" s="13"/>
      <c r="D256" s="13"/>
      <c r="E256" s="13"/>
      <c r="F256" s="13"/>
      <c r="G256" s="13"/>
      <c r="H256" s="13"/>
      <c r="I256" s="13"/>
      <c r="J256" s="14"/>
      <c r="K256" s="14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" customHeight="1">
      <c r="A257" s="14"/>
      <c r="B257" s="13"/>
      <c r="C257" s="13"/>
      <c r="D257" s="13"/>
      <c r="E257" s="13"/>
      <c r="F257" s="13"/>
      <c r="G257" s="13"/>
      <c r="H257" s="13"/>
      <c r="I257" s="13"/>
      <c r="J257" s="14"/>
      <c r="K257" s="14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" customHeight="1">
      <c r="A258" s="14"/>
      <c r="B258" s="13"/>
      <c r="C258" s="13"/>
      <c r="D258" s="13"/>
      <c r="E258" s="13"/>
      <c r="F258" s="13"/>
      <c r="G258" s="13"/>
      <c r="H258" s="13"/>
      <c r="I258" s="13"/>
      <c r="J258" s="14"/>
      <c r="K258" s="14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" customHeight="1">
      <c r="A259" s="14"/>
      <c r="B259" s="13"/>
      <c r="C259" s="13"/>
      <c r="D259" s="13"/>
      <c r="E259" s="13"/>
      <c r="F259" s="13"/>
      <c r="G259" s="13"/>
      <c r="H259" s="13"/>
      <c r="I259" s="13"/>
      <c r="J259" s="14"/>
      <c r="K259" s="14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" customHeight="1">
      <c r="A260" s="14"/>
      <c r="B260" s="13"/>
      <c r="C260" s="13"/>
      <c r="D260" s="13"/>
      <c r="E260" s="13"/>
      <c r="F260" s="13"/>
      <c r="G260" s="13"/>
      <c r="H260" s="13"/>
      <c r="I260" s="13"/>
      <c r="J260" s="14"/>
      <c r="K260" s="14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" customHeight="1">
      <c r="A261" s="14"/>
      <c r="B261" s="13"/>
      <c r="C261" s="13"/>
      <c r="D261" s="13"/>
      <c r="E261" s="13"/>
      <c r="F261" s="13"/>
      <c r="G261" s="13"/>
      <c r="H261" s="13"/>
      <c r="I261" s="13"/>
      <c r="J261" s="14"/>
      <c r="K261" s="14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" customHeight="1">
      <c r="A262" s="14"/>
      <c r="B262" s="13"/>
      <c r="C262" s="13"/>
      <c r="D262" s="13"/>
      <c r="E262" s="13"/>
      <c r="F262" s="13"/>
      <c r="G262" s="13"/>
      <c r="H262" s="13"/>
      <c r="I262" s="13"/>
      <c r="J262" s="14"/>
      <c r="K262" s="14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" customHeight="1">
      <c r="A263" s="14"/>
      <c r="B263" s="13"/>
      <c r="C263" s="13"/>
      <c r="D263" s="13"/>
      <c r="E263" s="13"/>
      <c r="F263" s="13"/>
      <c r="G263" s="13"/>
      <c r="H263" s="13"/>
      <c r="I263" s="13"/>
      <c r="J263" s="14"/>
      <c r="K263" s="14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" customHeight="1">
      <c r="A264" s="14"/>
      <c r="B264" s="13"/>
      <c r="C264" s="13"/>
      <c r="D264" s="13"/>
      <c r="E264" s="13"/>
      <c r="F264" s="13"/>
      <c r="G264" s="13"/>
      <c r="H264" s="13"/>
      <c r="I264" s="13"/>
      <c r="J264" s="14"/>
      <c r="K264" s="14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" customHeight="1">
      <c r="A265" s="14"/>
      <c r="B265" s="13"/>
      <c r="C265" s="13"/>
      <c r="D265" s="13"/>
      <c r="E265" s="13"/>
      <c r="F265" s="13"/>
      <c r="G265" s="13"/>
      <c r="H265" s="13"/>
      <c r="I265" s="13"/>
      <c r="J265" s="14"/>
      <c r="K265" s="14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" customHeight="1">
      <c r="A266" s="14"/>
      <c r="B266" s="13"/>
      <c r="C266" s="13"/>
      <c r="D266" s="13"/>
      <c r="E266" s="13"/>
      <c r="F266" s="13"/>
      <c r="G266" s="13"/>
      <c r="H266" s="13"/>
      <c r="I266" s="13"/>
      <c r="J266" s="14"/>
      <c r="K266" s="14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" customHeight="1">
      <c r="A267" s="14"/>
      <c r="B267" s="13"/>
      <c r="C267" s="13"/>
      <c r="D267" s="13"/>
      <c r="E267" s="13"/>
      <c r="F267" s="13"/>
      <c r="G267" s="13"/>
      <c r="H267" s="13"/>
      <c r="I267" s="13"/>
      <c r="J267" s="14"/>
      <c r="K267" s="14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" customHeight="1">
      <c r="A268" s="14"/>
      <c r="B268" s="13"/>
      <c r="C268" s="13"/>
      <c r="D268" s="13"/>
      <c r="E268" s="13"/>
      <c r="F268" s="13"/>
      <c r="G268" s="13"/>
      <c r="H268" s="13"/>
      <c r="I268" s="13"/>
      <c r="J268" s="14"/>
      <c r="K268" s="14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" customHeight="1">
      <c r="A269" s="14"/>
      <c r="B269" s="13"/>
      <c r="C269" s="13"/>
      <c r="D269" s="13"/>
      <c r="E269" s="13"/>
      <c r="F269" s="13"/>
      <c r="G269" s="13"/>
      <c r="H269" s="13"/>
      <c r="I269" s="13"/>
      <c r="J269" s="14"/>
      <c r="K269" s="14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" customHeight="1">
      <c r="A270" s="14"/>
      <c r="B270" s="13"/>
      <c r="C270" s="13"/>
      <c r="D270" s="13"/>
      <c r="E270" s="13"/>
      <c r="F270" s="13"/>
      <c r="G270" s="13"/>
      <c r="H270" s="13"/>
      <c r="I270" s="13"/>
      <c r="J270" s="14"/>
      <c r="K270" s="14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" customHeight="1">
      <c r="A271" s="14"/>
      <c r="B271" s="13"/>
      <c r="C271" s="13"/>
      <c r="D271" s="13"/>
      <c r="E271" s="13"/>
      <c r="F271" s="13"/>
      <c r="G271" s="13"/>
      <c r="H271" s="13"/>
      <c r="I271" s="13"/>
      <c r="J271" s="14"/>
      <c r="K271" s="14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" customHeight="1">
      <c r="A272" s="14"/>
      <c r="B272" s="13"/>
      <c r="C272" s="13"/>
      <c r="D272" s="13"/>
      <c r="E272" s="13"/>
      <c r="F272" s="13"/>
      <c r="G272" s="13"/>
      <c r="H272" s="13"/>
      <c r="I272" s="13"/>
      <c r="J272" s="14"/>
      <c r="K272" s="14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" customHeight="1">
      <c r="A273" s="14"/>
      <c r="B273" s="13"/>
      <c r="C273" s="13"/>
      <c r="D273" s="13"/>
      <c r="E273" s="13"/>
      <c r="F273" s="13"/>
      <c r="G273" s="13"/>
      <c r="H273" s="13"/>
      <c r="I273" s="13"/>
      <c r="J273" s="14"/>
      <c r="K273" s="14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" customHeight="1">
      <c r="A274" s="14"/>
      <c r="B274" s="13"/>
      <c r="C274" s="13"/>
      <c r="D274" s="13"/>
      <c r="E274" s="13"/>
      <c r="F274" s="13"/>
      <c r="G274" s="13"/>
      <c r="H274" s="13"/>
      <c r="I274" s="13"/>
      <c r="J274" s="14"/>
      <c r="K274" s="14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" customHeight="1">
      <c r="A275" s="14"/>
      <c r="B275" s="13"/>
      <c r="C275" s="13"/>
      <c r="D275" s="13"/>
      <c r="E275" s="13"/>
      <c r="F275" s="13"/>
      <c r="G275" s="13"/>
      <c r="H275" s="13"/>
      <c r="I275" s="13"/>
      <c r="J275" s="14"/>
      <c r="K275" s="14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" customHeight="1">
      <c r="A276" s="14"/>
      <c r="B276" s="13"/>
      <c r="C276" s="13"/>
      <c r="D276" s="13"/>
      <c r="E276" s="13"/>
      <c r="F276" s="13"/>
      <c r="G276" s="13"/>
      <c r="H276" s="13"/>
      <c r="I276" s="13"/>
      <c r="J276" s="14"/>
      <c r="K276" s="14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" customHeight="1">
      <c r="A277" s="14"/>
      <c r="B277" s="13"/>
      <c r="C277" s="13"/>
      <c r="D277" s="13"/>
      <c r="E277" s="13"/>
      <c r="F277" s="13"/>
      <c r="G277" s="13"/>
      <c r="H277" s="13"/>
      <c r="I277" s="13"/>
      <c r="J277" s="14"/>
      <c r="K277" s="14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" customHeight="1">
      <c r="A278" s="14"/>
      <c r="B278" s="13"/>
      <c r="C278" s="13"/>
      <c r="D278" s="13"/>
      <c r="E278" s="13"/>
      <c r="F278" s="13"/>
      <c r="G278" s="13"/>
      <c r="H278" s="13"/>
      <c r="I278" s="13"/>
      <c r="J278" s="14"/>
      <c r="K278" s="14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" customHeight="1">
      <c r="A279" s="14"/>
      <c r="B279" s="13"/>
      <c r="C279" s="13"/>
      <c r="D279" s="13"/>
      <c r="E279" s="13"/>
      <c r="F279" s="13"/>
      <c r="G279" s="13"/>
      <c r="H279" s="13"/>
      <c r="I279" s="13"/>
      <c r="J279" s="14"/>
      <c r="K279" s="14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" customHeight="1">
      <c r="A280" s="14"/>
      <c r="B280" s="13"/>
      <c r="C280" s="13"/>
      <c r="D280" s="13"/>
      <c r="E280" s="13"/>
      <c r="F280" s="13"/>
      <c r="G280" s="13"/>
      <c r="H280" s="13"/>
      <c r="I280" s="13"/>
      <c r="J280" s="14"/>
      <c r="K280" s="14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" customHeight="1">
      <c r="A281" s="14"/>
      <c r="B281" s="13"/>
      <c r="C281" s="13"/>
      <c r="D281" s="13"/>
      <c r="E281" s="13"/>
      <c r="F281" s="13"/>
      <c r="G281" s="13"/>
      <c r="H281" s="13"/>
      <c r="I281" s="13"/>
      <c r="J281" s="14"/>
      <c r="K281" s="14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" customHeight="1">
      <c r="A282" s="14"/>
      <c r="B282" s="13"/>
      <c r="C282" s="13"/>
      <c r="D282" s="13"/>
      <c r="E282" s="13"/>
      <c r="F282" s="13"/>
      <c r="G282" s="13"/>
      <c r="H282" s="13"/>
      <c r="I282" s="13"/>
      <c r="J282" s="14"/>
      <c r="K282" s="14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" customHeight="1">
      <c r="A283" s="14"/>
      <c r="B283" s="13"/>
      <c r="C283" s="13"/>
      <c r="D283" s="13"/>
      <c r="E283" s="13"/>
      <c r="F283" s="13"/>
      <c r="G283" s="13"/>
      <c r="H283" s="13"/>
      <c r="I283" s="13"/>
      <c r="J283" s="14"/>
      <c r="K283" s="14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" customHeight="1">
      <c r="A284" s="14"/>
      <c r="B284" s="13"/>
      <c r="C284" s="13"/>
      <c r="D284" s="13"/>
      <c r="E284" s="13"/>
      <c r="F284" s="13"/>
      <c r="G284" s="13"/>
      <c r="H284" s="13"/>
      <c r="I284" s="13"/>
      <c r="J284" s="14"/>
      <c r="K284" s="14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" customHeight="1">
      <c r="A285" s="14"/>
      <c r="B285" s="13"/>
      <c r="C285" s="13"/>
      <c r="D285" s="13"/>
      <c r="E285" s="13"/>
      <c r="F285" s="13"/>
      <c r="G285" s="13"/>
      <c r="H285" s="13"/>
      <c r="I285" s="13"/>
      <c r="J285" s="14"/>
      <c r="K285" s="14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" customHeight="1">
      <c r="A286" s="14"/>
      <c r="B286" s="13"/>
      <c r="C286" s="13"/>
      <c r="D286" s="13"/>
      <c r="E286" s="13"/>
      <c r="F286" s="13"/>
      <c r="G286" s="13"/>
      <c r="H286" s="13"/>
      <c r="I286" s="13"/>
      <c r="J286" s="14"/>
      <c r="K286" s="14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" customHeight="1">
      <c r="A287" s="14"/>
      <c r="B287" s="13"/>
      <c r="C287" s="13"/>
      <c r="D287" s="13"/>
      <c r="E287" s="13"/>
      <c r="F287" s="13"/>
      <c r="G287" s="13"/>
      <c r="H287" s="13"/>
      <c r="I287" s="13"/>
      <c r="J287" s="14"/>
      <c r="K287" s="14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" customHeight="1">
      <c r="A288" s="14"/>
      <c r="B288" s="13"/>
      <c r="C288" s="13"/>
      <c r="D288" s="13"/>
      <c r="E288" s="13"/>
      <c r="F288" s="13"/>
      <c r="G288" s="13"/>
      <c r="H288" s="13"/>
      <c r="I288" s="13"/>
      <c r="J288" s="14"/>
      <c r="K288" s="14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" customHeight="1">
      <c r="A289" s="14"/>
      <c r="B289" s="13"/>
      <c r="C289" s="13"/>
      <c r="D289" s="13"/>
      <c r="E289" s="13"/>
      <c r="F289" s="13"/>
      <c r="G289" s="13"/>
      <c r="H289" s="13"/>
      <c r="I289" s="13"/>
      <c r="J289" s="14"/>
      <c r="K289" s="14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" customHeight="1">
      <c r="A290" s="14"/>
      <c r="B290" s="13"/>
      <c r="C290" s="13"/>
      <c r="D290" s="13"/>
      <c r="E290" s="13"/>
      <c r="F290" s="13"/>
      <c r="G290" s="13"/>
      <c r="H290" s="13"/>
      <c r="I290" s="13"/>
      <c r="J290" s="14"/>
      <c r="K290" s="14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" customHeight="1">
      <c r="A291" s="14"/>
      <c r="B291" s="13"/>
      <c r="C291" s="13"/>
      <c r="D291" s="13"/>
      <c r="E291" s="13"/>
      <c r="F291" s="13"/>
      <c r="G291" s="13"/>
      <c r="H291" s="13"/>
      <c r="I291" s="13"/>
      <c r="J291" s="14"/>
      <c r="K291" s="14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" customHeight="1">
      <c r="A292" s="14"/>
      <c r="B292" s="13"/>
      <c r="C292" s="13"/>
      <c r="D292" s="13"/>
      <c r="E292" s="13"/>
      <c r="F292" s="13"/>
      <c r="G292" s="13"/>
      <c r="H292" s="13"/>
      <c r="I292" s="13"/>
      <c r="J292" s="14"/>
      <c r="K292" s="14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" customHeight="1">
      <c r="A293" s="14"/>
      <c r="B293" s="13"/>
      <c r="C293" s="13"/>
      <c r="D293" s="13"/>
      <c r="E293" s="13"/>
      <c r="F293" s="13"/>
      <c r="G293" s="13"/>
      <c r="H293" s="13"/>
      <c r="I293" s="13"/>
      <c r="J293" s="14"/>
      <c r="K293" s="14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" customHeight="1">
      <c r="A294" s="14"/>
      <c r="B294" s="13"/>
      <c r="C294" s="13"/>
      <c r="D294" s="13"/>
      <c r="E294" s="13"/>
      <c r="F294" s="13"/>
      <c r="G294" s="13"/>
      <c r="H294" s="13"/>
      <c r="I294" s="13"/>
      <c r="J294" s="14"/>
      <c r="K294" s="14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" customHeight="1">
      <c r="A295" s="14"/>
      <c r="B295" s="13"/>
      <c r="C295" s="13"/>
      <c r="D295" s="13"/>
      <c r="E295" s="13"/>
      <c r="F295" s="13"/>
      <c r="G295" s="13"/>
      <c r="H295" s="13"/>
      <c r="I295" s="13"/>
      <c r="J295" s="14"/>
      <c r="K295" s="14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" customHeight="1">
      <c r="A296" s="14"/>
      <c r="B296" s="13"/>
      <c r="C296" s="13"/>
      <c r="D296" s="13"/>
      <c r="E296" s="13"/>
      <c r="F296" s="13"/>
      <c r="G296" s="13"/>
      <c r="H296" s="13"/>
      <c r="I296" s="13"/>
      <c r="J296" s="14"/>
      <c r="K296" s="14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" customHeight="1">
      <c r="A297" s="14"/>
      <c r="B297" s="13"/>
      <c r="C297" s="13"/>
      <c r="D297" s="13"/>
      <c r="E297" s="13"/>
      <c r="F297" s="13"/>
      <c r="G297" s="13"/>
      <c r="H297" s="13"/>
      <c r="I297" s="13"/>
      <c r="J297" s="14"/>
      <c r="K297" s="14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" customHeight="1">
      <c r="A298" s="14"/>
      <c r="B298" s="13"/>
      <c r="C298" s="13"/>
      <c r="D298" s="13"/>
      <c r="E298" s="13"/>
      <c r="F298" s="13"/>
      <c r="G298" s="13"/>
      <c r="H298" s="13"/>
      <c r="I298" s="13"/>
      <c r="J298" s="14"/>
      <c r="K298" s="14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" customHeight="1">
      <c r="A299" s="14"/>
      <c r="B299" s="13"/>
      <c r="C299" s="13"/>
      <c r="D299" s="13"/>
      <c r="E299" s="13"/>
      <c r="F299" s="13"/>
      <c r="G299" s="13"/>
      <c r="H299" s="13"/>
      <c r="I299" s="13"/>
      <c r="J299" s="14"/>
      <c r="K299" s="14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" customHeight="1">
      <c r="A300" s="14"/>
      <c r="B300" s="13"/>
      <c r="C300" s="13"/>
      <c r="D300" s="13"/>
      <c r="E300" s="13"/>
      <c r="F300" s="13"/>
      <c r="G300" s="13"/>
      <c r="H300" s="13"/>
      <c r="I300" s="13"/>
      <c r="J300" s="14"/>
      <c r="K300" s="14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" customHeight="1">
      <c r="A301" s="14"/>
      <c r="B301" s="13"/>
      <c r="C301" s="13"/>
      <c r="D301" s="13"/>
      <c r="E301" s="13"/>
      <c r="F301" s="13"/>
      <c r="G301" s="13"/>
      <c r="H301" s="13"/>
      <c r="I301" s="13"/>
      <c r="J301" s="14"/>
      <c r="K301" s="14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" customHeight="1">
      <c r="A302" s="14"/>
      <c r="B302" s="13"/>
      <c r="C302" s="13"/>
      <c r="D302" s="13"/>
      <c r="E302" s="13"/>
      <c r="F302" s="13"/>
      <c r="G302" s="13"/>
      <c r="H302" s="13"/>
      <c r="I302" s="13"/>
      <c r="J302" s="14"/>
      <c r="K302" s="14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" customHeight="1">
      <c r="A303" s="14"/>
      <c r="B303" s="13"/>
      <c r="C303" s="13"/>
      <c r="D303" s="13"/>
      <c r="E303" s="13"/>
      <c r="F303" s="13"/>
      <c r="G303" s="13"/>
      <c r="H303" s="13"/>
      <c r="I303" s="13"/>
      <c r="J303" s="14"/>
      <c r="K303" s="14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" customHeight="1">
      <c r="A304" s="14"/>
      <c r="B304" s="13"/>
      <c r="C304" s="13"/>
      <c r="D304" s="13"/>
      <c r="E304" s="13"/>
      <c r="F304" s="13"/>
      <c r="G304" s="13"/>
      <c r="H304" s="13"/>
      <c r="I304" s="13"/>
      <c r="J304" s="14"/>
      <c r="K304" s="14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" customHeight="1">
      <c r="A305" s="14"/>
      <c r="B305" s="13"/>
      <c r="C305" s="13"/>
      <c r="D305" s="13"/>
      <c r="E305" s="13"/>
      <c r="F305" s="13"/>
      <c r="G305" s="13"/>
      <c r="H305" s="13"/>
      <c r="I305" s="13"/>
      <c r="J305" s="14"/>
      <c r="K305" s="14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" customHeight="1">
      <c r="A306" s="14"/>
      <c r="B306" s="13"/>
      <c r="C306" s="13"/>
      <c r="D306" s="13"/>
      <c r="E306" s="13"/>
      <c r="F306" s="13"/>
      <c r="G306" s="13"/>
      <c r="H306" s="13"/>
      <c r="I306" s="13"/>
      <c r="J306" s="14"/>
      <c r="K306" s="14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" customHeight="1">
      <c r="A307" s="14"/>
      <c r="B307" s="13"/>
      <c r="C307" s="13"/>
      <c r="D307" s="13"/>
      <c r="E307" s="13"/>
      <c r="F307" s="13"/>
      <c r="G307" s="13"/>
      <c r="H307" s="13"/>
      <c r="I307" s="13"/>
      <c r="J307" s="14"/>
      <c r="K307" s="14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" customHeight="1">
      <c r="A308" s="14"/>
      <c r="B308" s="13"/>
      <c r="C308" s="13"/>
      <c r="D308" s="13"/>
      <c r="E308" s="13"/>
      <c r="F308" s="13"/>
      <c r="G308" s="13"/>
      <c r="H308" s="13"/>
      <c r="I308" s="13"/>
      <c r="J308" s="14"/>
      <c r="K308" s="14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" customHeight="1">
      <c r="A309" s="14"/>
      <c r="B309" s="13"/>
      <c r="C309" s="13"/>
      <c r="D309" s="13"/>
      <c r="E309" s="13"/>
      <c r="F309" s="13"/>
      <c r="G309" s="13"/>
      <c r="H309" s="13"/>
      <c r="I309" s="13"/>
      <c r="J309" s="14"/>
      <c r="K309" s="14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" customHeight="1">
      <c r="A310" s="14"/>
      <c r="B310" s="13"/>
      <c r="C310" s="13"/>
      <c r="D310" s="13"/>
      <c r="E310" s="13"/>
      <c r="F310" s="13"/>
      <c r="G310" s="13"/>
      <c r="H310" s="13"/>
      <c r="I310" s="13"/>
      <c r="J310" s="14"/>
      <c r="K310" s="14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" customHeight="1">
      <c r="A311" s="14"/>
      <c r="B311" s="13"/>
      <c r="C311" s="13"/>
      <c r="D311" s="13"/>
      <c r="E311" s="13"/>
      <c r="F311" s="13"/>
      <c r="G311" s="13"/>
      <c r="H311" s="13"/>
      <c r="I311" s="13"/>
      <c r="J311" s="14"/>
      <c r="K311" s="14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" customHeight="1">
      <c r="A312" s="14"/>
      <c r="B312" s="13"/>
      <c r="C312" s="13"/>
      <c r="D312" s="13"/>
      <c r="E312" s="13"/>
      <c r="F312" s="13"/>
      <c r="G312" s="13"/>
      <c r="H312" s="13"/>
      <c r="I312" s="13"/>
      <c r="J312" s="14"/>
      <c r="K312" s="14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" customHeight="1">
      <c r="A313" s="14"/>
      <c r="B313" s="13"/>
      <c r="C313" s="13"/>
      <c r="D313" s="13"/>
      <c r="E313" s="13"/>
      <c r="F313" s="13"/>
      <c r="G313" s="13"/>
      <c r="H313" s="13"/>
      <c r="I313" s="13"/>
      <c r="J313" s="14"/>
      <c r="K313" s="14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" customHeight="1">
      <c r="A314" s="14"/>
      <c r="B314" s="13"/>
      <c r="C314" s="13"/>
      <c r="D314" s="13"/>
      <c r="E314" s="13"/>
      <c r="F314" s="13"/>
      <c r="G314" s="13"/>
      <c r="H314" s="13"/>
      <c r="I314" s="13"/>
      <c r="J314" s="14"/>
      <c r="K314" s="14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" customHeight="1">
      <c r="A315" s="14"/>
      <c r="B315" s="13"/>
      <c r="C315" s="13"/>
      <c r="D315" s="13"/>
      <c r="E315" s="13"/>
      <c r="F315" s="13"/>
      <c r="G315" s="13"/>
      <c r="H315" s="13"/>
      <c r="I315" s="13"/>
      <c r="J315" s="14"/>
      <c r="K315" s="14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" customHeight="1">
      <c r="A316" s="14"/>
      <c r="B316" s="13"/>
      <c r="C316" s="13"/>
      <c r="D316" s="13"/>
      <c r="E316" s="13"/>
      <c r="F316" s="13"/>
      <c r="G316" s="13"/>
      <c r="H316" s="13"/>
      <c r="I316" s="13"/>
      <c r="J316" s="14"/>
      <c r="K316" s="14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" customHeight="1">
      <c r="A317" s="14"/>
      <c r="B317" s="13"/>
      <c r="C317" s="13"/>
      <c r="D317" s="13"/>
      <c r="E317" s="13"/>
      <c r="F317" s="13"/>
      <c r="G317" s="13"/>
      <c r="H317" s="13"/>
      <c r="I317" s="13"/>
      <c r="J317" s="14"/>
      <c r="K317" s="14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" customHeight="1">
      <c r="A318" s="14"/>
      <c r="B318" s="13"/>
      <c r="C318" s="13"/>
      <c r="D318" s="13"/>
      <c r="E318" s="13"/>
      <c r="F318" s="13"/>
      <c r="G318" s="13"/>
      <c r="H318" s="13"/>
      <c r="I318" s="13"/>
      <c r="J318" s="14"/>
      <c r="K318" s="14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" customHeight="1">
      <c r="A319" s="14"/>
      <c r="B319" s="13"/>
      <c r="C319" s="13"/>
      <c r="D319" s="13"/>
      <c r="E319" s="13"/>
      <c r="F319" s="13"/>
      <c r="G319" s="13"/>
      <c r="H319" s="13"/>
      <c r="I319" s="13"/>
      <c r="J319" s="14"/>
      <c r="K319" s="14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" customHeight="1">
      <c r="A320" s="14"/>
      <c r="B320" s="13"/>
      <c r="C320" s="13"/>
      <c r="D320" s="13"/>
      <c r="E320" s="13"/>
      <c r="F320" s="13"/>
      <c r="G320" s="13"/>
      <c r="H320" s="13"/>
      <c r="I320" s="13"/>
      <c r="J320" s="14"/>
      <c r="K320" s="14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" customHeight="1">
      <c r="A321" s="14"/>
      <c r="B321" s="13"/>
      <c r="C321" s="13"/>
      <c r="D321" s="13"/>
      <c r="E321" s="13"/>
      <c r="F321" s="13"/>
      <c r="G321" s="13"/>
      <c r="H321" s="13"/>
      <c r="I321" s="13"/>
      <c r="J321" s="14"/>
      <c r="K321" s="14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" customHeight="1">
      <c r="A322" s="14"/>
      <c r="B322" s="13"/>
      <c r="C322" s="13"/>
      <c r="D322" s="13"/>
      <c r="E322" s="13"/>
      <c r="F322" s="13"/>
      <c r="G322" s="13"/>
      <c r="H322" s="13"/>
      <c r="I322" s="13"/>
      <c r="J322" s="14"/>
      <c r="K322" s="14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" customHeight="1">
      <c r="A323" s="14"/>
      <c r="B323" s="13"/>
      <c r="C323" s="13"/>
      <c r="D323" s="13"/>
      <c r="E323" s="13"/>
      <c r="F323" s="13"/>
      <c r="G323" s="13"/>
      <c r="H323" s="13"/>
      <c r="I323" s="13"/>
      <c r="J323" s="14"/>
      <c r="K323" s="14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" customHeight="1">
      <c r="A324" s="14"/>
      <c r="B324" s="13"/>
      <c r="C324" s="13"/>
      <c r="D324" s="13"/>
      <c r="E324" s="13"/>
      <c r="F324" s="13"/>
      <c r="G324" s="13"/>
      <c r="H324" s="13"/>
      <c r="I324" s="13"/>
      <c r="J324" s="14"/>
      <c r="K324" s="14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" customHeight="1">
      <c r="A325" s="14"/>
      <c r="B325" s="13"/>
      <c r="C325" s="13"/>
      <c r="D325" s="13"/>
      <c r="E325" s="13"/>
      <c r="F325" s="13"/>
      <c r="G325" s="13"/>
      <c r="H325" s="13"/>
      <c r="I325" s="13"/>
      <c r="J325" s="14"/>
      <c r="K325" s="14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" customHeight="1">
      <c r="A326" s="14"/>
      <c r="B326" s="13"/>
      <c r="C326" s="13"/>
      <c r="D326" s="13"/>
      <c r="E326" s="13"/>
      <c r="F326" s="13"/>
      <c r="G326" s="13"/>
      <c r="H326" s="13"/>
      <c r="I326" s="13"/>
      <c r="J326" s="14"/>
      <c r="K326" s="14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" customHeight="1">
      <c r="A327" s="14"/>
      <c r="B327" s="13"/>
      <c r="C327" s="13"/>
      <c r="D327" s="13"/>
      <c r="E327" s="13"/>
      <c r="F327" s="13"/>
      <c r="G327" s="13"/>
      <c r="H327" s="13"/>
      <c r="I327" s="13"/>
      <c r="J327" s="14"/>
      <c r="K327" s="14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" customHeight="1">
      <c r="A328" s="14"/>
      <c r="B328" s="13"/>
      <c r="C328" s="13"/>
      <c r="D328" s="13"/>
      <c r="E328" s="13"/>
      <c r="F328" s="13"/>
      <c r="G328" s="13"/>
      <c r="H328" s="13"/>
      <c r="I328" s="13"/>
      <c r="J328" s="14"/>
      <c r="K328" s="14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" customHeight="1">
      <c r="A329" s="14"/>
      <c r="B329" s="13"/>
      <c r="C329" s="13"/>
      <c r="D329" s="13"/>
      <c r="E329" s="13"/>
      <c r="F329" s="13"/>
      <c r="G329" s="13"/>
      <c r="H329" s="13"/>
      <c r="I329" s="13"/>
      <c r="J329" s="14"/>
      <c r="K329" s="14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" customHeight="1">
      <c r="A330" s="14"/>
      <c r="B330" s="13"/>
      <c r="C330" s="13"/>
      <c r="D330" s="13"/>
      <c r="E330" s="13"/>
      <c r="F330" s="13"/>
      <c r="G330" s="13"/>
      <c r="H330" s="13"/>
      <c r="I330" s="13"/>
      <c r="J330" s="14"/>
      <c r="K330" s="14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" customHeight="1">
      <c r="A331" s="14"/>
      <c r="B331" s="13"/>
      <c r="C331" s="13"/>
      <c r="D331" s="13"/>
      <c r="E331" s="13"/>
      <c r="F331" s="13"/>
      <c r="G331" s="13"/>
      <c r="H331" s="13"/>
      <c r="I331" s="13"/>
      <c r="J331" s="14"/>
      <c r="K331" s="14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" customHeight="1">
      <c r="A332" s="14"/>
      <c r="B332" s="13"/>
      <c r="C332" s="13"/>
      <c r="D332" s="13"/>
      <c r="E332" s="13"/>
      <c r="F332" s="13"/>
      <c r="G332" s="13"/>
      <c r="H332" s="13"/>
      <c r="I332" s="13"/>
      <c r="J332" s="14"/>
      <c r="K332" s="14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" customHeight="1">
      <c r="A333" s="14"/>
      <c r="B333" s="13"/>
      <c r="C333" s="13"/>
      <c r="D333" s="13"/>
      <c r="E333" s="13"/>
      <c r="F333" s="13"/>
      <c r="G333" s="13"/>
      <c r="H333" s="13"/>
      <c r="I333" s="13"/>
      <c r="J333" s="14"/>
      <c r="K333" s="14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" customHeight="1">
      <c r="A334" s="14"/>
      <c r="B334" s="13"/>
      <c r="C334" s="13"/>
      <c r="D334" s="13"/>
      <c r="E334" s="13"/>
      <c r="F334" s="13"/>
      <c r="G334" s="13"/>
      <c r="H334" s="13"/>
      <c r="I334" s="13"/>
      <c r="J334" s="14"/>
      <c r="K334" s="14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" customHeight="1">
      <c r="A335" s="14"/>
      <c r="B335" s="13"/>
      <c r="C335" s="13"/>
      <c r="D335" s="13"/>
      <c r="E335" s="13"/>
      <c r="F335" s="13"/>
      <c r="G335" s="13"/>
      <c r="H335" s="13"/>
      <c r="I335" s="13"/>
      <c r="J335" s="14"/>
      <c r="K335" s="14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" customHeight="1">
      <c r="A336" s="14"/>
      <c r="B336" s="13"/>
      <c r="C336" s="13"/>
      <c r="D336" s="13"/>
      <c r="E336" s="13"/>
      <c r="F336" s="13"/>
      <c r="G336" s="13"/>
      <c r="H336" s="13"/>
      <c r="I336" s="13"/>
      <c r="J336" s="14"/>
      <c r="K336" s="14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" customHeight="1">
      <c r="A337" s="14"/>
      <c r="B337" s="13"/>
      <c r="C337" s="13"/>
      <c r="D337" s="13"/>
      <c r="E337" s="13"/>
      <c r="F337" s="13"/>
      <c r="G337" s="13"/>
      <c r="H337" s="13"/>
      <c r="I337" s="13"/>
      <c r="J337" s="14"/>
      <c r="K337" s="14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" customHeight="1">
      <c r="A338" s="14"/>
      <c r="B338" s="13"/>
      <c r="C338" s="13"/>
      <c r="D338" s="13"/>
      <c r="E338" s="13"/>
      <c r="F338" s="13"/>
      <c r="G338" s="13"/>
      <c r="H338" s="13"/>
      <c r="I338" s="13"/>
      <c r="J338" s="14"/>
      <c r="K338" s="14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" customHeight="1">
      <c r="A339" s="14"/>
      <c r="B339" s="13"/>
      <c r="C339" s="13"/>
      <c r="D339" s="13"/>
      <c r="E339" s="13"/>
      <c r="F339" s="13"/>
      <c r="G339" s="13"/>
      <c r="H339" s="13"/>
      <c r="I339" s="13"/>
      <c r="J339" s="14"/>
      <c r="K339" s="14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" customHeight="1">
      <c r="A340" s="14"/>
      <c r="B340" s="13"/>
      <c r="C340" s="13"/>
      <c r="D340" s="13"/>
      <c r="E340" s="13"/>
      <c r="F340" s="13"/>
      <c r="G340" s="13"/>
      <c r="H340" s="13"/>
      <c r="I340" s="13"/>
      <c r="J340" s="14"/>
      <c r="K340" s="14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" customHeight="1">
      <c r="A341" s="14"/>
      <c r="B341" s="13"/>
      <c r="C341" s="13"/>
      <c r="D341" s="13"/>
      <c r="E341" s="13"/>
      <c r="F341" s="13"/>
      <c r="G341" s="13"/>
      <c r="H341" s="13"/>
      <c r="I341" s="13"/>
      <c r="J341" s="14"/>
      <c r="K341" s="14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" customHeight="1">
      <c r="A342" s="14"/>
      <c r="B342" s="13"/>
      <c r="C342" s="13"/>
      <c r="D342" s="13"/>
      <c r="E342" s="13"/>
      <c r="F342" s="13"/>
      <c r="G342" s="13"/>
      <c r="H342" s="13"/>
      <c r="I342" s="13"/>
      <c r="J342" s="14"/>
      <c r="K342" s="14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" customHeight="1">
      <c r="A343" s="14"/>
      <c r="B343" s="13"/>
      <c r="C343" s="13"/>
      <c r="D343" s="13"/>
      <c r="E343" s="13"/>
      <c r="F343" s="13"/>
      <c r="G343" s="13"/>
      <c r="H343" s="13"/>
      <c r="I343" s="13"/>
      <c r="J343" s="14"/>
      <c r="K343" s="14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" customHeight="1">
      <c r="A344" s="14"/>
      <c r="B344" s="13"/>
      <c r="C344" s="13"/>
      <c r="D344" s="13"/>
      <c r="E344" s="13"/>
      <c r="F344" s="13"/>
      <c r="G344" s="13"/>
      <c r="H344" s="13"/>
      <c r="I344" s="13"/>
      <c r="J344" s="14"/>
      <c r="K344" s="14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" customHeight="1">
      <c r="A345" s="14"/>
      <c r="B345" s="13"/>
      <c r="C345" s="13"/>
      <c r="D345" s="13"/>
      <c r="E345" s="13"/>
      <c r="F345" s="13"/>
      <c r="G345" s="13"/>
      <c r="H345" s="13"/>
      <c r="I345" s="13"/>
      <c r="J345" s="14"/>
      <c r="K345" s="14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" customHeight="1">
      <c r="A346" s="14"/>
      <c r="B346" s="13"/>
      <c r="C346" s="13"/>
      <c r="D346" s="13"/>
      <c r="E346" s="13"/>
      <c r="F346" s="13"/>
      <c r="G346" s="13"/>
      <c r="H346" s="13"/>
      <c r="I346" s="13"/>
      <c r="J346" s="14"/>
      <c r="K346" s="14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" customHeight="1">
      <c r="A347" s="14"/>
      <c r="B347" s="13"/>
      <c r="C347" s="13"/>
      <c r="D347" s="13"/>
      <c r="E347" s="13"/>
      <c r="F347" s="13"/>
      <c r="G347" s="13"/>
      <c r="H347" s="13"/>
      <c r="I347" s="13"/>
      <c r="J347" s="14"/>
      <c r="K347" s="14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" customHeight="1">
      <c r="A348" s="14"/>
      <c r="B348" s="13"/>
      <c r="C348" s="13"/>
      <c r="D348" s="13"/>
      <c r="E348" s="13"/>
      <c r="F348" s="13"/>
      <c r="G348" s="13"/>
      <c r="H348" s="13"/>
      <c r="I348" s="13"/>
      <c r="J348" s="14"/>
      <c r="K348" s="14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" customHeight="1">
      <c r="A349" s="14"/>
      <c r="B349" s="13"/>
      <c r="C349" s="13"/>
      <c r="D349" s="13"/>
      <c r="E349" s="13"/>
      <c r="F349" s="13"/>
      <c r="G349" s="13"/>
      <c r="H349" s="13"/>
      <c r="I349" s="13"/>
      <c r="J349" s="14"/>
      <c r="K349" s="14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" customHeight="1">
      <c r="A350" s="14"/>
      <c r="B350" s="13"/>
      <c r="C350" s="13"/>
      <c r="D350" s="13"/>
      <c r="E350" s="13"/>
      <c r="F350" s="13"/>
      <c r="G350" s="13"/>
      <c r="H350" s="13"/>
      <c r="I350" s="13"/>
      <c r="J350" s="14"/>
      <c r="K350" s="14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" customHeight="1">
      <c r="A351" s="14"/>
      <c r="B351" s="13"/>
      <c r="C351" s="13"/>
      <c r="D351" s="13"/>
      <c r="E351" s="13"/>
      <c r="F351" s="13"/>
      <c r="G351" s="13"/>
      <c r="H351" s="13"/>
      <c r="I351" s="13"/>
      <c r="J351" s="14"/>
      <c r="K351" s="14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" customHeight="1">
      <c r="A352" s="14"/>
      <c r="B352" s="13"/>
      <c r="C352" s="13"/>
      <c r="D352" s="13"/>
      <c r="E352" s="13"/>
      <c r="F352" s="13"/>
      <c r="G352" s="13"/>
      <c r="H352" s="13"/>
      <c r="I352" s="13"/>
      <c r="J352" s="14"/>
      <c r="K352" s="14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" customHeight="1">
      <c r="A353" s="14"/>
      <c r="B353" s="13"/>
      <c r="C353" s="13"/>
      <c r="D353" s="13"/>
      <c r="E353" s="13"/>
      <c r="F353" s="13"/>
      <c r="G353" s="13"/>
      <c r="H353" s="13"/>
      <c r="I353" s="13"/>
      <c r="J353" s="14"/>
      <c r="K353" s="14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" customHeight="1">
      <c r="A354" s="14"/>
      <c r="B354" s="13"/>
      <c r="C354" s="13"/>
      <c r="D354" s="13"/>
      <c r="E354" s="13"/>
      <c r="F354" s="13"/>
      <c r="G354" s="13"/>
      <c r="H354" s="13"/>
      <c r="I354" s="13"/>
      <c r="J354" s="14"/>
      <c r="K354" s="14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" customHeight="1">
      <c r="A355" s="14"/>
      <c r="B355" s="13"/>
      <c r="C355" s="13"/>
      <c r="D355" s="13"/>
      <c r="E355" s="13"/>
      <c r="F355" s="13"/>
      <c r="G355" s="13"/>
      <c r="H355" s="13"/>
      <c r="I355" s="13"/>
      <c r="J355" s="14"/>
      <c r="K355" s="14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" customHeight="1">
      <c r="A356" s="14"/>
      <c r="B356" s="13"/>
      <c r="C356" s="13"/>
      <c r="D356" s="13"/>
      <c r="E356" s="13"/>
      <c r="F356" s="13"/>
      <c r="G356" s="13"/>
      <c r="H356" s="13"/>
      <c r="I356" s="13"/>
      <c r="J356" s="14"/>
      <c r="K356" s="14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" customHeight="1">
      <c r="A357" s="14"/>
      <c r="B357" s="13"/>
      <c r="C357" s="13"/>
      <c r="D357" s="13"/>
      <c r="E357" s="13"/>
      <c r="F357" s="13"/>
      <c r="G357" s="13"/>
      <c r="H357" s="13"/>
      <c r="I357" s="13"/>
      <c r="J357" s="14"/>
      <c r="K357" s="14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" customHeight="1">
      <c r="A358" s="14"/>
      <c r="B358" s="13"/>
      <c r="C358" s="13"/>
      <c r="D358" s="13"/>
      <c r="E358" s="13"/>
      <c r="F358" s="13"/>
      <c r="G358" s="13"/>
      <c r="H358" s="13"/>
      <c r="I358" s="13"/>
      <c r="J358" s="14"/>
      <c r="K358" s="14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" customHeight="1">
      <c r="A359" s="14"/>
      <c r="B359" s="13"/>
      <c r="C359" s="13"/>
      <c r="D359" s="13"/>
      <c r="E359" s="13"/>
      <c r="F359" s="13"/>
      <c r="G359" s="13"/>
      <c r="H359" s="13"/>
      <c r="I359" s="13"/>
      <c r="J359" s="14"/>
      <c r="K359" s="14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" customHeight="1">
      <c r="A360" s="14"/>
      <c r="B360" s="13"/>
      <c r="C360" s="13"/>
      <c r="D360" s="13"/>
      <c r="E360" s="13"/>
      <c r="F360" s="13"/>
      <c r="G360" s="13"/>
      <c r="H360" s="13"/>
      <c r="I360" s="13"/>
      <c r="J360" s="14"/>
      <c r="K360" s="14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" customHeight="1">
      <c r="A361" s="14"/>
      <c r="B361" s="13"/>
      <c r="C361" s="13"/>
      <c r="D361" s="13"/>
      <c r="E361" s="13"/>
      <c r="F361" s="13"/>
      <c r="G361" s="13"/>
      <c r="H361" s="13"/>
      <c r="I361" s="13"/>
      <c r="J361" s="14"/>
      <c r="K361" s="14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" customHeight="1">
      <c r="A362" s="14"/>
      <c r="B362" s="13"/>
      <c r="C362" s="13"/>
      <c r="D362" s="13"/>
      <c r="E362" s="13"/>
      <c r="F362" s="13"/>
      <c r="G362" s="13"/>
      <c r="H362" s="13"/>
      <c r="I362" s="13"/>
      <c r="J362" s="14"/>
      <c r="K362" s="14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" customHeight="1">
      <c r="A363" s="14"/>
      <c r="B363" s="13"/>
      <c r="C363" s="13"/>
      <c r="D363" s="13"/>
      <c r="E363" s="13"/>
      <c r="F363" s="13"/>
      <c r="G363" s="13"/>
      <c r="H363" s="13"/>
      <c r="I363" s="13"/>
      <c r="J363" s="14"/>
      <c r="K363" s="14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" customHeight="1">
      <c r="A364" s="14"/>
      <c r="B364" s="13"/>
      <c r="C364" s="13"/>
      <c r="D364" s="13"/>
      <c r="E364" s="13"/>
      <c r="F364" s="13"/>
      <c r="G364" s="13"/>
      <c r="H364" s="13"/>
      <c r="I364" s="13"/>
      <c r="J364" s="14"/>
      <c r="K364" s="14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" customHeight="1">
      <c r="A365" s="14"/>
      <c r="B365" s="13"/>
      <c r="C365" s="13"/>
      <c r="D365" s="13"/>
      <c r="E365" s="13"/>
      <c r="F365" s="13"/>
      <c r="G365" s="13"/>
      <c r="H365" s="13"/>
      <c r="I365" s="13"/>
      <c r="J365" s="14"/>
      <c r="K365" s="14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" customHeight="1">
      <c r="A366" s="14"/>
      <c r="B366" s="13"/>
      <c r="C366" s="13"/>
      <c r="D366" s="13"/>
      <c r="E366" s="13"/>
      <c r="F366" s="13"/>
      <c r="G366" s="13"/>
      <c r="H366" s="13"/>
      <c r="I366" s="13"/>
      <c r="J366" s="14"/>
      <c r="K366" s="14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" customHeight="1">
      <c r="A367" s="14"/>
      <c r="B367" s="13"/>
      <c r="C367" s="13"/>
      <c r="D367" s="13"/>
      <c r="E367" s="13"/>
      <c r="F367" s="13"/>
      <c r="G367" s="13"/>
      <c r="H367" s="13"/>
      <c r="I367" s="13"/>
      <c r="J367" s="14"/>
      <c r="K367" s="14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" customHeight="1">
      <c r="A368" s="14"/>
      <c r="B368" s="13"/>
      <c r="C368" s="13"/>
      <c r="D368" s="13"/>
      <c r="E368" s="13"/>
      <c r="F368" s="13"/>
      <c r="G368" s="13"/>
      <c r="H368" s="13"/>
      <c r="I368" s="13"/>
      <c r="J368" s="14"/>
      <c r="K368" s="14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" customHeight="1">
      <c r="A369" s="14"/>
      <c r="B369" s="13"/>
      <c r="C369" s="13"/>
      <c r="D369" s="13"/>
      <c r="E369" s="13"/>
      <c r="F369" s="13"/>
      <c r="G369" s="13"/>
      <c r="H369" s="13"/>
      <c r="I369" s="13"/>
      <c r="J369" s="14"/>
      <c r="K369" s="14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" customHeight="1">
      <c r="A370" s="14"/>
      <c r="B370" s="13"/>
      <c r="C370" s="13"/>
      <c r="D370" s="13"/>
      <c r="E370" s="13"/>
      <c r="F370" s="13"/>
      <c r="G370" s="13"/>
      <c r="H370" s="13"/>
      <c r="I370" s="13"/>
      <c r="J370" s="14"/>
      <c r="K370" s="14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" customHeight="1">
      <c r="A371" s="14"/>
      <c r="B371" s="13"/>
      <c r="C371" s="13"/>
      <c r="D371" s="13"/>
      <c r="E371" s="13"/>
      <c r="F371" s="13"/>
      <c r="G371" s="13"/>
      <c r="H371" s="13"/>
      <c r="I371" s="13"/>
      <c r="J371" s="14"/>
      <c r="K371" s="14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" customHeight="1">
      <c r="A372" s="14"/>
      <c r="B372" s="13"/>
      <c r="C372" s="13"/>
      <c r="D372" s="13"/>
      <c r="E372" s="13"/>
      <c r="F372" s="13"/>
      <c r="G372" s="13"/>
      <c r="H372" s="13"/>
      <c r="I372" s="13"/>
      <c r="J372" s="14"/>
      <c r="K372" s="14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" customHeight="1">
      <c r="A373" s="14"/>
      <c r="B373" s="13"/>
      <c r="C373" s="13"/>
      <c r="D373" s="13"/>
      <c r="E373" s="13"/>
      <c r="F373" s="13"/>
      <c r="G373" s="13"/>
      <c r="H373" s="13"/>
      <c r="I373" s="13"/>
      <c r="J373" s="14"/>
      <c r="K373" s="14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" customHeight="1">
      <c r="A374" s="14"/>
      <c r="B374" s="13"/>
      <c r="C374" s="13"/>
      <c r="D374" s="13"/>
      <c r="E374" s="13"/>
      <c r="F374" s="13"/>
      <c r="G374" s="13"/>
      <c r="H374" s="13"/>
      <c r="I374" s="13"/>
      <c r="J374" s="14"/>
      <c r="K374" s="14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" customHeight="1">
      <c r="A375" s="14"/>
      <c r="B375" s="13"/>
      <c r="C375" s="13"/>
      <c r="D375" s="13"/>
      <c r="E375" s="13"/>
      <c r="F375" s="13"/>
      <c r="G375" s="13"/>
      <c r="H375" s="13"/>
      <c r="I375" s="13"/>
      <c r="J375" s="14"/>
      <c r="K375" s="14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" customHeight="1">
      <c r="A376" s="14"/>
      <c r="B376" s="13"/>
      <c r="C376" s="13"/>
      <c r="D376" s="13"/>
      <c r="E376" s="13"/>
      <c r="F376" s="13"/>
      <c r="G376" s="13"/>
      <c r="H376" s="13"/>
      <c r="I376" s="13"/>
      <c r="J376" s="14"/>
      <c r="K376" s="14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" customHeight="1">
      <c r="A377" s="14"/>
      <c r="B377" s="13"/>
      <c r="C377" s="13"/>
      <c r="D377" s="13"/>
      <c r="E377" s="13"/>
      <c r="F377" s="13"/>
      <c r="G377" s="13"/>
      <c r="H377" s="13"/>
      <c r="I377" s="13"/>
      <c r="J377" s="14"/>
      <c r="K377" s="14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" customHeight="1">
      <c r="A378" s="14"/>
      <c r="B378" s="13"/>
      <c r="C378" s="13"/>
      <c r="D378" s="13"/>
      <c r="E378" s="13"/>
      <c r="F378" s="13"/>
      <c r="G378" s="13"/>
      <c r="H378" s="13"/>
      <c r="I378" s="13"/>
      <c r="J378" s="14"/>
      <c r="K378" s="14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" customHeight="1">
      <c r="A379" s="14"/>
      <c r="B379" s="13"/>
      <c r="C379" s="13"/>
      <c r="D379" s="13"/>
      <c r="E379" s="13"/>
      <c r="F379" s="13"/>
      <c r="G379" s="13"/>
      <c r="H379" s="13"/>
      <c r="I379" s="13"/>
      <c r="J379" s="14"/>
      <c r="K379" s="14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" customHeight="1">
      <c r="A380" s="14"/>
      <c r="B380" s="13"/>
      <c r="C380" s="13"/>
      <c r="D380" s="13"/>
      <c r="E380" s="13"/>
      <c r="F380" s="13"/>
      <c r="G380" s="13"/>
      <c r="H380" s="13"/>
      <c r="I380" s="13"/>
      <c r="J380" s="14"/>
      <c r="K380" s="14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" customHeight="1">
      <c r="A381" s="14"/>
      <c r="B381" s="13"/>
      <c r="C381" s="13"/>
      <c r="D381" s="13"/>
      <c r="E381" s="13"/>
      <c r="F381" s="13"/>
      <c r="G381" s="13"/>
      <c r="H381" s="13"/>
      <c r="I381" s="13"/>
      <c r="J381" s="14"/>
      <c r="K381" s="14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" customHeight="1">
      <c r="A382" s="14"/>
      <c r="B382" s="13"/>
      <c r="C382" s="13"/>
      <c r="D382" s="13"/>
      <c r="E382" s="13"/>
      <c r="F382" s="13"/>
      <c r="G382" s="13"/>
      <c r="H382" s="13"/>
      <c r="I382" s="13"/>
      <c r="J382" s="14"/>
      <c r="K382" s="14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" customHeight="1">
      <c r="A383" s="14"/>
      <c r="B383" s="13"/>
      <c r="C383" s="13"/>
      <c r="D383" s="13"/>
      <c r="E383" s="13"/>
      <c r="F383" s="13"/>
      <c r="G383" s="13"/>
      <c r="H383" s="13"/>
      <c r="I383" s="13"/>
      <c r="J383" s="14"/>
      <c r="K383" s="14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" customHeight="1">
      <c r="A384" s="14"/>
      <c r="B384" s="13"/>
      <c r="C384" s="13"/>
      <c r="D384" s="13"/>
      <c r="E384" s="13"/>
      <c r="F384" s="13"/>
      <c r="G384" s="13"/>
      <c r="H384" s="13"/>
      <c r="I384" s="13"/>
      <c r="J384" s="14"/>
      <c r="K384" s="14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" customHeight="1">
      <c r="A385" s="14"/>
      <c r="B385" s="13"/>
      <c r="C385" s="13"/>
      <c r="D385" s="13"/>
      <c r="E385" s="13"/>
      <c r="F385" s="13"/>
      <c r="G385" s="13"/>
      <c r="H385" s="13"/>
      <c r="I385" s="13"/>
      <c r="J385" s="14"/>
      <c r="K385" s="14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" customHeight="1">
      <c r="A386" s="14"/>
      <c r="B386" s="13"/>
      <c r="C386" s="13"/>
      <c r="D386" s="13"/>
      <c r="E386" s="13"/>
      <c r="F386" s="13"/>
      <c r="G386" s="13"/>
      <c r="H386" s="13"/>
      <c r="I386" s="13"/>
      <c r="J386" s="14"/>
      <c r="K386" s="14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" customHeight="1">
      <c r="A387" s="14"/>
      <c r="B387" s="13"/>
      <c r="C387" s="13"/>
      <c r="D387" s="13"/>
      <c r="E387" s="13"/>
      <c r="F387" s="13"/>
      <c r="G387" s="13"/>
      <c r="H387" s="13"/>
      <c r="I387" s="13"/>
      <c r="J387" s="14"/>
      <c r="K387" s="14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" customHeight="1">
      <c r="A388" s="14"/>
      <c r="B388" s="13"/>
      <c r="C388" s="13"/>
      <c r="D388" s="13"/>
      <c r="E388" s="13"/>
      <c r="F388" s="13"/>
      <c r="G388" s="13"/>
      <c r="H388" s="13"/>
      <c r="I388" s="13"/>
      <c r="J388" s="14"/>
      <c r="K388" s="14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" customHeight="1">
      <c r="A389" s="14"/>
      <c r="B389" s="13"/>
      <c r="C389" s="13"/>
      <c r="D389" s="13"/>
      <c r="E389" s="13"/>
      <c r="F389" s="13"/>
      <c r="G389" s="13"/>
      <c r="H389" s="13"/>
      <c r="I389" s="13"/>
      <c r="J389" s="14"/>
      <c r="K389" s="14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" customHeight="1">
      <c r="A390" s="14"/>
      <c r="B390" s="13"/>
      <c r="C390" s="13"/>
      <c r="D390" s="13"/>
      <c r="E390" s="13"/>
      <c r="F390" s="13"/>
      <c r="G390" s="13"/>
      <c r="H390" s="13"/>
      <c r="I390" s="13"/>
      <c r="J390" s="14"/>
      <c r="K390" s="14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" customHeight="1">
      <c r="A391" s="14"/>
      <c r="B391" s="13"/>
      <c r="C391" s="13"/>
      <c r="D391" s="13"/>
      <c r="E391" s="13"/>
      <c r="F391" s="13"/>
      <c r="G391" s="13"/>
      <c r="H391" s="13"/>
      <c r="I391" s="13"/>
      <c r="J391" s="14"/>
      <c r="K391" s="14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" customHeight="1">
      <c r="A392" s="14"/>
      <c r="B392" s="13"/>
      <c r="C392" s="13"/>
      <c r="D392" s="13"/>
      <c r="E392" s="13"/>
      <c r="F392" s="13"/>
      <c r="G392" s="13"/>
      <c r="H392" s="13"/>
      <c r="I392" s="13"/>
      <c r="J392" s="14"/>
      <c r="K392" s="14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" customHeight="1">
      <c r="A393" s="14"/>
      <c r="B393" s="13"/>
      <c r="C393" s="13"/>
      <c r="D393" s="13"/>
      <c r="E393" s="13"/>
      <c r="F393" s="13"/>
      <c r="G393" s="13"/>
      <c r="H393" s="13"/>
      <c r="I393" s="13"/>
      <c r="J393" s="14"/>
      <c r="K393" s="14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" customHeight="1">
      <c r="A394" s="14"/>
      <c r="B394" s="13"/>
      <c r="C394" s="13"/>
      <c r="D394" s="13"/>
      <c r="E394" s="13"/>
      <c r="F394" s="13"/>
      <c r="G394" s="13"/>
      <c r="H394" s="13"/>
      <c r="I394" s="13"/>
      <c r="J394" s="14"/>
      <c r="K394" s="14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" customHeight="1">
      <c r="A395" s="14"/>
      <c r="B395" s="13"/>
      <c r="C395" s="13"/>
      <c r="D395" s="13"/>
      <c r="E395" s="13"/>
      <c r="F395" s="13"/>
      <c r="G395" s="13"/>
      <c r="H395" s="13"/>
      <c r="I395" s="13"/>
      <c r="J395" s="14"/>
      <c r="K395" s="14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" customHeight="1">
      <c r="A396" s="14"/>
      <c r="B396" s="13"/>
      <c r="C396" s="13"/>
      <c r="D396" s="13"/>
      <c r="E396" s="13"/>
      <c r="F396" s="13"/>
      <c r="G396" s="13"/>
      <c r="H396" s="13"/>
      <c r="I396" s="13"/>
      <c r="J396" s="14"/>
      <c r="K396" s="14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" customHeight="1">
      <c r="A397" s="14"/>
      <c r="B397" s="13"/>
      <c r="C397" s="13"/>
      <c r="D397" s="13"/>
      <c r="E397" s="13"/>
      <c r="F397" s="13"/>
      <c r="G397" s="13"/>
      <c r="H397" s="13"/>
      <c r="I397" s="13"/>
      <c r="J397" s="14"/>
      <c r="K397" s="14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" customHeight="1">
      <c r="A398" s="14"/>
      <c r="B398" s="13"/>
      <c r="C398" s="13"/>
      <c r="D398" s="13"/>
      <c r="E398" s="13"/>
      <c r="F398" s="13"/>
      <c r="G398" s="13"/>
      <c r="H398" s="13"/>
      <c r="I398" s="13"/>
      <c r="J398" s="14"/>
      <c r="K398" s="14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" customHeight="1">
      <c r="A399" s="14"/>
      <c r="B399" s="13"/>
      <c r="C399" s="13"/>
      <c r="D399" s="13"/>
      <c r="E399" s="13"/>
      <c r="F399" s="13"/>
      <c r="G399" s="13"/>
      <c r="H399" s="13"/>
      <c r="I399" s="13"/>
      <c r="J399" s="14"/>
      <c r="K399" s="14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" customHeight="1">
      <c r="A400" s="14"/>
      <c r="B400" s="13"/>
      <c r="C400" s="13"/>
      <c r="D400" s="13"/>
      <c r="E400" s="13"/>
      <c r="F400" s="13"/>
      <c r="G400" s="13"/>
      <c r="H400" s="13"/>
      <c r="I400" s="13"/>
      <c r="J400" s="14"/>
      <c r="K400" s="14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" customHeight="1">
      <c r="A401" s="14"/>
      <c r="B401" s="13"/>
      <c r="C401" s="13"/>
      <c r="D401" s="13"/>
      <c r="E401" s="13"/>
      <c r="F401" s="13"/>
      <c r="G401" s="13"/>
      <c r="H401" s="13"/>
      <c r="I401" s="13"/>
      <c r="J401" s="14"/>
      <c r="K401" s="14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" customHeight="1">
      <c r="A402" s="14"/>
      <c r="B402" s="13"/>
      <c r="C402" s="13"/>
      <c r="D402" s="13"/>
      <c r="E402" s="13"/>
      <c r="F402" s="13"/>
      <c r="G402" s="13"/>
      <c r="H402" s="13"/>
      <c r="I402" s="13"/>
      <c r="J402" s="14"/>
      <c r="K402" s="14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" customHeight="1">
      <c r="A403" s="14"/>
      <c r="B403" s="13"/>
      <c r="C403" s="13"/>
      <c r="D403" s="13"/>
      <c r="E403" s="13"/>
      <c r="F403" s="13"/>
      <c r="G403" s="13"/>
      <c r="H403" s="13"/>
      <c r="I403" s="13"/>
      <c r="J403" s="14"/>
      <c r="K403" s="14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" customHeight="1">
      <c r="A404" s="14"/>
      <c r="B404" s="13"/>
      <c r="C404" s="13"/>
      <c r="D404" s="13"/>
      <c r="E404" s="13"/>
      <c r="F404" s="13"/>
      <c r="G404" s="13"/>
      <c r="H404" s="13"/>
      <c r="I404" s="13"/>
      <c r="J404" s="14"/>
      <c r="K404" s="14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" customHeight="1">
      <c r="A405" s="14"/>
      <c r="B405" s="13"/>
      <c r="C405" s="13"/>
      <c r="D405" s="13"/>
      <c r="E405" s="13"/>
      <c r="F405" s="13"/>
      <c r="G405" s="13"/>
      <c r="H405" s="13"/>
      <c r="I405" s="13"/>
      <c r="J405" s="14"/>
      <c r="K405" s="14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" customHeight="1">
      <c r="A406" s="14"/>
      <c r="B406" s="13"/>
      <c r="C406" s="13"/>
      <c r="D406" s="13"/>
      <c r="E406" s="13"/>
      <c r="F406" s="13"/>
      <c r="G406" s="13"/>
      <c r="H406" s="13"/>
      <c r="I406" s="13"/>
      <c r="J406" s="14"/>
      <c r="K406" s="14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" customHeight="1">
      <c r="A407" s="14"/>
      <c r="B407" s="13"/>
      <c r="C407" s="13"/>
      <c r="D407" s="13"/>
      <c r="E407" s="13"/>
      <c r="F407" s="13"/>
      <c r="G407" s="13"/>
      <c r="H407" s="13"/>
      <c r="I407" s="13"/>
      <c r="J407" s="14"/>
      <c r="K407" s="14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" customHeight="1">
      <c r="A408" s="14"/>
      <c r="B408" s="13"/>
      <c r="C408" s="13"/>
      <c r="D408" s="13"/>
      <c r="E408" s="13"/>
      <c r="F408" s="13"/>
      <c r="G408" s="13"/>
      <c r="H408" s="13"/>
      <c r="I408" s="13"/>
      <c r="J408" s="14"/>
      <c r="K408" s="14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" customHeight="1">
      <c r="A409" s="14"/>
      <c r="B409" s="13"/>
      <c r="C409" s="13"/>
      <c r="D409" s="13"/>
      <c r="E409" s="13"/>
      <c r="F409" s="13"/>
      <c r="G409" s="13"/>
      <c r="H409" s="13"/>
      <c r="I409" s="13"/>
      <c r="J409" s="14"/>
      <c r="K409" s="14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" customHeight="1">
      <c r="A410" s="14"/>
      <c r="B410" s="13"/>
      <c r="C410" s="13"/>
      <c r="D410" s="13"/>
      <c r="E410" s="13"/>
      <c r="F410" s="13"/>
      <c r="G410" s="13"/>
      <c r="H410" s="13"/>
      <c r="I410" s="13"/>
      <c r="J410" s="14"/>
      <c r="K410" s="14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" customHeight="1">
      <c r="A411" s="14"/>
      <c r="B411" s="13"/>
      <c r="C411" s="13"/>
      <c r="D411" s="13"/>
      <c r="E411" s="13"/>
      <c r="F411" s="13"/>
      <c r="G411" s="13"/>
      <c r="H411" s="13"/>
      <c r="I411" s="13"/>
      <c r="J411" s="14"/>
      <c r="K411" s="14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" customHeight="1">
      <c r="A412" s="14"/>
      <c r="B412" s="13"/>
      <c r="C412" s="13"/>
      <c r="D412" s="13"/>
      <c r="E412" s="13"/>
      <c r="F412" s="13"/>
      <c r="G412" s="13"/>
      <c r="H412" s="13"/>
      <c r="I412" s="13"/>
      <c r="J412" s="14"/>
      <c r="K412" s="14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" customHeight="1">
      <c r="A413" s="14"/>
      <c r="B413" s="13"/>
      <c r="C413" s="13"/>
      <c r="D413" s="13"/>
      <c r="E413" s="13"/>
      <c r="F413" s="13"/>
      <c r="G413" s="13"/>
      <c r="H413" s="13"/>
      <c r="I413" s="13"/>
      <c r="J413" s="14"/>
      <c r="K413" s="14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" customHeight="1">
      <c r="A414" s="14"/>
      <c r="B414" s="13"/>
      <c r="C414" s="13"/>
      <c r="D414" s="13"/>
      <c r="E414" s="13"/>
      <c r="F414" s="13"/>
      <c r="G414" s="13"/>
      <c r="H414" s="13"/>
      <c r="I414" s="13"/>
      <c r="J414" s="14"/>
      <c r="K414" s="14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" customHeight="1">
      <c r="A415" s="14"/>
      <c r="B415" s="13"/>
      <c r="C415" s="13"/>
      <c r="D415" s="13"/>
      <c r="E415" s="13"/>
      <c r="F415" s="13"/>
      <c r="G415" s="13"/>
      <c r="H415" s="13"/>
      <c r="I415" s="13"/>
      <c r="J415" s="14"/>
      <c r="K415" s="14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" customHeight="1">
      <c r="A416" s="14"/>
      <c r="B416" s="13"/>
      <c r="C416" s="13"/>
      <c r="D416" s="13"/>
      <c r="E416" s="13"/>
      <c r="F416" s="13"/>
      <c r="G416" s="13"/>
      <c r="H416" s="13"/>
      <c r="I416" s="13"/>
      <c r="J416" s="14"/>
      <c r="K416" s="14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" customHeight="1">
      <c r="A417" s="14"/>
      <c r="B417" s="13"/>
      <c r="C417" s="13"/>
      <c r="D417" s="13"/>
      <c r="E417" s="13"/>
      <c r="F417" s="13"/>
      <c r="G417" s="13"/>
      <c r="H417" s="13"/>
      <c r="I417" s="13"/>
      <c r="J417" s="14"/>
      <c r="K417" s="14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" customHeight="1">
      <c r="A418" s="14"/>
      <c r="B418" s="13"/>
      <c r="C418" s="13"/>
      <c r="D418" s="13"/>
      <c r="E418" s="13"/>
      <c r="F418" s="13"/>
      <c r="G418" s="13"/>
      <c r="H418" s="13"/>
      <c r="I418" s="13"/>
      <c r="J418" s="14"/>
      <c r="K418" s="14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" customHeight="1">
      <c r="A419" s="14"/>
      <c r="B419" s="13"/>
      <c r="C419" s="13"/>
      <c r="D419" s="13"/>
      <c r="E419" s="13"/>
      <c r="F419" s="13"/>
      <c r="G419" s="13"/>
      <c r="H419" s="13"/>
      <c r="I419" s="13"/>
      <c r="J419" s="14"/>
      <c r="K419" s="14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" customHeight="1">
      <c r="A420" s="14"/>
      <c r="B420" s="13"/>
      <c r="C420" s="13"/>
      <c r="D420" s="13"/>
      <c r="E420" s="13"/>
      <c r="F420" s="13"/>
      <c r="G420" s="13"/>
      <c r="H420" s="13"/>
      <c r="I420" s="13"/>
      <c r="J420" s="14"/>
      <c r="K420" s="14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" customHeight="1">
      <c r="A421" s="14"/>
      <c r="B421" s="13"/>
      <c r="C421" s="13"/>
      <c r="D421" s="13"/>
      <c r="E421" s="13"/>
      <c r="F421" s="13"/>
      <c r="G421" s="13"/>
      <c r="H421" s="13"/>
      <c r="I421" s="13"/>
      <c r="J421" s="14"/>
      <c r="K421" s="14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" customHeight="1">
      <c r="A422" s="14"/>
      <c r="B422" s="13"/>
      <c r="C422" s="13"/>
      <c r="D422" s="13"/>
      <c r="E422" s="13"/>
      <c r="F422" s="13"/>
      <c r="G422" s="13"/>
      <c r="H422" s="13"/>
      <c r="I422" s="13"/>
      <c r="J422" s="14"/>
      <c r="K422" s="14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" customHeight="1">
      <c r="A423" s="14"/>
      <c r="B423" s="13"/>
      <c r="C423" s="13"/>
      <c r="D423" s="13"/>
      <c r="E423" s="13"/>
      <c r="F423" s="13"/>
      <c r="G423" s="13"/>
      <c r="H423" s="13"/>
      <c r="I423" s="13"/>
      <c r="J423" s="14"/>
      <c r="K423" s="14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" customHeight="1">
      <c r="A424" s="14"/>
      <c r="B424" s="13"/>
      <c r="C424" s="13"/>
      <c r="D424" s="13"/>
      <c r="E424" s="13"/>
      <c r="F424" s="13"/>
      <c r="G424" s="13"/>
      <c r="H424" s="13"/>
      <c r="I424" s="13"/>
      <c r="J424" s="14"/>
      <c r="K424" s="14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" customHeight="1">
      <c r="A425" s="14"/>
      <c r="B425" s="13"/>
      <c r="C425" s="13"/>
      <c r="D425" s="13"/>
      <c r="E425" s="13"/>
      <c r="F425" s="13"/>
      <c r="G425" s="13"/>
      <c r="H425" s="13"/>
      <c r="I425" s="13"/>
      <c r="J425" s="14"/>
      <c r="K425" s="14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" customHeight="1">
      <c r="A426" s="14"/>
      <c r="B426" s="13"/>
      <c r="C426" s="13"/>
      <c r="D426" s="13"/>
      <c r="E426" s="13"/>
      <c r="F426" s="13"/>
      <c r="G426" s="13"/>
      <c r="H426" s="13"/>
      <c r="I426" s="13"/>
      <c r="J426" s="14"/>
      <c r="K426" s="14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" customHeight="1">
      <c r="A427" s="14"/>
      <c r="B427" s="13"/>
      <c r="C427" s="13"/>
      <c r="D427" s="13"/>
      <c r="E427" s="13"/>
      <c r="F427" s="13"/>
      <c r="G427" s="13"/>
      <c r="H427" s="13"/>
      <c r="I427" s="13"/>
      <c r="J427" s="14"/>
      <c r="K427" s="14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" customHeight="1">
      <c r="A428" s="14"/>
      <c r="B428" s="13"/>
      <c r="C428" s="13"/>
      <c r="D428" s="13"/>
      <c r="E428" s="13"/>
      <c r="F428" s="13"/>
      <c r="G428" s="13"/>
      <c r="H428" s="13"/>
      <c r="I428" s="13"/>
      <c r="J428" s="14"/>
      <c r="K428" s="14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" customHeight="1">
      <c r="A429" s="14"/>
      <c r="B429" s="13"/>
      <c r="C429" s="13"/>
      <c r="D429" s="13"/>
      <c r="E429" s="13"/>
      <c r="F429" s="13"/>
      <c r="G429" s="13"/>
      <c r="H429" s="13"/>
      <c r="I429" s="13"/>
      <c r="J429" s="14"/>
      <c r="K429" s="14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" customHeight="1">
      <c r="A430" s="14"/>
      <c r="B430" s="13"/>
      <c r="C430" s="13"/>
      <c r="D430" s="13"/>
      <c r="E430" s="13"/>
      <c r="F430" s="13"/>
      <c r="G430" s="13"/>
      <c r="H430" s="13"/>
      <c r="I430" s="13"/>
      <c r="J430" s="14"/>
      <c r="K430" s="14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" customHeight="1">
      <c r="A431" s="14"/>
      <c r="B431" s="13"/>
      <c r="C431" s="13"/>
      <c r="D431" s="13"/>
      <c r="E431" s="13"/>
      <c r="F431" s="13"/>
      <c r="G431" s="13"/>
      <c r="H431" s="13"/>
      <c r="I431" s="13"/>
      <c r="J431" s="14"/>
      <c r="K431" s="14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" customHeight="1">
      <c r="A432" s="14"/>
      <c r="B432" s="13"/>
      <c r="C432" s="13"/>
      <c r="D432" s="13"/>
      <c r="E432" s="13"/>
      <c r="F432" s="13"/>
      <c r="G432" s="13"/>
      <c r="H432" s="13"/>
      <c r="I432" s="13"/>
      <c r="J432" s="14"/>
      <c r="K432" s="14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" customHeight="1">
      <c r="A433" s="14"/>
      <c r="B433" s="13"/>
      <c r="C433" s="13"/>
      <c r="D433" s="13"/>
      <c r="E433" s="13"/>
      <c r="F433" s="13"/>
      <c r="G433" s="13"/>
      <c r="H433" s="13"/>
      <c r="I433" s="13"/>
      <c r="J433" s="14"/>
      <c r="K433" s="14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" customHeight="1">
      <c r="A434" s="14"/>
      <c r="B434" s="13"/>
      <c r="C434" s="13"/>
      <c r="D434" s="13"/>
      <c r="E434" s="13"/>
      <c r="F434" s="13"/>
      <c r="G434" s="13"/>
      <c r="H434" s="13"/>
      <c r="I434" s="13"/>
      <c r="J434" s="14"/>
      <c r="K434" s="14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" customHeight="1">
      <c r="A435" s="14"/>
      <c r="B435" s="13"/>
      <c r="C435" s="13"/>
      <c r="D435" s="13"/>
      <c r="E435" s="13"/>
      <c r="F435" s="13"/>
      <c r="G435" s="13"/>
      <c r="H435" s="13"/>
      <c r="I435" s="13"/>
      <c r="J435" s="14"/>
      <c r="K435" s="14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" customHeight="1">
      <c r="A436" s="14"/>
      <c r="B436" s="13"/>
      <c r="C436" s="13"/>
      <c r="D436" s="13"/>
      <c r="E436" s="13"/>
      <c r="F436" s="13"/>
      <c r="G436" s="13"/>
      <c r="H436" s="13"/>
      <c r="I436" s="13"/>
      <c r="J436" s="14"/>
      <c r="K436" s="14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" customHeight="1">
      <c r="A437" s="14"/>
      <c r="B437" s="13"/>
      <c r="C437" s="13"/>
      <c r="D437" s="13"/>
      <c r="E437" s="13"/>
      <c r="F437" s="13"/>
      <c r="G437" s="13"/>
      <c r="H437" s="13"/>
      <c r="I437" s="13"/>
      <c r="J437" s="14"/>
      <c r="K437" s="14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" customHeight="1">
      <c r="A438" s="14"/>
      <c r="B438" s="13"/>
      <c r="C438" s="13"/>
      <c r="D438" s="13"/>
      <c r="E438" s="13"/>
      <c r="F438" s="13"/>
      <c r="G438" s="13"/>
      <c r="H438" s="13"/>
      <c r="I438" s="13"/>
      <c r="J438" s="14"/>
      <c r="K438" s="14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" customHeight="1">
      <c r="A439" s="14"/>
      <c r="B439" s="13"/>
      <c r="C439" s="13"/>
      <c r="D439" s="13"/>
      <c r="E439" s="13"/>
      <c r="F439" s="13"/>
      <c r="G439" s="13"/>
      <c r="H439" s="13"/>
      <c r="I439" s="13"/>
      <c r="J439" s="14"/>
      <c r="K439" s="14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" customHeight="1">
      <c r="A440" s="14"/>
      <c r="B440" s="13"/>
      <c r="C440" s="13"/>
      <c r="D440" s="13"/>
      <c r="E440" s="13"/>
      <c r="F440" s="13"/>
      <c r="G440" s="13"/>
      <c r="H440" s="13"/>
      <c r="I440" s="13"/>
      <c r="J440" s="14"/>
      <c r="K440" s="14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" customHeight="1">
      <c r="A441" s="14"/>
      <c r="B441" s="13"/>
      <c r="C441" s="13"/>
      <c r="D441" s="13"/>
      <c r="E441" s="13"/>
      <c r="F441" s="13"/>
      <c r="G441" s="13"/>
      <c r="H441" s="13"/>
      <c r="I441" s="13"/>
      <c r="J441" s="14"/>
      <c r="K441" s="14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" customHeight="1">
      <c r="A442" s="14"/>
      <c r="B442" s="13"/>
      <c r="C442" s="13"/>
      <c r="D442" s="13"/>
      <c r="E442" s="13"/>
      <c r="F442" s="13"/>
      <c r="G442" s="13"/>
      <c r="H442" s="13"/>
      <c r="I442" s="13"/>
      <c r="J442" s="14"/>
      <c r="K442" s="14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" customHeight="1">
      <c r="A443" s="14"/>
      <c r="B443" s="13"/>
      <c r="C443" s="13"/>
      <c r="D443" s="13"/>
      <c r="E443" s="13"/>
      <c r="F443" s="13"/>
      <c r="G443" s="13"/>
      <c r="H443" s="13"/>
      <c r="I443" s="13"/>
      <c r="J443" s="14"/>
      <c r="K443" s="14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" customHeight="1">
      <c r="A444" s="14"/>
      <c r="B444" s="13"/>
      <c r="C444" s="13"/>
      <c r="D444" s="13"/>
      <c r="E444" s="13"/>
      <c r="F444" s="13"/>
      <c r="G444" s="13"/>
      <c r="H444" s="13"/>
      <c r="I444" s="13"/>
      <c r="J444" s="14"/>
      <c r="K444" s="14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" customHeight="1">
      <c r="A445" s="14"/>
      <c r="B445" s="13"/>
      <c r="C445" s="13"/>
      <c r="D445" s="13"/>
      <c r="E445" s="13"/>
      <c r="F445" s="13"/>
      <c r="G445" s="13"/>
      <c r="H445" s="13"/>
      <c r="I445" s="13"/>
      <c r="J445" s="14"/>
      <c r="K445" s="14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" customHeight="1">
      <c r="A446" s="14"/>
      <c r="B446" s="13"/>
      <c r="C446" s="13"/>
      <c r="D446" s="13"/>
      <c r="E446" s="13"/>
      <c r="F446" s="13"/>
      <c r="G446" s="13"/>
      <c r="H446" s="13"/>
      <c r="I446" s="13"/>
      <c r="J446" s="14"/>
      <c r="K446" s="14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" customHeight="1">
      <c r="A447" s="14"/>
      <c r="B447" s="13"/>
      <c r="C447" s="13"/>
      <c r="D447" s="13"/>
      <c r="E447" s="13"/>
      <c r="F447" s="13"/>
      <c r="G447" s="13"/>
      <c r="H447" s="13"/>
      <c r="I447" s="13"/>
      <c r="J447" s="14"/>
      <c r="K447" s="14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" customHeight="1">
      <c r="A448" s="14"/>
      <c r="B448" s="13"/>
      <c r="C448" s="13"/>
      <c r="D448" s="13"/>
      <c r="E448" s="13"/>
      <c r="F448" s="13"/>
      <c r="G448" s="13"/>
      <c r="H448" s="13"/>
      <c r="I448" s="13"/>
      <c r="J448" s="14"/>
      <c r="K448" s="14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" customHeight="1">
      <c r="A449" s="14"/>
      <c r="B449" s="13"/>
      <c r="C449" s="13"/>
      <c r="D449" s="13"/>
      <c r="E449" s="13"/>
      <c r="F449" s="13"/>
      <c r="G449" s="13"/>
      <c r="H449" s="13"/>
      <c r="I449" s="13"/>
      <c r="J449" s="14"/>
      <c r="K449" s="14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" customHeight="1">
      <c r="A450" s="14"/>
      <c r="B450" s="13"/>
      <c r="C450" s="13"/>
      <c r="D450" s="13"/>
      <c r="E450" s="13"/>
      <c r="F450" s="13"/>
      <c r="G450" s="13"/>
      <c r="H450" s="13"/>
      <c r="I450" s="13"/>
      <c r="J450" s="14"/>
      <c r="K450" s="14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" customHeight="1">
      <c r="A451" s="14"/>
      <c r="B451" s="13"/>
      <c r="C451" s="13"/>
      <c r="D451" s="13"/>
      <c r="E451" s="13"/>
      <c r="F451" s="13"/>
      <c r="G451" s="13"/>
      <c r="H451" s="13"/>
      <c r="I451" s="13"/>
      <c r="J451" s="14"/>
      <c r="K451" s="14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" customHeight="1">
      <c r="A452" s="14"/>
      <c r="B452" s="13"/>
      <c r="C452" s="13"/>
      <c r="D452" s="13"/>
      <c r="E452" s="13"/>
      <c r="F452" s="13"/>
      <c r="G452" s="13"/>
      <c r="H452" s="13"/>
      <c r="I452" s="13"/>
      <c r="J452" s="14"/>
      <c r="K452" s="14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" customHeight="1">
      <c r="A453" s="14"/>
      <c r="B453" s="13"/>
      <c r="C453" s="13"/>
      <c r="D453" s="13"/>
      <c r="E453" s="13"/>
      <c r="F453" s="13"/>
      <c r="G453" s="13"/>
      <c r="H453" s="13"/>
      <c r="I453" s="13"/>
      <c r="J453" s="14"/>
      <c r="K453" s="14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" customHeight="1">
      <c r="A454" s="14"/>
      <c r="B454" s="13"/>
      <c r="C454" s="13"/>
      <c r="D454" s="13"/>
      <c r="E454" s="13"/>
      <c r="F454" s="13"/>
      <c r="G454" s="13"/>
      <c r="H454" s="13"/>
      <c r="I454" s="13"/>
      <c r="J454" s="14"/>
      <c r="K454" s="14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" customHeight="1">
      <c r="A455" s="14"/>
      <c r="B455" s="13"/>
      <c r="C455" s="13"/>
      <c r="D455" s="13"/>
      <c r="E455" s="13"/>
      <c r="F455" s="13"/>
      <c r="G455" s="13"/>
      <c r="H455" s="13"/>
      <c r="I455" s="13"/>
      <c r="J455" s="14"/>
      <c r="K455" s="14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" customHeight="1">
      <c r="A456" s="14"/>
      <c r="B456" s="13"/>
      <c r="C456" s="13"/>
      <c r="D456" s="13"/>
      <c r="E456" s="13"/>
      <c r="F456" s="13"/>
      <c r="G456" s="13"/>
      <c r="H456" s="13"/>
      <c r="I456" s="13"/>
      <c r="J456" s="14"/>
      <c r="K456" s="14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" customHeight="1">
      <c r="A457" s="14"/>
      <c r="B457" s="13"/>
      <c r="C457" s="13"/>
      <c r="D457" s="13"/>
      <c r="E457" s="13"/>
      <c r="F457" s="13"/>
      <c r="G457" s="13"/>
      <c r="H457" s="13"/>
      <c r="I457" s="13"/>
      <c r="J457" s="14"/>
      <c r="K457" s="14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" customHeight="1">
      <c r="A458" s="14"/>
      <c r="B458" s="13"/>
      <c r="C458" s="13"/>
      <c r="D458" s="13"/>
      <c r="E458" s="13"/>
      <c r="F458" s="13"/>
      <c r="G458" s="13"/>
      <c r="H458" s="13"/>
      <c r="I458" s="13"/>
      <c r="J458" s="14"/>
      <c r="K458" s="14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" customHeight="1">
      <c r="A459" s="14"/>
      <c r="B459" s="13"/>
      <c r="C459" s="13"/>
      <c r="D459" s="13"/>
      <c r="E459" s="13"/>
      <c r="F459" s="13"/>
      <c r="G459" s="13"/>
      <c r="H459" s="13"/>
      <c r="I459" s="13"/>
      <c r="J459" s="14"/>
      <c r="K459" s="14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" customHeight="1">
      <c r="A460" s="14"/>
      <c r="B460" s="13"/>
      <c r="C460" s="13"/>
      <c r="D460" s="13"/>
      <c r="E460" s="13"/>
      <c r="F460" s="13"/>
      <c r="G460" s="13"/>
      <c r="H460" s="13"/>
      <c r="I460" s="13"/>
      <c r="J460" s="14"/>
      <c r="K460" s="14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" customHeight="1">
      <c r="A461" s="14"/>
      <c r="B461" s="13"/>
      <c r="C461" s="13"/>
      <c r="D461" s="13"/>
      <c r="E461" s="13"/>
      <c r="F461" s="13"/>
      <c r="G461" s="13"/>
      <c r="H461" s="13"/>
      <c r="I461" s="13"/>
      <c r="J461" s="14"/>
      <c r="K461" s="14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" customHeight="1">
      <c r="A462" s="14"/>
      <c r="B462" s="13"/>
      <c r="C462" s="13"/>
      <c r="D462" s="13"/>
      <c r="E462" s="13"/>
      <c r="F462" s="13"/>
      <c r="G462" s="13"/>
      <c r="H462" s="13"/>
      <c r="I462" s="13"/>
      <c r="J462" s="14"/>
      <c r="K462" s="14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" customHeight="1">
      <c r="A463" s="14"/>
      <c r="B463" s="13"/>
      <c r="C463" s="13"/>
      <c r="D463" s="13"/>
      <c r="E463" s="13"/>
      <c r="F463" s="13"/>
      <c r="G463" s="13"/>
      <c r="H463" s="13"/>
      <c r="I463" s="13"/>
      <c r="J463" s="14"/>
      <c r="K463" s="14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" customHeight="1">
      <c r="A464" s="14"/>
      <c r="B464" s="13"/>
      <c r="C464" s="13"/>
      <c r="D464" s="13"/>
      <c r="E464" s="13"/>
      <c r="F464" s="13"/>
      <c r="G464" s="13"/>
      <c r="H464" s="13"/>
      <c r="I464" s="13"/>
      <c r="J464" s="14"/>
      <c r="K464" s="14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" customHeight="1">
      <c r="A465" s="14"/>
      <c r="B465" s="13"/>
      <c r="C465" s="13"/>
      <c r="D465" s="13"/>
      <c r="E465" s="13"/>
      <c r="F465" s="13"/>
      <c r="G465" s="13"/>
      <c r="H465" s="13"/>
      <c r="I465" s="13"/>
      <c r="J465" s="14"/>
      <c r="K465" s="14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" customHeight="1">
      <c r="A466" s="14"/>
      <c r="B466" s="13"/>
      <c r="C466" s="13"/>
      <c r="D466" s="13"/>
      <c r="E466" s="13"/>
      <c r="F466" s="13"/>
      <c r="G466" s="13"/>
      <c r="H466" s="13"/>
      <c r="I466" s="13"/>
      <c r="J466" s="14"/>
      <c r="K466" s="14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" customHeight="1">
      <c r="A467" s="14"/>
      <c r="B467" s="13"/>
      <c r="C467" s="13"/>
      <c r="D467" s="13"/>
      <c r="E467" s="13"/>
      <c r="F467" s="13"/>
      <c r="G467" s="13"/>
      <c r="H467" s="13"/>
      <c r="I467" s="13"/>
      <c r="J467" s="14"/>
      <c r="K467" s="14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" customHeight="1">
      <c r="A468" s="14"/>
      <c r="B468" s="13"/>
      <c r="C468" s="13"/>
      <c r="D468" s="13"/>
      <c r="E468" s="13"/>
      <c r="F468" s="13"/>
      <c r="G468" s="13"/>
      <c r="H468" s="13"/>
      <c r="I468" s="13"/>
      <c r="J468" s="14"/>
      <c r="K468" s="14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" customHeight="1">
      <c r="A469" s="14"/>
      <c r="B469" s="13"/>
      <c r="C469" s="13"/>
      <c r="D469" s="13"/>
      <c r="E469" s="13"/>
      <c r="F469" s="13"/>
      <c r="G469" s="13"/>
      <c r="H469" s="13"/>
      <c r="I469" s="13"/>
      <c r="J469" s="14"/>
      <c r="K469" s="14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" customHeight="1">
      <c r="A470" s="14"/>
      <c r="B470" s="13"/>
      <c r="C470" s="13"/>
      <c r="D470" s="13"/>
      <c r="E470" s="13"/>
      <c r="F470" s="13"/>
      <c r="G470" s="13"/>
      <c r="H470" s="13"/>
      <c r="I470" s="13"/>
      <c r="J470" s="14"/>
      <c r="K470" s="14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" customHeight="1">
      <c r="A471" s="14"/>
      <c r="B471" s="13"/>
      <c r="C471" s="13"/>
      <c r="D471" s="13"/>
      <c r="E471" s="13"/>
      <c r="F471" s="13"/>
      <c r="G471" s="13"/>
      <c r="H471" s="13"/>
      <c r="I471" s="13"/>
      <c r="J471" s="14"/>
      <c r="K471" s="14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" customHeight="1">
      <c r="A472" s="14"/>
      <c r="B472" s="13"/>
      <c r="C472" s="13"/>
      <c r="D472" s="13"/>
      <c r="E472" s="13"/>
      <c r="F472" s="13"/>
      <c r="G472" s="13"/>
      <c r="H472" s="13"/>
      <c r="I472" s="13"/>
      <c r="J472" s="14"/>
      <c r="K472" s="14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" customHeight="1">
      <c r="A473" s="14"/>
      <c r="B473" s="13"/>
      <c r="C473" s="13"/>
      <c r="D473" s="13"/>
      <c r="E473" s="13"/>
      <c r="F473" s="13"/>
      <c r="G473" s="13"/>
      <c r="H473" s="13"/>
      <c r="I473" s="13"/>
      <c r="J473" s="14"/>
      <c r="K473" s="14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" customHeight="1">
      <c r="A474" s="14"/>
      <c r="B474" s="13"/>
      <c r="C474" s="13"/>
      <c r="D474" s="13"/>
      <c r="E474" s="13"/>
      <c r="F474" s="13"/>
      <c r="G474" s="13"/>
      <c r="H474" s="13"/>
      <c r="I474" s="13"/>
      <c r="J474" s="14"/>
      <c r="K474" s="14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" customHeight="1">
      <c r="A475" s="14"/>
      <c r="B475" s="13"/>
      <c r="C475" s="13"/>
      <c r="D475" s="13"/>
      <c r="E475" s="13"/>
      <c r="F475" s="13"/>
      <c r="G475" s="13"/>
      <c r="H475" s="13"/>
      <c r="I475" s="13"/>
      <c r="J475" s="14"/>
      <c r="K475" s="14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" customHeight="1">
      <c r="A476" s="14"/>
      <c r="B476" s="13"/>
      <c r="C476" s="13"/>
      <c r="D476" s="13"/>
      <c r="E476" s="13"/>
      <c r="F476" s="13"/>
      <c r="G476" s="13"/>
      <c r="H476" s="13"/>
      <c r="I476" s="13"/>
      <c r="J476" s="14"/>
      <c r="K476" s="14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" customHeight="1">
      <c r="A477" s="14"/>
      <c r="B477" s="13"/>
      <c r="C477" s="13"/>
      <c r="D477" s="13"/>
      <c r="E477" s="13"/>
      <c r="F477" s="13"/>
      <c r="G477" s="13"/>
      <c r="H477" s="13"/>
      <c r="I477" s="13"/>
      <c r="J477" s="14"/>
      <c r="K477" s="14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" customHeight="1">
      <c r="A478" s="14"/>
      <c r="B478" s="13"/>
      <c r="C478" s="13"/>
      <c r="D478" s="13"/>
      <c r="E478" s="13"/>
      <c r="F478" s="13"/>
      <c r="G478" s="13"/>
      <c r="H478" s="13"/>
      <c r="I478" s="13"/>
      <c r="J478" s="14"/>
      <c r="K478" s="14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" customHeight="1">
      <c r="A479" s="14"/>
      <c r="B479" s="13"/>
      <c r="C479" s="13"/>
      <c r="D479" s="13"/>
      <c r="E479" s="13"/>
      <c r="F479" s="13"/>
      <c r="G479" s="13"/>
      <c r="H479" s="13"/>
      <c r="I479" s="13"/>
      <c r="J479" s="14"/>
      <c r="K479" s="14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" customHeight="1">
      <c r="A480" s="14"/>
      <c r="B480" s="13"/>
      <c r="C480" s="13"/>
      <c r="D480" s="13"/>
      <c r="E480" s="13"/>
      <c r="F480" s="13"/>
      <c r="G480" s="13"/>
      <c r="H480" s="13"/>
      <c r="I480" s="13"/>
      <c r="J480" s="14"/>
      <c r="K480" s="14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" customHeight="1">
      <c r="A481" s="14"/>
      <c r="B481" s="13"/>
      <c r="C481" s="13"/>
      <c r="D481" s="13"/>
      <c r="E481" s="13"/>
      <c r="F481" s="13"/>
      <c r="G481" s="13"/>
      <c r="H481" s="13"/>
      <c r="I481" s="13"/>
      <c r="J481" s="14"/>
      <c r="K481" s="14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" customHeight="1">
      <c r="A482" s="14"/>
      <c r="B482" s="13"/>
      <c r="C482" s="13"/>
      <c r="D482" s="13"/>
      <c r="E482" s="13"/>
      <c r="F482" s="13"/>
      <c r="G482" s="13"/>
      <c r="H482" s="13"/>
      <c r="I482" s="13"/>
      <c r="J482" s="14"/>
      <c r="K482" s="14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" customHeight="1">
      <c r="A483" s="14"/>
      <c r="B483" s="13"/>
      <c r="C483" s="13"/>
      <c r="D483" s="13"/>
      <c r="E483" s="13"/>
      <c r="F483" s="13"/>
      <c r="G483" s="13"/>
      <c r="H483" s="13"/>
      <c r="I483" s="13"/>
      <c r="J483" s="14"/>
      <c r="K483" s="14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" customHeight="1">
      <c r="A484" s="14"/>
      <c r="B484" s="13"/>
      <c r="C484" s="13"/>
      <c r="D484" s="13"/>
      <c r="E484" s="13"/>
      <c r="F484" s="13"/>
      <c r="G484" s="13"/>
      <c r="H484" s="13"/>
      <c r="I484" s="13"/>
      <c r="J484" s="14"/>
      <c r="K484" s="14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" customHeight="1">
      <c r="A485" s="14"/>
      <c r="B485" s="13"/>
      <c r="C485" s="13"/>
      <c r="D485" s="13"/>
      <c r="E485" s="13"/>
      <c r="F485" s="13"/>
      <c r="G485" s="13"/>
      <c r="H485" s="13"/>
      <c r="I485" s="13"/>
      <c r="J485" s="14"/>
      <c r="K485" s="14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" customHeight="1">
      <c r="A486" s="14"/>
      <c r="B486" s="13"/>
      <c r="C486" s="13"/>
      <c r="D486" s="13"/>
      <c r="E486" s="13"/>
      <c r="F486" s="13"/>
      <c r="G486" s="13"/>
      <c r="H486" s="13"/>
      <c r="I486" s="13"/>
      <c r="J486" s="14"/>
      <c r="K486" s="14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" customHeight="1">
      <c r="A487" s="14"/>
      <c r="B487" s="13"/>
      <c r="C487" s="13"/>
      <c r="D487" s="13"/>
      <c r="E487" s="13"/>
      <c r="F487" s="13"/>
      <c r="G487" s="13"/>
      <c r="H487" s="13"/>
      <c r="I487" s="13"/>
      <c r="J487" s="14"/>
      <c r="K487" s="14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" customHeight="1">
      <c r="A488" s="14"/>
      <c r="B488" s="13"/>
      <c r="C488" s="13"/>
      <c r="D488" s="13"/>
      <c r="E488" s="13"/>
      <c r="F488" s="13"/>
      <c r="G488" s="13"/>
      <c r="H488" s="13"/>
      <c r="I488" s="13"/>
      <c r="J488" s="14"/>
      <c r="K488" s="14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" customHeight="1">
      <c r="A489" s="14"/>
      <c r="B489" s="13"/>
      <c r="C489" s="13"/>
      <c r="D489" s="13"/>
      <c r="E489" s="13"/>
      <c r="F489" s="13"/>
      <c r="G489" s="13"/>
      <c r="H489" s="13"/>
      <c r="I489" s="13"/>
      <c r="J489" s="14"/>
      <c r="K489" s="14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" customHeight="1">
      <c r="A490" s="14"/>
      <c r="B490" s="13"/>
      <c r="C490" s="13"/>
      <c r="D490" s="13"/>
      <c r="E490" s="13"/>
      <c r="F490" s="13"/>
      <c r="G490" s="13"/>
      <c r="H490" s="13"/>
      <c r="I490" s="13"/>
      <c r="J490" s="14"/>
      <c r="K490" s="14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" customHeight="1">
      <c r="A491" s="14"/>
      <c r="B491" s="13"/>
      <c r="C491" s="13"/>
      <c r="D491" s="13"/>
      <c r="E491" s="13"/>
      <c r="F491" s="13"/>
      <c r="G491" s="13"/>
      <c r="H491" s="13"/>
      <c r="I491" s="13"/>
      <c r="J491" s="14"/>
      <c r="K491" s="14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" customHeight="1">
      <c r="A492" s="14"/>
      <c r="B492" s="13"/>
      <c r="C492" s="13"/>
      <c r="D492" s="13"/>
      <c r="E492" s="13"/>
      <c r="F492" s="13"/>
      <c r="G492" s="13"/>
      <c r="H492" s="13"/>
      <c r="I492" s="13"/>
      <c r="J492" s="14"/>
      <c r="K492" s="14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" customHeight="1">
      <c r="A493" s="14"/>
      <c r="B493" s="13"/>
      <c r="C493" s="13"/>
      <c r="D493" s="13"/>
      <c r="E493" s="13"/>
      <c r="F493" s="13"/>
      <c r="G493" s="13"/>
      <c r="H493" s="13"/>
      <c r="I493" s="13"/>
      <c r="J493" s="14"/>
      <c r="K493" s="14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" customHeight="1">
      <c r="A494" s="14"/>
      <c r="B494" s="13"/>
      <c r="C494" s="13"/>
      <c r="D494" s="13"/>
      <c r="E494" s="13"/>
      <c r="F494" s="13"/>
      <c r="G494" s="13"/>
      <c r="H494" s="13"/>
      <c r="I494" s="13"/>
      <c r="J494" s="14"/>
      <c r="K494" s="14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" customHeight="1">
      <c r="A495" s="14"/>
      <c r="B495" s="13"/>
      <c r="C495" s="13"/>
      <c r="D495" s="13"/>
      <c r="E495" s="13"/>
      <c r="F495" s="13"/>
      <c r="G495" s="13"/>
      <c r="H495" s="13"/>
      <c r="I495" s="13"/>
      <c r="J495" s="14"/>
      <c r="K495" s="14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" customHeight="1">
      <c r="A496" s="14"/>
      <c r="B496" s="13"/>
      <c r="C496" s="13"/>
      <c r="D496" s="13"/>
      <c r="E496" s="13"/>
      <c r="F496" s="13"/>
      <c r="G496" s="13"/>
      <c r="H496" s="13"/>
      <c r="I496" s="13"/>
      <c r="J496" s="14"/>
      <c r="K496" s="14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" customHeight="1">
      <c r="A497" s="14"/>
      <c r="B497" s="13"/>
      <c r="C497" s="13"/>
      <c r="D497" s="13"/>
      <c r="E497" s="13"/>
      <c r="F497" s="13"/>
      <c r="G497" s="13"/>
      <c r="H497" s="13"/>
      <c r="I497" s="13"/>
      <c r="J497" s="14"/>
      <c r="K497" s="14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" customHeight="1">
      <c r="A498" s="14"/>
      <c r="B498" s="13"/>
      <c r="C498" s="13"/>
      <c r="D498" s="13"/>
      <c r="E498" s="13"/>
      <c r="F498" s="13"/>
      <c r="G498" s="13"/>
      <c r="H498" s="13"/>
      <c r="I498" s="13"/>
      <c r="J498" s="14"/>
      <c r="K498" s="14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" customHeight="1">
      <c r="A499" s="14"/>
      <c r="B499" s="13"/>
      <c r="C499" s="13"/>
      <c r="D499" s="13"/>
      <c r="E499" s="13"/>
      <c r="F499" s="13"/>
      <c r="G499" s="13"/>
      <c r="H499" s="13"/>
      <c r="I499" s="13"/>
      <c r="J499" s="14"/>
      <c r="K499" s="14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" customHeight="1">
      <c r="A500" s="14"/>
      <c r="B500" s="13"/>
      <c r="C500" s="13"/>
      <c r="D500" s="13"/>
      <c r="E500" s="13"/>
      <c r="F500" s="13"/>
      <c r="G500" s="13"/>
      <c r="H500" s="13"/>
      <c r="I500" s="13"/>
      <c r="J500" s="14"/>
      <c r="K500" s="14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" customHeight="1">
      <c r="A501" s="14"/>
      <c r="B501" s="13"/>
      <c r="C501" s="13"/>
      <c r="D501" s="13"/>
      <c r="E501" s="13"/>
      <c r="F501" s="13"/>
      <c r="G501" s="13"/>
      <c r="H501" s="13"/>
      <c r="I501" s="13"/>
      <c r="J501" s="14"/>
      <c r="K501" s="14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" customHeight="1">
      <c r="A502" s="14"/>
      <c r="B502" s="13"/>
      <c r="C502" s="13"/>
      <c r="D502" s="13"/>
      <c r="E502" s="13"/>
      <c r="F502" s="13"/>
      <c r="G502" s="13"/>
      <c r="H502" s="13"/>
      <c r="I502" s="13"/>
      <c r="J502" s="14"/>
      <c r="K502" s="14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" customHeight="1">
      <c r="A503" s="14"/>
      <c r="B503" s="13"/>
      <c r="C503" s="13"/>
      <c r="D503" s="13"/>
      <c r="E503" s="13"/>
      <c r="F503" s="13"/>
      <c r="G503" s="13"/>
      <c r="H503" s="13"/>
      <c r="I503" s="13"/>
      <c r="J503" s="14"/>
      <c r="K503" s="14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" customHeight="1">
      <c r="A504" s="14"/>
      <c r="B504" s="13"/>
      <c r="C504" s="13"/>
      <c r="D504" s="13"/>
      <c r="E504" s="13"/>
      <c r="F504" s="13"/>
      <c r="G504" s="13"/>
      <c r="H504" s="13"/>
      <c r="I504" s="13"/>
      <c r="J504" s="14"/>
      <c r="K504" s="14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" customHeight="1">
      <c r="A505" s="14"/>
      <c r="B505" s="13"/>
      <c r="C505" s="13"/>
      <c r="D505" s="13"/>
      <c r="E505" s="13"/>
      <c r="F505" s="13"/>
      <c r="G505" s="13"/>
      <c r="H505" s="13"/>
      <c r="I505" s="13"/>
      <c r="J505" s="14"/>
      <c r="K505" s="14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" customHeight="1">
      <c r="A506" s="14"/>
      <c r="B506" s="13"/>
      <c r="C506" s="13"/>
      <c r="D506" s="13"/>
      <c r="E506" s="13"/>
      <c r="F506" s="13"/>
      <c r="G506" s="13"/>
      <c r="H506" s="13"/>
      <c r="I506" s="13"/>
      <c r="J506" s="14"/>
      <c r="K506" s="14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" customHeight="1">
      <c r="A507" s="14"/>
      <c r="B507" s="13"/>
      <c r="C507" s="13"/>
      <c r="D507" s="13"/>
      <c r="E507" s="13"/>
      <c r="F507" s="13"/>
      <c r="G507" s="13"/>
      <c r="H507" s="13"/>
      <c r="I507" s="13"/>
      <c r="J507" s="14"/>
      <c r="K507" s="14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" customHeight="1">
      <c r="A508" s="14"/>
      <c r="B508" s="13"/>
      <c r="C508" s="13"/>
      <c r="D508" s="13"/>
      <c r="E508" s="13"/>
      <c r="F508" s="13"/>
      <c r="G508" s="13"/>
      <c r="H508" s="13"/>
      <c r="I508" s="13"/>
      <c r="J508" s="14"/>
      <c r="K508" s="14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" customHeight="1">
      <c r="A509" s="14"/>
      <c r="B509" s="13"/>
      <c r="C509" s="13"/>
      <c r="D509" s="13"/>
      <c r="E509" s="13"/>
      <c r="F509" s="13"/>
      <c r="G509" s="13"/>
      <c r="H509" s="13"/>
      <c r="I509" s="13"/>
      <c r="J509" s="14"/>
      <c r="K509" s="14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" customHeight="1">
      <c r="A510" s="14"/>
      <c r="B510" s="13"/>
      <c r="C510" s="13"/>
      <c r="D510" s="13"/>
      <c r="E510" s="13"/>
      <c r="F510" s="13"/>
      <c r="G510" s="13"/>
      <c r="H510" s="13"/>
      <c r="I510" s="13"/>
      <c r="J510" s="14"/>
      <c r="K510" s="14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" customHeight="1">
      <c r="A511" s="14"/>
      <c r="B511" s="13"/>
      <c r="C511" s="13"/>
      <c r="D511" s="13"/>
      <c r="E511" s="13"/>
      <c r="F511" s="13"/>
      <c r="G511" s="13"/>
      <c r="H511" s="13"/>
      <c r="I511" s="13"/>
      <c r="J511" s="14"/>
      <c r="K511" s="14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" customHeight="1">
      <c r="A512" s="14"/>
      <c r="B512" s="13"/>
      <c r="C512" s="13"/>
      <c r="D512" s="13"/>
      <c r="E512" s="13"/>
      <c r="F512" s="13"/>
      <c r="G512" s="13"/>
      <c r="H512" s="13"/>
      <c r="I512" s="13"/>
      <c r="J512" s="14"/>
      <c r="K512" s="14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" customHeight="1">
      <c r="A513" s="14"/>
      <c r="B513" s="13"/>
      <c r="C513" s="13"/>
      <c r="D513" s="13"/>
      <c r="E513" s="13"/>
      <c r="F513" s="13"/>
      <c r="G513" s="13"/>
      <c r="H513" s="13"/>
      <c r="I513" s="13"/>
      <c r="J513" s="14"/>
      <c r="K513" s="14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" customHeight="1">
      <c r="A514" s="14"/>
      <c r="B514" s="13"/>
      <c r="C514" s="13"/>
      <c r="D514" s="13"/>
      <c r="E514" s="13"/>
      <c r="F514" s="13"/>
      <c r="G514" s="13"/>
      <c r="H514" s="13"/>
      <c r="I514" s="13"/>
      <c r="J514" s="14"/>
      <c r="K514" s="14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" customHeight="1">
      <c r="A515" s="14"/>
      <c r="B515" s="13"/>
      <c r="C515" s="13"/>
      <c r="D515" s="13"/>
      <c r="E515" s="13"/>
      <c r="F515" s="13"/>
      <c r="G515" s="13"/>
      <c r="H515" s="13"/>
      <c r="I515" s="13"/>
      <c r="J515" s="14"/>
      <c r="K515" s="14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" customHeight="1">
      <c r="A516" s="14"/>
      <c r="B516" s="13"/>
      <c r="C516" s="13"/>
      <c r="D516" s="13"/>
      <c r="E516" s="13"/>
      <c r="F516" s="13"/>
      <c r="G516" s="13"/>
      <c r="H516" s="13"/>
      <c r="I516" s="13"/>
      <c r="J516" s="14"/>
      <c r="K516" s="14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" customHeight="1">
      <c r="A517" s="14"/>
      <c r="B517" s="13"/>
      <c r="C517" s="13"/>
      <c r="D517" s="13"/>
      <c r="E517" s="13"/>
      <c r="F517" s="13"/>
      <c r="G517" s="13"/>
      <c r="H517" s="13"/>
      <c r="I517" s="13"/>
      <c r="J517" s="14"/>
      <c r="K517" s="14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" customHeight="1">
      <c r="A518" s="14"/>
      <c r="B518" s="13"/>
      <c r="C518" s="13"/>
      <c r="D518" s="13"/>
      <c r="E518" s="13"/>
      <c r="F518" s="13"/>
      <c r="G518" s="13"/>
      <c r="H518" s="13"/>
      <c r="I518" s="13"/>
      <c r="J518" s="14"/>
      <c r="K518" s="14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" customHeight="1">
      <c r="A519" s="14"/>
      <c r="B519" s="13"/>
      <c r="C519" s="13"/>
      <c r="D519" s="13"/>
      <c r="E519" s="13"/>
      <c r="F519" s="13"/>
      <c r="G519" s="13"/>
      <c r="H519" s="13"/>
      <c r="I519" s="13"/>
      <c r="J519" s="14"/>
      <c r="K519" s="14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" customHeight="1">
      <c r="A520" s="14"/>
      <c r="B520" s="13"/>
      <c r="C520" s="13"/>
      <c r="D520" s="13"/>
      <c r="E520" s="13"/>
      <c r="F520" s="13"/>
      <c r="G520" s="13"/>
      <c r="H520" s="13"/>
      <c r="I520" s="13"/>
      <c r="J520" s="14"/>
      <c r="K520" s="14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" customHeight="1">
      <c r="A521" s="14"/>
      <c r="B521" s="13"/>
      <c r="C521" s="13"/>
      <c r="D521" s="13"/>
      <c r="E521" s="13"/>
      <c r="F521" s="13"/>
      <c r="G521" s="13"/>
      <c r="H521" s="13"/>
      <c r="I521" s="13"/>
      <c r="J521" s="14"/>
      <c r="K521" s="14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" customHeight="1">
      <c r="A522" s="14"/>
      <c r="B522" s="13"/>
      <c r="C522" s="13"/>
      <c r="D522" s="13"/>
      <c r="E522" s="13"/>
      <c r="F522" s="13"/>
      <c r="G522" s="13"/>
      <c r="H522" s="13"/>
      <c r="I522" s="13"/>
      <c r="J522" s="14"/>
      <c r="K522" s="14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" customHeight="1">
      <c r="A523" s="14"/>
      <c r="B523" s="13"/>
      <c r="C523" s="13"/>
      <c r="D523" s="13"/>
      <c r="E523" s="13"/>
      <c r="F523" s="13"/>
      <c r="G523" s="13"/>
      <c r="H523" s="13"/>
      <c r="I523" s="13"/>
      <c r="J523" s="14"/>
      <c r="K523" s="14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" customHeight="1">
      <c r="A524" s="14"/>
      <c r="B524" s="13"/>
      <c r="C524" s="13"/>
      <c r="D524" s="13"/>
      <c r="E524" s="13"/>
      <c r="F524" s="13"/>
      <c r="G524" s="13"/>
      <c r="H524" s="13"/>
      <c r="I524" s="13"/>
      <c r="J524" s="14"/>
      <c r="K524" s="14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" customHeight="1">
      <c r="A525" s="14"/>
      <c r="B525" s="13"/>
      <c r="C525" s="13"/>
      <c r="D525" s="13"/>
      <c r="E525" s="13"/>
      <c r="F525" s="13"/>
      <c r="G525" s="13"/>
      <c r="H525" s="13"/>
      <c r="I525" s="13"/>
      <c r="J525" s="14"/>
      <c r="K525" s="14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" customHeight="1">
      <c r="A526" s="14"/>
      <c r="B526" s="13"/>
      <c r="C526" s="13"/>
      <c r="D526" s="13"/>
      <c r="E526" s="13"/>
      <c r="F526" s="13"/>
      <c r="G526" s="13"/>
      <c r="H526" s="13"/>
      <c r="I526" s="13"/>
      <c r="J526" s="14"/>
      <c r="K526" s="14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" customHeight="1">
      <c r="A527" s="14"/>
      <c r="B527" s="13"/>
      <c r="C527" s="13"/>
      <c r="D527" s="13"/>
      <c r="E527" s="13"/>
      <c r="F527" s="13"/>
      <c r="G527" s="13"/>
      <c r="H527" s="13"/>
      <c r="I527" s="13"/>
      <c r="J527" s="14"/>
      <c r="K527" s="14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" customHeight="1">
      <c r="A528" s="14"/>
      <c r="B528" s="13"/>
      <c r="C528" s="13"/>
      <c r="D528" s="13"/>
      <c r="E528" s="13"/>
      <c r="F528" s="13"/>
      <c r="G528" s="13"/>
      <c r="H528" s="13"/>
      <c r="I528" s="13"/>
      <c r="J528" s="14"/>
      <c r="K528" s="14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" customHeight="1">
      <c r="A529" s="14"/>
      <c r="B529" s="13"/>
      <c r="C529" s="13"/>
      <c r="D529" s="13"/>
      <c r="E529" s="13"/>
      <c r="F529" s="13"/>
      <c r="G529" s="13"/>
      <c r="H529" s="13"/>
      <c r="I529" s="13"/>
      <c r="J529" s="14"/>
      <c r="K529" s="14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" customHeight="1">
      <c r="A530" s="14"/>
      <c r="B530" s="13"/>
      <c r="C530" s="13"/>
      <c r="D530" s="13"/>
      <c r="E530" s="13"/>
      <c r="F530" s="13"/>
      <c r="G530" s="13"/>
      <c r="H530" s="13"/>
      <c r="I530" s="13"/>
      <c r="J530" s="14"/>
      <c r="K530" s="14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" customHeight="1">
      <c r="A531" s="14"/>
      <c r="B531" s="13"/>
      <c r="C531" s="13"/>
      <c r="D531" s="13"/>
      <c r="E531" s="13"/>
      <c r="F531" s="13"/>
      <c r="G531" s="13"/>
      <c r="H531" s="13"/>
      <c r="I531" s="13"/>
      <c r="J531" s="14"/>
      <c r="K531" s="14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" customHeight="1">
      <c r="A532" s="14"/>
      <c r="B532" s="13"/>
      <c r="C532" s="13"/>
      <c r="D532" s="13"/>
      <c r="E532" s="13"/>
      <c r="F532" s="13"/>
      <c r="G532" s="13"/>
      <c r="H532" s="13"/>
      <c r="I532" s="13"/>
      <c r="J532" s="14"/>
      <c r="K532" s="14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" customHeight="1">
      <c r="A533" s="14"/>
      <c r="B533" s="13"/>
      <c r="C533" s="13"/>
      <c r="D533" s="13"/>
      <c r="E533" s="13"/>
      <c r="F533" s="13"/>
      <c r="G533" s="13"/>
      <c r="H533" s="13"/>
      <c r="I533" s="13"/>
      <c r="J533" s="14"/>
      <c r="K533" s="14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" customHeight="1">
      <c r="A534" s="14"/>
      <c r="B534" s="13"/>
      <c r="C534" s="13"/>
      <c r="D534" s="13"/>
      <c r="E534" s="13"/>
      <c r="F534" s="13"/>
      <c r="G534" s="13"/>
      <c r="H534" s="13"/>
      <c r="I534" s="13"/>
      <c r="J534" s="14"/>
      <c r="K534" s="14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" customHeight="1">
      <c r="A535" s="14"/>
      <c r="B535" s="13"/>
      <c r="C535" s="13"/>
      <c r="D535" s="13"/>
      <c r="E535" s="13"/>
      <c r="F535" s="13"/>
      <c r="G535" s="13"/>
      <c r="H535" s="13"/>
      <c r="I535" s="13"/>
      <c r="J535" s="14"/>
      <c r="K535" s="14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" customHeight="1">
      <c r="A536" s="14"/>
      <c r="B536" s="13"/>
      <c r="C536" s="13"/>
      <c r="D536" s="13"/>
      <c r="E536" s="13"/>
      <c r="F536" s="13"/>
      <c r="G536" s="13"/>
      <c r="H536" s="13"/>
      <c r="I536" s="13"/>
      <c r="J536" s="14"/>
      <c r="K536" s="14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" customHeight="1">
      <c r="A537" s="14"/>
      <c r="B537" s="13"/>
      <c r="C537" s="13"/>
      <c r="D537" s="13"/>
      <c r="E537" s="13"/>
      <c r="F537" s="13"/>
      <c r="G537" s="13"/>
      <c r="H537" s="13"/>
      <c r="I537" s="13"/>
      <c r="J537" s="14"/>
      <c r="K537" s="14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" customHeight="1">
      <c r="A538" s="14"/>
      <c r="B538" s="13"/>
      <c r="C538" s="13"/>
      <c r="D538" s="13"/>
      <c r="E538" s="13"/>
      <c r="F538" s="13"/>
      <c r="G538" s="13"/>
      <c r="H538" s="13"/>
      <c r="I538" s="13"/>
      <c r="J538" s="14"/>
      <c r="K538" s="14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" customHeight="1">
      <c r="A539" s="14"/>
      <c r="B539" s="13"/>
      <c r="C539" s="13"/>
      <c r="D539" s="13"/>
      <c r="E539" s="13"/>
      <c r="F539" s="13"/>
      <c r="G539" s="13"/>
      <c r="H539" s="13"/>
      <c r="I539" s="13"/>
      <c r="J539" s="14"/>
      <c r="K539" s="14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" customHeight="1">
      <c r="A540" s="14"/>
      <c r="B540" s="13"/>
      <c r="C540" s="13"/>
      <c r="D540" s="13"/>
      <c r="E540" s="13"/>
      <c r="F540" s="13"/>
      <c r="G540" s="13"/>
      <c r="H540" s="13"/>
      <c r="I540" s="13"/>
      <c r="J540" s="14"/>
      <c r="K540" s="14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" customHeight="1">
      <c r="A541" s="14"/>
      <c r="B541" s="13"/>
      <c r="C541" s="13"/>
      <c r="D541" s="13"/>
      <c r="E541" s="13"/>
      <c r="F541" s="13"/>
      <c r="G541" s="13"/>
      <c r="H541" s="13"/>
      <c r="I541" s="13"/>
      <c r="J541" s="14"/>
      <c r="K541" s="14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" customHeight="1">
      <c r="A542" s="14"/>
      <c r="B542" s="13"/>
      <c r="C542" s="13"/>
      <c r="D542" s="13"/>
      <c r="E542" s="13"/>
      <c r="F542" s="13"/>
      <c r="G542" s="13"/>
      <c r="H542" s="13"/>
      <c r="I542" s="13"/>
      <c r="J542" s="14"/>
      <c r="K542" s="14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" customHeight="1">
      <c r="A543" s="14"/>
      <c r="B543" s="13"/>
      <c r="C543" s="13"/>
      <c r="D543" s="13"/>
      <c r="E543" s="13"/>
      <c r="F543" s="13"/>
      <c r="G543" s="13"/>
      <c r="H543" s="13"/>
      <c r="I543" s="13"/>
      <c r="J543" s="14"/>
      <c r="K543" s="14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" customHeight="1">
      <c r="A544" s="14"/>
      <c r="B544" s="13"/>
      <c r="C544" s="13"/>
      <c r="D544" s="13"/>
      <c r="E544" s="13"/>
      <c r="F544" s="13"/>
      <c r="G544" s="13"/>
      <c r="H544" s="13"/>
      <c r="I544" s="13"/>
      <c r="J544" s="14"/>
      <c r="K544" s="14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" customHeight="1">
      <c r="A545" s="14"/>
      <c r="B545" s="13"/>
      <c r="C545" s="13"/>
      <c r="D545" s="13"/>
      <c r="E545" s="13"/>
      <c r="F545" s="13"/>
      <c r="G545" s="13"/>
      <c r="H545" s="13"/>
      <c r="I545" s="13"/>
      <c r="J545" s="14"/>
      <c r="K545" s="14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" customHeight="1">
      <c r="A546" s="14"/>
      <c r="B546" s="13"/>
      <c r="C546" s="13"/>
      <c r="D546" s="13"/>
      <c r="E546" s="13"/>
      <c r="F546" s="13"/>
      <c r="G546" s="13"/>
      <c r="H546" s="13"/>
      <c r="I546" s="13"/>
      <c r="J546" s="14"/>
      <c r="K546" s="14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" customHeight="1">
      <c r="A547" s="14"/>
      <c r="B547" s="13"/>
      <c r="C547" s="13"/>
      <c r="D547" s="13"/>
      <c r="E547" s="13"/>
      <c r="F547" s="13"/>
      <c r="G547" s="13"/>
      <c r="H547" s="13"/>
      <c r="I547" s="13"/>
      <c r="J547" s="14"/>
      <c r="K547" s="14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" customHeight="1">
      <c r="A548" s="14"/>
      <c r="B548" s="13"/>
      <c r="C548" s="13"/>
      <c r="D548" s="13"/>
      <c r="E548" s="13"/>
      <c r="F548" s="13"/>
      <c r="G548" s="13"/>
      <c r="H548" s="13"/>
      <c r="I548" s="13"/>
      <c r="J548" s="14"/>
      <c r="K548" s="14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" customHeight="1">
      <c r="A549" s="14"/>
      <c r="B549" s="13"/>
      <c r="C549" s="13"/>
      <c r="D549" s="13"/>
      <c r="E549" s="13"/>
      <c r="F549" s="13"/>
      <c r="G549" s="13"/>
      <c r="H549" s="13"/>
      <c r="I549" s="13"/>
      <c r="J549" s="14"/>
      <c r="K549" s="14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" customHeight="1">
      <c r="A550" s="14"/>
      <c r="B550" s="13"/>
      <c r="C550" s="13"/>
      <c r="D550" s="13"/>
      <c r="E550" s="13"/>
      <c r="F550" s="13"/>
      <c r="G550" s="13"/>
      <c r="H550" s="13"/>
      <c r="I550" s="13"/>
      <c r="J550" s="14"/>
      <c r="K550" s="14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" customHeight="1">
      <c r="A551" s="14"/>
      <c r="B551" s="13"/>
      <c r="C551" s="13"/>
      <c r="D551" s="13"/>
      <c r="E551" s="13"/>
      <c r="F551" s="13"/>
      <c r="G551" s="13"/>
      <c r="H551" s="13"/>
      <c r="I551" s="13"/>
      <c r="J551" s="14"/>
      <c r="K551" s="14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" customHeight="1">
      <c r="A552" s="14"/>
      <c r="B552" s="13"/>
      <c r="C552" s="13"/>
      <c r="D552" s="13"/>
      <c r="E552" s="13"/>
      <c r="F552" s="13"/>
      <c r="G552" s="13"/>
      <c r="H552" s="13"/>
      <c r="I552" s="13"/>
      <c r="J552" s="14"/>
      <c r="K552" s="14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" customHeight="1">
      <c r="A553" s="14"/>
      <c r="B553" s="13"/>
      <c r="C553" s="13"/>
      <c r="D553" s="13"/>
      <c r="E553" s="13"/>
      <c r="F553" s="13"/>
      <c r="G553" s="13"/>
      <c r="H553" s="13"/>
      <c r="I553" s="13"/>
      <c r="J553" s="14"/>
      <c r="K553" s="14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" customHeight="1">
      <c r="A554" s="14"/>
      <c r="B554" s="13"/>
      <c r="C554" s="13"/>
      <c r="D554" s="13"/>
      <c r="E554" s="13"/>
      <c r="F554" s="13"/>
      <c r="G554" s="13"/>
      <c r="H554" s="13"/>
      <c r="I554" s="13"/>
      <c r="J554" s="14"/>
      <c r="K554" s="14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" customHeight="1">
      <c r="A555" s="14"/>
      <c r="B555" s="13"/>
      <c r="C555" s="13"/>
      <c r="D555" s="13"/>
      <c r="E555" s="13"/>
      <c r="F555" s="13"/>
      <c r="G555" s="13"/>
      <c r="H555" s="13"/>
      <c r="I555" s="13"/>
      <c r="J555" s="14"/>
      <c r="K555" s="14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" customHeight="1">
      <c r="A556" s="14"/>
      <c r="B556" s="13"/>
      <c r="C556" s="13"/>
      <c r="D556" s="13"/>
      <c r="E556" s="13"/>
      <c r="F556" s="13"/>
      <c r="G556" s="13"/>
      <c r="H556" s="13"/>
      <c r="I556" s="13"/>
      <c r="J556" s="14"/>
      <c r="K556" s="14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" customHeight="1">
      <c r="A557" s="14"/>
      <c r="B557" s="13"/>
      <c r="C557" s="13"/>
      <c r="D557" s="13"/>
      <c r="E557" s="13"/>
      <c r="F557" s="13"/>
      <c r="G557" s="13"/>
      <c r="H557" s="13"/>
      <c r="I557" s="13"/>
      <c r="J557" s="14"/>
      <c r="K557" s="14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" customHeight="1">
      <c r="A558" s="14"/>
      <c r="B558" s="13"/>
      <c r="C558" s="13"/>
      <c r="D558" s="13"/>
      <c r="E558" s="13"/>
      <c r="F558" s="13"/>
      <c r="G558" s="13"/>
      <c r="H558" s="13"/>
      <c r="I558" s="13"/>
      <c r="J558" s="14"/>
      <c r="K558" s="14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" customHeight="1">
      <c r="A559" s="14"/>
      <c r="B559" s="13"/>
      <c r="C559" s="13"/>
      <c r="D559" s="13"/>
      <c r="E559" s="13"/>
      <c r="F559" s="13"/>
      <c r="G559" s="13"/>
      <c r="H559" s="13"/>
      <c r="I559" s="13"/>
      <c r="J559" s="14"/>
      <c r="K559" s="14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" customHeight="1">
      <c r="A560" s="14"/>
      <c r="B560" s="13"/>
      <c r="C560" s="13"/>
      <c r="D560" s="13"/>
      <c r="E560" s="13"/>
      <c r="F560" s="13"/>
      <c r="G560" s="13"/>
      <c r="H560" s="13"/>
      <c r="I560" s="13"/>
      <c r="J560" s="14"/>
      <c r="K560" s="14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" customHeight="1">
      <c r="A561" s="14"/>
      <c r="B561" s="13"/>
      <c r="C561" s="13"/>
      <c r="D561" s="13"/>
      <c r="E561" s="13"/>
      <c r="F561" s="13"/>
      <c r="G561" s="13"/>
      <c r="H561" s="13"/>
      <c r="I561" s="13"/>
      <c r="J561" s="14"/>
      <c r="K561" s="14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" customHeight="1">
      <c r="A562" s="14"/>
      <c r="B562" s="13"/>
      <c r="C562" s="13"/>
      <c r="D562" s="13"/>
      <c r="E562" s="13"/>
      <c r="F562" s="13"/>
      <c r="G562" s="13"/>
      <c r="H562" s="13"/>
      <c r="I562" s="13"/>
      <c r="J562" s="14"/>
      <c r="K562" s="14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" customHeight="1">
      <c r="A563" s="14"/>
      <c r="B563" s="13"/>
      <c r="C563" s="13"/>
      <c r="D563" s="13"/>
      <c r="E563" s="13"/>
      <c r="F563" s="13"/>
      <c r="G563" s="13"/>
      <c r="H563" s="13"/>
      <c r="I563" s="13"/>
      <c r="J563" s="14"/>
      <c r="K563" s="14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" customHeight="1">
      <c r="A564" s="14"/>
      <c r="B564" s="13"/>
      <c r="C564" s="13"/>
      <c r="D564" s="13"/>
      <c r="E564" s="13"/>
      <c r="F564" s="13"/>
      <c r="G564" s="13"/>
      <c r="H564" s="13"/>
      <c r="I564" s="13"/>
      <c r="J564" s="14"/>
      <c r="K564" s="14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" customHeight="1">
      <c r="A565" s="14"/>
      <c r="B565" s="13"/>
      <c r="C565" s="13"/>
      <c r="D565" s="13"/>
      <c r="E565" s="13"/>
      <c r="F565" s="13"/>
      <c r="G565" s="13"/>
      <c r="H565" s="13"/>
      <c r="I565" s="13"/>
      <c r="J565" s="14"/>
      <c r="K565" s="14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" customHeight="1">
      <c r="A566" s="14"/>
      <c r="B566" s="13"/>
      <c r="C566" s="13"/>
      <c r="D566" s="13"/>
      <c r="E566" s="13"/>
      <c r="F566" s="13"/>
      <c r="G566" s="13"/>
      <c r="H566" s="13"/>
      <c r="I566" s="13"/>
      <c r="J566" s="14"/>
      <c r="K566" s="14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" customHeight="1">
      <c r="A567" s="14"/>
      <c r="B567" s="13"/>
      <c r="C567" s="13"/>
      <c r="D567" s="13"/>
      <c r="E567" s="13"/>
      <c r="F567" s="13"/>
      <c r="G567" s="13"/>
      <c r="H567" s="13"/>
      <c r="I567" s="13"/>
      <c r="J567" s="14"/>
      <c r="K567" s="14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" customHeight="1">
      <c r="A568" s="14"/>
      <c r="B568" s="13"/>
      <c r="C568" s="13"/>
      <c r="D568" s="13"/>
      <c r="E568" s="13"/>
      <c r="F568" s="13"/>
      <c r="G568" s="13"/>
      <c r="H568" s="13"/>
      <c r="I568" s="13"/>
      <c r="J568" s="14"/>
      <c r="K568" s="14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" customHeight="1">
      <c r="A569" s="14"/>
      <c r="B569" s="13"/>
      <c r="C569" s="13"/>
      <c r="D569" s="13"/>
      <c r="E569" s="13"/>
      <c r="F569" s="13"/>
      <c r="G569" s="13"/>
      <c r="H569" s="13"/>
      <c r="I569" s="13"/>
      <c r="J569" s="14"/>
      <c r="K569" s="14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" customHeight="1">
      <c r="A570" s="14"/>
      <c r="B570" s="13"/>
      <c r="C570" s="13"/>
      <c r="D570" s="13"/>
      <c r="E570" s="13"/>
      <c r="F570" s="13"/>
      <c r="G570" s="13"/>
      <c r="H570" s="13"/>
      <c r="I570" s="13"/>
      <c r="J570" s="14"/>
      <c r="K570" s="14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" customHeight="1">
      <c r="A571" s="14"/>
      <c r="B571" s="13"/>
      <c r="C571" s="13"/>
      <c r="D571" s="13"/>
      <c r="E571" s="13"/>
      <c r="F571" s="13"/>
      <c r="G571" s="13"/>
      <c r="H571" s="13"/>
      <c r="I571" s="13"/>
      <c r="J571" s="14"/>
      <c r="K571" s="14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" customHeight="1">
      <c r="A572" s="14"/>
      <c r="B572" s="13"/>
      <c r="C572" s="13"/>
      <c r="D572" s="13"/>
      <c r="E572" s="13"/>
      <c r="F572" s="13"/>
      <c r="G572" s="13"/>
      <c r="H572" s="13"/>
      <c r="I572" s="13"/>
      <c r="J572" s="14"/>
      <c r="K572" s="14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" customHeight="1">
      <c r="A573" s="14"/>
      <c r="B573" s="13"/>
      <c r="C573" s="13"/>
      <c r="D573" s="13"/>
      <c r="E573" s="13"/>
      <c r="F573" s="13"/>
      <c r="G573" s="13"/>
      <c r="H573" s="13"/>
      <c r="I573" s="13"/>
      <c r="J573" s="14"/>
      <c r="K573" s="14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" customHeight="1">
      <c r="A574" s="14"/>
      <c r="B574" s="13"/>
      <c r="C574" s="13"/>
      <c r="D574" s="13"/>
      <c r="E574" s="13"/>
      <c r="F574" s="13"/>
      <c r="G574" s="13"/>
      <c r="H574" s="13"/>
      <c r="I574" s="13"/>
      <c r="J574" s="14"/>
      <c r="K574" s="14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" customHeight="1">
      <c r="A575" s="14"/>
      <c r="B575" s="13"/>
      <c r="C575" s="13"/>
      <c r="D575" s="13"/>
      <c r="E575" s="13"/>
      <c r="F575" s="13"/>
      <c r="G575" s="13"/>
      <c r="H575" s="13"/>
      <c r="I575" s="13"/>
      <c r="J575" s="14"/>
      <c r="K575" s="14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" customHeight="1">
      <c r="A576" s="14"/>
      <c r="B576" s="13"/>
      <c r="C576" s="13"/>
      <c r="D576" s="13"/>
      <c r="E576" s="13"/>
      <c r="F576" s="13"/>
      <c r="G576" s="13"/>
      <c r="H576" s="13"/>
      <c r="I576" s="13"/>
      <c r="J576" s="14"/>
      <c r="K576" s="14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" customHeight="1">
      <c r="A577" s="14"/>
      <c r="B577" s="13"/>
      <c r="C577" s="13"/>
      <c r="D577" s="13"/>
      <c r="E577" s="13"/>
      <c r="F577" s="13"/>
      <c r="G577" s="13"/>
      <c r="H577" s="13"/>
      <c r="I577" s="13"/>
      <c r="J577" s="14"/>
      <c r="K577" s="14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" customHeight="1">
      <c r="A578" s="14"/>
      <c r="B578" s="13"/>
      <c r="C578" s="13"/>
      <c r="D578" s="13"/>
      <c r="E578" s="13"/>
      <c r="F578" s="13"/>
      <c r="G578" s="13"/>
      <c r="H578" s="13"/>
      <c r="I578" s="13"/>
      <c r="J578" s="14"/>
      <c r="K578" s="14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" customHeight="1">
      <c r="A579" s="14"/>
      <c r="B579" s="13"/>
      <c r="C579" s="13"/>
      <c r="D579" s="13"/>
      <c r="E579" s="13"/>
      <c r="F579" s="13"/>
      <c r="G579" s="13"/>
      <c r="H579" s="13"/>
      <c r="I579" s="13"/>
      <c r="J579" s="14"/>
      <c r="K579" s="14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" customHeight="1">
      <c r="A580" s="14"/>
      <c r="B580" s="13"/>
      <c r="C580" s="13"/>
      <c r="D580" s="13"/>
      <c r="E580" s="13"/>
      <c r="F580" s="13"/>
      <c r="G580" s="13"/>
      <c r="H580" s="13"/>
      <c r="I580" s="13"/>
      <c r="J580" s="14"/>
      <c r="K580" s="14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" customHeight="1">
      <c r="A581" s="14"/>
      <c r="B581" s="13"/>
      <c r="C581" s="13"/>
      <c r="D581" s="13"/>
      <c r="E581" s="13"/>
      <c r="F581" s="13"/>
      <c r="G581" s="13"/>
      <c r="H581" s="13"/>
      <c r="I581" s="13"/>
      <c r="J581" s="14"/>
      <c r="K581" s="14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" customHeight="1">
      <c r="A582" s="14"/>
      <c r="B582" s="13"/>
      <c r="C582" s="13"/>
      <c r="D582" s="13"/>
      <c r="E582" s="13"/>
      <c r="F582" s="13"/>
      <c r="G582" s="13"/>
      <c r="H582" s="13"/>
      <c r="I582" s="13"/>
      <c r="J582" s="14"/>
      <c r="K582" s="14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" customHeight="1">
      <c r="A583" s="14"/>
      <c r="B583" s="13"/>
      <c r="C583" s="13"/>
      <c r="D583" s="13"/>
      <c r="E583" s="13"/>
      <c r="F583" s="13"/>
      <c r="G583" s="13"/>
      <c r="H583" s="13"/>
      <c r="I583" s="13"/>
      <c r="J583" s="14"/>
      <c r="K583" s="14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" customHeight="1">
      <c r="A584" s="14"/>
      <c r="B584" s="13"/>
      <c r="C584" s="13"/>
      <c r="D584" s="13"/>
      <c r="E584" s="13"/>
      <c r="F584" s="13"/>
      <c r="G584" s="13"/>
      <c r="H584" s="13"/>
      <c r="I584" s="13"/>
      <c r="J584" s="14"/>
      <c r="K584" s="14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" customHeight="1">
      <c r="A585" s="14"/>
      <c r="B585" s="13"/>
      <c r="C585" s="13"/>
      <c r="D585" s="13"/>
      <c r="E585" s="13"/>
      <c r="F585" s="13"/>
      <c r="G585" s="13"/>
      <c r="H585" s="13"/>
      <c r="I585" s="13"/>
      <c r="J585" s="14"/>
      <c r="K585" s="14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" customHeight="1">
      <c r="A586" s="14"/>
      <c r="B586" s="13"/>
      <c r="C586" s="13"/>
      <c r="D586" s="13"/>
      <c r="E586" s="13"/>
      <c r="F586" s="13"/>
      <c r="G586" s="13"/>
      <c r="H586" s="13"/>
      <c r="I586" s="13"/>
      <c r="J586" s="14"/>
      <c r="K586" s="14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" customHeight="1">
      <c r="A587" s="14"/>
      <c r="B587" s="13"/>
      <c r="C587" s="13"/>
      <c r="D587" s="13"/>
      <c r="E587" s="13"/>
      <c r="F587" s="13"/>
      <c r="G587" s="13"/>
      <c r="H587" s="13"/>
      <c r="I587" s="13"/>
      <c r="J587" s="14"/>
      <c r="K587" s="14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" customHeight="1">
      <c r="A588" s="14"/>
      <c r="B588" s="13"/>
      <c r="C588" s="13"/>
      <c r="D588" s="13"/>
      <c r="E588" s="13"/>
      <c r="F588" s="13"/>
      <c r="G588" s="13"/>
      <c r="H588" s="13"/>
      <c r="I588" s="13"/>
      <c r="J588" s="14"/>
      <c r="K588" s="14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" customHeight="1">
      <c r="A589" s="14"/>
      <c r="B589" s="13"/>
      <c r="C589" s="13"/>
      <c r="D589" s="13"/>
      <c r="E589" s="13"/>
      <c r="F589" s="13"/>
      <c r="G589" s="13"/>
      <c r="H589" s="13"/>
      <c r="I589" s="13"/>
      <c r="J589" s="14"/>
      <c r="K589" s="14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" customHeight="1">
      <c r="A590" s="14"/>
      <c r="B590" s="13"/>
      <c r="C590" s="13"/>
      <c r="D590" s="13"/>
      <c r="E590" s="13"/>
      <c r="F590" s="13"/>
      <c r="G590" s="13"/>
      <c r="H590" s="13"/>
      <c r="I590" s="13"/>
      <c r="J590" s="14"/>
      <c r="K590" s="14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" customHeight="1">
      <c r="A591" s="14"/>
      <c r="B591" s="13"/>
      <c r="C591" s="13"/>
      <c r="D591" s="13"/>
      <c r="E591" s="13"/>
      <c r="F591" s="13"/>
      <c r="G591" s="13"/>
      <c r="H591" s="13"/>
      <c r="I591" s="13"/>
      <c r="J591" s="14"/>
      <c r="K591" s="14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" customHeight="1">
      <c r="A592" s="14"/>
      <c r="B592" s="13"/>
      <c r="C592" s="13"/>
      <c r="D592" s="13"/>
      <c r="E592" s="13"/>
      <c r="F592" s="13"/>
      <c r="G592" s="13"/>
      <c r="H592" s="13"/>
      <c r="I592" s="13"/>
      <c r="J592" s="14"/>
      <c r="K592" s="14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" customHeight="1">
      <c r="A593" s="14"/>
      <c r="B593" s="13"/>
      <c r="C593" s="13"/>
      <c r="D593" s="13"/>
      <c r="E593" s="13"/>
      <c r="F593" s="13"/>
      <c r="G593" s="13"/>
      <c r="H593" s="13"/>
      <c r="I593" s="13"/>
      <c r="J593" s="14"/>
      <c r="K593" s="14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" customHeight="1">
      <c r="A594" s="14"/>
      <c r="B594" s="13"/>
      <c r="C594" s="13"/>
      <c r="D594" s="13"/>
      <c r="E594" s="13"/>
      <c r="F594" s="13"/>
      <c r="G594" s="13"/>
      <c r="H594" s="13"/>
      <c r="I594" s="13"/>
      <c r="J594" s="14"/>
      <c r="K594" s="14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" customHeight="1">
      <c r="A595" s="14"/>
      <c r="B595" s="13"/>
      <c r="C595" s="13"/>
      <c r="D595" s="13"/>
      <c r="E595" s="13"/>
      <c r="F595" s="13"/>
      <c r="G595" s="13"/>
      <c r="H595" s="13"/>
      <c r="I595" s="13"/>
      <c r="J595" s="14"/>
      <c r="K595" s="14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" customHeight="1">
      <c r="A596" s="14"/>
      <c r="B596" s="13"/>
      <c r="C596" s="13"/>
      <c r="D596" s="13"/>
      <c r="E596" s="13"/>
      <c r="F596" s="13"/>
      <c r="G596" s="13"/>
      <c r="H596" s="13"/>
      <c r="I596" s="13"/>
      <c r="J596" s="14"/>
      <c r="K596" s="14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" customHeight="1">
      <c r="A597" s="14"/>
      <c r="B597" s="13"/>
      <c r="C597" s="13"/>
      <c r="D597" s="13"/>
      <c r="E597" s="13"/>
      <c r="F597" s="13"/>
      <c r="G597" s="13"/>
      <c r="H597" s="13"/>
      <c r="I597" s="13"/>
      <c r="J597" s="14"/>
      <c r="K597" s="14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" customHeight="1">
      <c r="A598" s="14"/>
      <c r="B598" s="13"/>
      <c r="C598" s="13"/>
      <c r="D598" s="13"/>
      <c r="E598" s="13"/>
      <c r="F598" s="13"/>
      <c r="G598" s="13"/>
      <c r="H598" s="13"/>
      <c r="I598" s="13"/>
      <c r="J598" s="14"/>
      <c r="K598" s="14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" customHeight="1">
      <c r="A599" s="14"/>
      <c r="B599" s="13"/>
      <c r="C599" s="13"/>
      <c r="D599" s="13"/>
      <c r="E599" s="13"/>
      <c r="F599" s="13"/>
      <c r="G599" s="13"/>
      <c r="H599" s="13"/>
      <c r="I599" s="13"/>
      <c r="J599" s="14"/>
      <c r="K599" s="14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" customHeight="1">
      <c r="A600" s="14"/>
      <c r="B600" s="13"/>
      <c r="C600" s="13"/>
      <c r="D600" s="13"/>
      <c r="E600" s="13"/>
      <c r="F600" s="13"/>
      <c r="G600" s="13"/>
      <c r="H600" s="13"/>
      <c r="I600" s="13"/>
      <c r="J600" s="14"/>
      <c r="K600" s="14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" customHeight="1">
      <c r="A601" s="14"/>
      <c r="B601" s="13"/>
      <c r="C601" s="13"/>
      <c r="D601" s="13"/>
      <c r="E601" s="13"/>
      <c r="F601" s="13"/>
      <c r="G601" s="13"/>
      <c r="H601" s="13"/>
      <c r="I601" s="13"/>
      <c r="J601" s="14"/>
      <c r="K601" s="14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" customHeight="1">
      <c r="A602" s="14"/>
      <c r="B602" s="13"/>
      <c r="C602" s="13"/>
      <c r="D602" s="13"/>
      <c r="E602" s="13"/>
      <c r="F602" s="13"/>
      <c r="G602" s="13"/>
      <c r="H602" s="13"/>
      <c r="I602" s="13"/>
      <c r="J602" s="14"/>
      <c r="K602" s="14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" customHeight="1">
      <c r="A603" s="14"/>
      <c r="B603" s="13"/>
      <c r="C603" s="13"/>
      <c r="D603" s="13"/>
      <c r="E603" s="13"/>
      <c r="F603" s="13"/>
      <c r="G603" s="13"/>
      <c r="H603" s="13"/>
      <c r="I603" s="13"/>
      <c r="J603" s="14"/>
      <c r="K603" s="14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" customHeight="1">
      <c r="A604" s="14"/>
      <c r="B604" s="13"/>
      <c r="C604" s="13"/>
      <c r="D604" s="13"/>
      <c r="E604" s="13"/>
      <c r="F604" s="13"/>
      <c r="G604" s="13"/>
      <c r="H604" s="13"/>
      <c r="I604" s="13"/>
      <c r="J604" s="14"/>
      <c r="K604" s="14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" customHeight="1">
      <c r="A605" s="14"/>
      <c r="B605" s="13"/>
      <c r="C605" s="13"/>
      <c r="D605" s="13"/>
      <c r="E605" s="13"/>
      <c r="F605" s="13"/>
      <c r="G605" s="13"/>
      <c r="H605" s="13"/>
      <c r="I605" s="13"/>
      <c r="J605" s="14"/>
      <c r="K605" s="14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" customHeight="1">
      <c r="A606" s="14"/>
      <c r="B606" s="13"/>
      <c r="C606" s="13"/>
      <c r="D606" s="13"/>
      <c r="E606" s="13"/>
      <c r="F606" s="13"/>
      <c r="G606" s="13"/>
      <c r="H606" s="13"/>
      <c r="I606" s="13"/>
      <c r="J606" s="14"/>
      <c r="K606" s="14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" customHeight="1">
      <c r="A607" s="14"/>
      <c r="B607" s="13"/>
      <c r="C607" s="13"/>
      <c r="D607" s="13"/>
      <c r="E607" s="13"/>
      <c r="F607" s="13"/>
      <c r="G607" s="13"/>
      <c r="H607" s="13"/>
      <c r="I607" s="13"/>
      <c r="J607" s="14"/>
      <c r="K607" s="14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" customHeight="1">
      <c r="A608" s="14"/>
      <c r="B608" s="13"/>
      <c r="C608" s="13"/>
      <c r="D608" s="13"/>
      <c r="E608" s="13"/>
      <c r="F608" s="13"/>
      <c r="G608" s="13"/>
      <c r="H608" s="13"/>
      <c r="I608" s="13"/>
      <c r="J608" s="14"/>
      <c r="K608" s="14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" customHeight="1">
      <c r="A609" s="14"/>
      <c r="B609" s="13"/>
      <c r="C609" s="13"/>
      <c r="D609" s="13"/>
      <c r="E609" s="13"/>
      <c r="F609" s="13"/>
      <c r="G609" s="13"/>
      <c r="H609" s="13"/>
      <c r="I609" s="13"/>
      <c r="J609" s="14"/>
      <c r="K609" s="14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" customHeight="1">
      <c r="A610" s="14"/>
      <c r="B610" s="13"/>
      <c r="C610" s="13"/>
      <c r="D610" s="13"/>
      <c r="E610" s="13"/>
      <c r="F610" s="13"/>
      <c r="G610" s="13"/>
      <c r="H610" s="13"/>
      <c r="I610" s="13"/>
      <c r="J610" s="14"/>
      <c r="K610" s="14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" customHeight="1">
      <c r="A611" s="14"/>
      <c r="B611" s="13"/>
      <c r="C611" s="13"/>
      <c r="D611" s="13"/>
      <c r="E611" s="13"/>
      <c r="F611" s="13"/>
      <c r="G611" s="13"/>
      <c r="H611" s="13"/>
      <c r="I611" s="13"/>
      <c r="J611" s="14"/>
      <c r="K611" s="14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" customHeight="1">
      <c r="A612" s="14"/>
      <c r="B612" s="13"/>
      <c r="C612" s="13"/>
      <c r="D612" s="13"/>
      <c r="E612" s="13"/>
      <c r="F612" s="13"/>
      <c r="G612" s="13"/>
      <c r="H612" s="13"/>
      <c r="I612" s="13"/>
      <c r="J612" s="14"/>
      <c r="K612" s="14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" customHeight="1">
      <c r="A613" s="14"/>
      <c r="B613" s="13"/>
      <c r="C613" s="13"/>
      <c r="D613" s="13"/>
      <c r="E613" s="13"/>
      <c r="F613" s="13"/>
      <c r="G613" s="13"/>
      <c r="H613" s="13"/>
      <c r="I613" s="13"/>
      <c r="J613" s="14"/>
      <c r="K613" s="14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" customHeight="1">
      <c r="A614" s="14"/>
      <c r="B614" s="13"/>
      <c r="C614" s="13"/>
      <c r="D614" s="13"/>
      <c r="E614" s="13"/>
      <c r="F614" s="13"/>
      <c r="G614" s="13"/>
      <c r="H614" s="13"/>
      <c r="I614" s="13"/>
      <c r="J614" s="14"/>
      <c r="K614" s="14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" customHeight="1">
      <c r="A615" s="14"/>
      <c r="B615" s="13"/>
      <c r="C615" s="13"/>
      <c r="D615" s="13"/>
      <c r="E615" s="13"/>
      <c r="F615" s="13"/>
      <c r="G615" s="13"/>
      <c r="H615" s="13"/>
      <c r="I615" s="13"/>
      <c r="J615" s="14"/>
      <c r="K615" s="14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" customHeight="1">
      <c r="A616" s="14"/>
      <c r="B616" s="13"/>
      <c r="C616" s="13"/>
      <c r="D616" s="13"/>
      <c r="E616" s="13"/>
      <c r="F616" s="13"/>
      <c r="G616" s="13"/>
      <c r="H616" s="13"/>
      <c r="I616" s="13"/>
      <c r="J616" s="14"/>
      <c r="K616" s="14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" customHeight="1">
      <c r="A617" s="14"/>
      <c r="B617" s="13"/>
      <c r="C617" s="13"/>
      <c r="D617" s="13"/>
      <c r="E617" s="13"/>
      <c r="F617" s="13"/>
      <c r="G617" s="13"/>
      <c r="H617" s="13"/>
      <c r="I617" s="13"/>
      <c r="J617" s="14"/>
      <c r="K617" s="14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" customHeight="1">
      <c r="A618" s="14"/>
      <c r="B618" s="13"/>
      <c r="C618" s="13"/>
      <c r="D618" s="13"/>
      <c r="E618" s="13"/>
      <c r="F618" s="13"/>
      <c r="G618" s="13"/>
      <c r="H618" s="13"/>
      <c r="I618" s="13"/>
      <c r="J618" s="14"/>
      <c r="K618" s="14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" customHeight="1">
      <c r="A619" s="14"/>
      <c r="B619" s="13"/>
      <c r="C619" s="13"/>
      <c r="D619" s="13"/>
      <c r="E619" s="13"/>
      <c r="F619" s="13"/>
      <c r="G619" s="13"/>
      <c r="H619" s="13"/>
      <c r="I619" s="13"/>
      <c r="J619" s="14"/>
      <c r="K619" s="14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" customHeight="1">
      <c r="A620" s="14"/>
      <c r="B620" s="13"/>
      <c r="C620" s="13"/>
      <c r="D620" s="13"/>
      <c r="E620" s="13"/>
      <c r="F620" s="13"/>
      <c r="G620" s="13"/>
      <c r="H620" s="13"/>
      <c r="I620" s="13"/>
      <c r="J620" s="14"/>
      <c r="K620" s="14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" customHeight="1">
      <c r="A621" s="14"/>
      <c r="B621" s="13"/>
      <c r="C621" s="13"/>
      <c r="D621" s="13"/>
      <c r="E621" s="13"/>
      <c r="F621" s="13"/>
      <c r="G621" s="13"/>
      <c r="H621" s="13"/>
      <c r="I621" s="13"/>
      <c r="J621" s="14"/>
      <c r="K621" s="14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" customHeight="1">
      <c r="A622" s="14"/>
      <c r="B622" s="13"/>
      <c r="C622" s="13"/>
      <c r="D622" s="13"/>
      <c r="E622" s="13"/>
      <c r="F622" s="13"/>
      <c r="G622" s="13"/>
      <c r="H622" s="13"/>
      <c r="I622" s="13"/>
      <c r="J622" s="14"/>
      <c r="K622" s="14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" customHeight="1">
      <c r="A623" s="14"/>
      <c r="B623" s="13"/>
      <c r="C623" s="13"/>
      <c r="D623" s="13"/>
      <c r="E623" s="13"/>
      <c r="F623" s="13"/>
      <c r="G623" s="13"/>
      <c r="H623" s="13"/>
      <c r="I623" s="13"/>
      <c r="J623" s="14"/>
      <c r="K623" s="14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" customHeight="1">
      <c r="A624" s="14"/>
      <c r="B624" s="13"/>
      <c r="C624" s="13"/>
      <c r="D624" s="13"/>
      <c r="E624" s="13"/>
      <c r="F624" s="13"/>
      <c r="G624" s="13"/>
      <c r="H624" s="13"/>
      <c r="I624" s="13"/>
      <c r="J624" s="14"/>
      <c r="K624" s="14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" customHeight="1">
      <c r="A625" s="14"/>
      <c r="B625" s="13"/>
      <c r="C625" s="13"/>
      <c r="D625" s="13"/>
      <c r="E625" s="13"/>
      <c r="F625" s="13"/>
      <c r="G625" s="13"/>
      <c r="H625" s="13"/>
      <c r="I625" s="13"/>
      <c r="J625" s="14"/>
      <c r="K625" s="14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" customHeight="1">
      <c r="A626" s="14"/>
      <c r="B626" s="13"/>
      <c r="C626" s="13"/>
      <c r="D626" s="13"/>
      <c r="E626" s="13"/>
      <c r="F626" s="13"/>
      <c r="G626" s="13"/>
      <c r="H626" s="13"/>
      <c r="I626" s="13"/>
      <c r="J626" s="14"/>
      <c r="K626" s="14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" customHeight="1">
      <c r="A627" s="14"/>
      <c r="B627" s="13"/>
      <c r="C627" s="13"/>
      <c r="D627" s="13"/>
      <c r="E627" s="13"/>
      <c r="F627" s="13"/>
      <c r="G627" s="13"/>
      <c r="H627" s="13"/>
      <c r="I627" s="13"/>
      <c r="J627" s="14"/>
      <c r="K627" s="14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" customHeight="1">
      <c r="A628" s="14"/>
      <c r="B628" s="13"/>
      <c r="C628" s="13"/>
      <c r="D628" s="13"/>
      <c r="E628" s="13"/>
      <c r="F628" s="13"/>
      <c r="G628" s="13"/>
      <c r="H628" s="13"/>
      <c r="I628" s="13"/>
      <c r="J628" s="14"/>
      <c r="K628" s="14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" customHeight="1">
      <c r="A629" s="14"/>
      <c r="B629" s="13"/>
      <c r="C629" s="13"/>
      <c r="D629" s="13"/>
      <c r="E629" s="13"/>
      <c r="F629" s="13"/>
      <c r="G629" s="13"/>
      <c r="H629" s="13"/>
      <c r="I629" s="13"/>
      <c r="J629" s="14"/>
      <c r="K629" s="14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" customHeight="1">
      <c r="A630" s="14"/>
      <c r="B630" s="13"/>
      <c r="C630" s="13"/>
      <c r="D630" s="13"/>
      <c r="E630" s="13"/>
      <c r="F630" s="13"/>
      <c r="G630" s="13"/>
      <c r="H630" s="13"/>
      <c r="I630" s="13"/>
      <c r="J630" s="14"/>
      <c r="K630" s="14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" customHeight="1">
      <c r="A631" s="14"/>
      <c r="B631" s="13"/>
      <c r="C631" s="13"/>
      <c r="D631" s="13"/>
      <c r="E631" s="13"/>
      <c r="F631" s="13"/>
      <c r="G631" s="13"/>
      <c r="H631" s="13"/>
      <c r="I631" s="13"/>
      <c r="J631" s="14"/>
      <c r="K631" s="14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" customHeight="1">
      <c r="A632" s="14"/>
      <c r="B632" s="13"/>
      <c r="C632" s="13"/>
      <c r="D632" s="13"/>
      <c r="E632" s="13"/>
      <c r="F632" s="13"/>
      <c r="G632" s="13"/>
      <c r="H632" s="13"/>
      <c r="I632" s="13"/>
      <c r="J632" s="14"/>
      <c r="K632" s="14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" customHeight="1">
      <c r="A633" s="14"/>
      <c r="B633" s="13"/>
      <c r="C633" s="13"/>
      <c r="D633" s="13"/>
      <c r="E633" s="13"/>
      <c r="F633" s="13"/>
      <c r="G633" s="13"/>
      <c r="H633" s="13"/>
      <c r="I633" s="13"/>
      <c r="J633" s="14"/>
      <c r="K633" s="14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" customHeight="1">
      <c r="A634" s="14"/>
      <c r="B634" s="13"/>
      <c r="C634" s="13"/>
      <c r="D634" s="13"/>
      <c r="E634" s="13"/>
      <c r="F634" s="13"/>
      <c r="G634" s="13"/>
      <c r="H634" s="13"/>
      <c r="I634" s="13"/>
      <c r="J634" s="14"/>
      <c r="K634" s="14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" customHeight="1">
      <c r="A635" s="14"/>
      <c r="B635" s="13"/>
      <c r="C635" s="13"/>
      <c r="D635" s="13"/>
      <c r="E635" s="13"/>
      <c r="F635" s="13"/>
      <c r="G635" s="13"/>
      <c r="H635" s="13"/>
      <c r="I635" s="13"/>
      <c r="J635" s="14"/>
      <c r="K635" s="14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" customHeight="1">
      <c r="A636" s="14"/>
      <c r="B636" s="13"/>
      <c r="C636" s="13"/>
      <c r="D636" s="13"/>
      <c r="E636" s="13"/>
      <c r="F636" s="13"/>
      <c r="G636" s="13"/>
      <c r="H636" s="13"/>
      <c r="I636" s="13"/>
      <c r="J636" s="14"/>
      <c r="K636" s="14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" customHeight="1">
      <c r="A637" s="14"/>
      <c r="B637" s="13"/>
      <c r="C637" s="13"/>
      <c r="D637" s="13"/>
      <c r="E637" s="13"/>
      <c r="F637" s="13"/>
      <c r="G637" s="13"/>
      <c r="H637" s="13"/>
      <c r="I637" s="13"/>
      <c r="J637" s="14"/>
      <c r="K637" s="14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" customHeight="1">
      <c r="A638" s="14"/>
      <c r="B638" s="13"/>
      <c r="C638" s="13"/>
      <c r="D638" s="13"/>
      <c r="E638" s="13"/>
      <c r="F638" s="13"/>
      <c r="G638" s="13"/>
      <c r="H638" s="13"/>
      <c r="I638" s="13"/>
      <c r="J638" s="14"/>
      <c r="K638" s="14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" customHeight="1">
      <c r="A639" s="14"/>
      <c r="B639" s="13"/>
      <c r="C639" s="13"/>
      <c r="D639" s="13"/>
      <c r="E639" s="13"/>
      <c r="F639" s="13"/>
      <c r="G639" s="13"/>
      <c r="H639" s="13"/>
      <c r="I639" s="13"/>
      <c r="J639" s="14"/>
      <c r="K639" s="14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" customHeight="1">
      <c r="A640" s="14"/>
      <c r="B640" s="13"/>
      <c r="C640" s="13"/>
      <c r="D640" s="13"/>
      <c r="E640" s="13"/>
      <c r="F640" s="13"/>
      <c r="G640" s="13"/>
      <c r="H640" s="13"/>
      <c r="I640" s="13"/>
      <c r="J640" s="14"/>
      <c r="K640" s="14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" customHeight="1">
      <c r="A641" s="14"/>
      <c r="B641" s="13"/>
      <c r="C641" s="13"/>
      <c r="D641" s="13"/>
      <c r="E641" s="13"/>
      <c r="F641" s="13"/>
      <c r="G641" s="13"/>
      <c r="H641" s="13"/>
      <c r="I641" s="13"/>
      <c r="J641" s="14"/>
      <c r="K641" s="14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" customHeight="1">
      <c r="A642" s="14"/>
      <c r="B642" s="13"/>
      <c r="C642" s="13"/>
      <c r="D642" s="13"/>
      <c r="E642" s="13"/>
      <c r="F642" s="13"/>
      <c r="G642" s="13"/>
      <c r="H642" s="13"/>
      <c r="I642" s="13"/>
      <c r="J642" s="14"/>
      <c r="K642" s="14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" customHeight="1">
      <c r="A643" s="14"/>
      <c r="B643" s="13"/>
      <c r="C643" s="13"/>
      <c r="D643" s="13"/>
      <c r="E643" s="13"/>
      <c r="F643" s="13"/>
      <c r="G643" s="13"/>
      <c r="H643" s="13"/>
      <c r="I643" s="13"/>
      <c r="J643" s="14"/>
      <c r="K643" s="14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" customHeight="1">
      <c r="A644" s="14"/>
      <c r="B644" s="13"/>
      <c r="C644" s="13"/>
      <c r="D644" s="13"/>
      <c r="E644" s="13"/>
      <c r="F644" s="13"/>
      <c r="G644" s="13"/>
      <c r="H644" s="13"/>
      <c r="I644" s="13"/>
      <c r="J644" s="14"/>
      <c r="K644" s="14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" customHeight="1">
      <c r="A645" s="14"/>
      <c r="B645" s="13"/>
      <c r="C645" s="13"/>
      <c r="D645" s="13"/>
      <c r="E645" s="13"/>
      <c r="F645" s="13"/>
      <c r="G645" s="13"/>
      <c r="H645" s="13"/>
      <c r="I645" s="13"/>
      <c r="J645" s="14"/>
      <c r="K645" s="14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" customHeight="1">
      <c r="A646" s="14"/>
      <c r="B646" s="13"/>
      <c r="C646" s="13"/>
      <c r="D646" s="13"/>
      <c r="E646" s="13"/>
      <c r="F646" s="13"/>
      <c r="G646" s="13"/>
      <c r="H646" s="13"/>
      <c r="I646" s="13"/>
      <c r="J646" s="14"/>
      <c r="K646" s="14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" customHeight="1">
      <c r="A647" s="14"/>
      <c r="B647" s="13"/>
      <c r="C647" s="13"/>
      <c r="D647" s="13"/>
      <c r="E647" s="13"/>
      <c r="F647" s="13"/>
      <c r="G647" s="13"/>
      <c r="H647" s="13"/>
      <c r="I647" s="13"/>
      <c r="J647" s="14"/>
      <c r="K647" s="14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" customHeight="1">
      <c r="A648" s="14"/>
      <c r="B648" s="13"/>
      <c r="C648" s="13"/>
      <c r="D648" s="13"/>
      <c r="E648" s="13"/>
      <c r="F648" s="13"/>
      <c r="G648" s="13"/>
      <c r="H648" s="13"/>
      <c r="I648" s="13"/>
      <c r="J648" s="14"/>
      <c r="K648" s="14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" customHeight="1">
      <c r="A649" s="14"/>
      <c r="B649" s="13"/>
      <c r="C649" s="13"/>
      <c r="D649" s="13"/>
      <c r="E649" s="13"/>
      <c r="F649" s="13"/>
      <c r="G649" s="13"/>
      <c r="H649" s="13"/>
      <c r="I649" s="13"/>
      <c r="J649" s="14"/>
      <c r="K649" s="14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" customHeight="1">
      <c r="A650" s="14"/>
      <c r="B650" s="13"/>
      <c r="C650" s="13"/>
      <c r="D650" s="13"/>
      <c r="E650" s="13"/>
      <c r="F650" s="13"/>
      <c r="G650" s="13"/>
      <c r="H650" s="13"/>
      <c r="I650" s="13"/>
      <c r="J650" s="14"/>
      <c r="K650" s="14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" customHeight="1">
      <c r="A651" s="14"/>
      <c r="B651" s="13"/>
      <c r="C651" s="13"/>
      <c r="D651" s="13"/>
      <c r="E651" s="13"/>
      <c r="F651" s="13"/>
      <c r="G651" s="13"/>
      <c r="H651" s="13"/>
      <c r="I651" s="13"/>
      <c r="J651" s="14"/>
      <c r="K651" s="14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" customHeight="1">
      <c r="A652" s="14"/>
      <c r="B652" s="13"/>
      <c r="C652" s="13"/>
      <c r="D652" s="13"/>
      <c r="E652" s="13"/>
      <c r="F652" s="13"/>
      <c r="G652" s="13"/>
      <c r="H652" s="13"/>
      <c r="I652" s="13"/>
      <c r="J652" s="14"/>
      <c r="K652" s="14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" customHeight="1">
      <c r="A653" s="14"/>
      <c r="B653" s="13"/>
      <c r="C653" s="13"/>
      <c r="D653" s="13"/>
      <c r="E653" s="13"/>
      <c r="F653" s="13"/>
      <c r="G653" s="13"/>
      <c r="H653" s="13"/>
      <c r="I653" s="13"/>
      <c r="J653" s="14"/>
      <c r="K653" s="14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" customHeight="1">
      <c r="A654" s="14"/>
      <c r="B654" s="13"/>
      <c r="C654" s="13"/>
      <c r="D654" s="13"/>
      <c r="E654" s="13"/>
      <c r="F654" s="13"/>
      <c r="G654" s="13"/>
      <c r="H654" s="13"/>
      <c r="I654" s="13"/>
      <c r="J654" s="14"/>
      <c r="K654" s="14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" customHeight="1">
      <c r="A655" s="14"/>
      <c r="B655" s="13"/>
      <c r="C655" s="13"/>
      <c r="D655" s="13"/>
      <c r="E655" s="13"/>
      <c r="F655" s="13"/>
      <c r="G655" s="13"/>
      <c r="H655" s="13"/>
      <c r="I655" s="13"/>
      <c r="J655" s="14"/>
      <c r="K655" s="14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" customHeight="1">
      <c r="A656" s="14"/>
      <c r="B656" s="13"/>
      <c r="C656" s="13"/>
      <c r="D656" s="13"/>
      <c r="E656" s="13"/>
      <c r="F656" s="13"/>
      <c r="G656" s="13"/>
      <c r="H656" s="13"/>
      <c r="I656" s="13"/>
      <c r="J656" s="14"/>
      <c r="K656" s="14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" customHeight="1">
      <c r="A657" s="14"/>
      <c r="B657" s="13"/>
      <c r="C657" s="13"/>
      <c r="D657" s="13"/>
      <c r="E657" s="13"/>
      <c r="F657" s="13"/>
      <c r="G657" s="13"/>
      <c r="H657" s="13"/>
      <c r="I657" s="13"/>
      <c r="J657" s="14"/>
      <c r="K657" s="14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" customHeight="1">
      <c r="A658" s="14"/>
      <c r="B658" s="13"/>
      <c r="C658" s="13"/>
      <c r="D658" s="13"/>
      <c r="E658" s="13"/>
      <c r="F658" s="13"/>
      <c r="G658" s="13"/>
      <c r="H658" s="13"/>
      <c r="I658" s="13"/>
      <c r="J658" s="14"/>
      <c r="K658" s="14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" customHeight="1">
      <c r="A659" s="14"/>
      <c r="B659" s="13"/>
      <c r="C659" s="13"/>
      <c r="D659" s="13"/>
      <c r="E659" s="13"/>
      <c r="F659" s="13"/>
      <c r="G659" s="13"/>
      <c r="H659" s="13"/>
      <c r="I659" s="13"/>
      <c r="J659" s="14"/>
      <c r="K659" s="14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" customHeight="1">
      <c r="A660" s="14"/>
      <c r="B660" s="13"/>
      <c r="C660" s="13"/>
      <c r="D660" s="13"/>
      <c r="E660" s="13"/>
      <c r="F660" s="13"/>
      <c r="G660" s="13"/>
      <c r="H660" s="13"/>
      <c r="I660" s="13"/>
      <c r="J660" s="14"/>
      <c r="K660" s="14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" customHeight="1">
      <c r="A661" s="14"/>
      <c r="B661" s="13"/>
      <c r="C661" s="13"/>
      <c r="D661" s="13"/>
      <c r="E661" s="13"/>
      <c r="F661" s="13"/>
      <c r="G661" s="13"/>
      <c r="H661" s="13"/>
      <c r="I661" s="13"/>
      <c r="J661" s="14"/>
      <c r="K661" s="14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" customHeight="1">
      <c r="A662" s="14"/>
      <c r="B662" s="13"/>
      <c r="C662" s="13"/>
      <c r="D662" s="13"/>
      <c r="E662" s="13"/>
      <c r="F662" s="13"/>
      <c r="G662" s="13"/>
      <c r="H662" s="13"/>
      <c r="I662" s="13"/>
      <c r="J662" s="14"/>
      <c r="K662" s="14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" customHeight="1">
      <c r="A663" s="14"/>
      <c r="B663" s="13"/>
      <c r="C663" s="13"/>
      <c r="D663" s="13"/>
      <c r="E663" s="13"/>
      <c r="F663" s="13"/>
      <c r="G663" s="13"/>
      <c r="H663" s="13"/>
      <c r="I663" s="13"/>
      <c r="J663" s="14"/>
      <c r="K663" s="14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" customHeight="1">
      <c r="A664" s="14"/>
      <c r="B664" s="13"/>
      <c r="C664" s="13"/>
      <c r="D664" s="13"/>
      <c r="E664" s="13"/>
      <c r="F664" s="13"/>
      <c r="G664" s="13"/>
      <c r="H664" s="13"/>
      <c r="I664" s="13"/>
      <c r="J664" s="14"/>
      <c r="K664" s="14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" customHeight="1">
      <c r="A665" s="14"/>
      <c r="B665" s="13"/>
      <c r="C665" s="13"/>
      <c r="D665" s="13"/>
      <c r="E665" s="13"/>
      <c r="F665" s="13"/>
      <c r="G665" s="13"/>
      <c r="H665" s="13"/>
      <c r="I665" s="13"/>
      <c r="J665" s="14"/>
      <c r="K665" s="14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" customHeight="1">
      <c r="A666" s="14"/>
      <c r="B666" s="13"/>
      <c r="C666" s="13"/>
      <c r="D666" s="13"/>
      <c r="E666" s="13"/>
      <c r="F666" s="13"/>
      <c r="G666" s="13"/>
      <c r="H666" s="13"/>
      <c r="I666" s="13"/>
      <c r="J666" s="14"/>
      <c r="K666" s="14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" customHeight="1">
      <c r="A667" s="14"/>
      <c r="B667" s="13"/>
      <c r="C667" s="13"/>
      <c r="D667" s="13"/>
      <c r="E667" s="13"/>
      <c r="F667" s="13"/>
      <c r="G667" s="13"/>
      <c r="H667" s="13"/>
      <c r="I667" s="13"/>
      <c r="J667" s="14"/>
      <c r="K667" s="14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" customHeight="1">
      <c r="A668" s="14"/>
      <c r="B668" s="13"/>
      <c r="C668" s="13"/>
      <c r="D668" s="13"/>
      <c r="E668" s="13"/>
      <c r="F668" s="13"/>
      <c r="G668" s="13"/>
      <c r="H668" s="13"/>
      <c r="I668" s="13"/>
      <c r="J668" s="14"/>
      <c r="K668" s="14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" customHeight="1">
      <c r="A669" s="14"/>
      <c r="B669" s="13"/>
      <c r="C669" s="13"/>
      <c r="D669" s="13"/>
      <c r="E669" s="13"/>
      <c r="F669" s="13"/>
      <c r="G669" s="13"/>
      <c r="H669" s="13"/>
      <c r="I669" s="13"/>
      <c r="J669" s="14"/>
      <c r="K669" s="14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" customHeight="1">
      <c r="A670" s="14"/>
      <c r="B670" s="13"/>
      <c r="C670" s="13"/>
      <c r="D670" s="13"/>
      <c r="E670" s="13"/>
      <c r="F670" s="13"/>
      <c r="G670" s="13"/>
      <c r="H670" s="13"/>
      <c r="I670" s="13"/>
      <c r="J670" s="14"/>
      <c r="K670" s="14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" customHeight="1">
      <c r="A671" s="14"/>
      <c r="B671" s="13"/>
      <c r="C671" s="13"/>
      <c r="D671" s="13"/>
      <c r="E671" s="13"/>
      <c r="F671" s="13"/>
      <c r="G671" s="13"/>
      <c r="H671" s="13"/>
      <c r="I671" s="13"/>
      <c r="J671" s="14"/>
      <c r="K671" s="14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" customHeight="1">
      <c r="A672" s="14"/>
      <c r="B672" s="13"/>
      <c r="C672" s="13"/>
      <c r="D672" s="13"/>
      <c r="E672" s="13"/>
      <c r="F672" s="13"/>
      <c r="G672" s="13"/>
      <c r="H672" s="13"/>
      <c r="I672" s="13"/>
      <c r="J672" s="14"/>
      <c r="K672" s="14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" customHeight="1">
      <c r="A673" s="14"/>
      <c r="B673" s="13"/>
      <c r="C673" s="13"/>
      <c r="D673" s="13"/>
      <c r="E673" s="13"/>
      <c r="F673" s="13"/>
      <c r="G673" s="13"/>
      <c r="H673" s="13"/>
      <c r="I673" s="13"/>
      <c r="J673" s="14"/>
      <c r="K673" s="14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" customHeight="1">
      <c r="A674" s="14"/>
      <c r="B674" s="13"/>
      <c r="C674" s="13"/>
      <c r="D674" s="13"/>
      <c r="E674" s="13"/>
      <c r="F674" s="13"/>
      <c r="G674" s="13"/>
      <c r="H674" s="13"/>
      <c r="I674" s="13"/>
      <c r="J674" s="14"/>
      <c r="K674" s="14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" customHeight="1">
      <c r="A675" s="14"/>
      <c r="B675" s="13"/>
      <c r="C675" s="13"/>
      <c r="D675" s="13"/>
      <c r="E675" s="13"/>
      <c r="F675" s="13"/>
      <c r="G675" s="13"/>
      <c r="H675" s="13"/>
      <c r="I675" s="13"/>
      <c r="J675" s="14"/>
      <c r="K675" s="14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" customHeight="1">
      <c r="A676" s="14"/>
      <c r="B676" s="13"/>
      <c r="C676" s="13"/>
      <c r="D676" s="13"/>
      <c r="E676" s="13"/>
      <c r="F676" s="13"/>
      <c r="G676" s="13"/>
      <c r="H676" s="13"/>
      <c r="I676" s="13"/>
      <c r="J676" s="14"/>
      <c r="K676" s="14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" customHeight="1">
      <c r="A677" s="14"/>
      <c r="B677" s="13"/>
      <c r="C677" s="13"/>
      <c r="D677" s="13"/>
      <c r="E677" s="13"/>
      <c r="F677" s="13"/>
      <c r="G677" s="13"/>
      <c r="H677" s="13"/>
      <c r="I677" s="13"/>
      <c r="J677" s="14"/>
      <c r="K677" s="14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" customHeight="1">
      <c r="A678" s="14"/>
      <c r="B678" s="13"/>
      <c r="C678" s="13"/>
      <c r="D678" s="13"/>
      <c r="E678" s="13"/>
      <c r="F678" s="13"/>
      <c r="G678" s="13"/>
      <c r="H678" s="13"/>
      <c r="I678" s="13"/>
      <c r="J678" s="14"/>
      <c r="K678" s="14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" customHeight="1">
      <c r="A679" s="14"/>
      <c r="B679" s="13"/>
      <c r="C679" s="13"/>
      <c r="D679" s="13"/>
      <c r="E679" s="13"/>
      <c r="F679" s="13"/>
      <c r="G679" s="13"/>
      <c r="H679" s="13"/>
      <c r="I679" s="13"/>
      <c r="J679" s="14"/>
      <c r="K679" s="14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" customHeight="1">
      <c r="A680" s="14"/>
      <c r="B680" s="13"/>
      <c r="C680" s="13"/>
      <c r="D680" s="13"/>
      <c r="E680" s="13"/>
      <c r="F680" s="13"/>
      <c r="G680" s="13"/>
      <c r="H680" s="13"/>
      <c r="I680" s="13"/>
      <c r="J680" s="14"/>
      <c r="K680" s="14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" customHeight="1">
      <c r="A681" s="14"/>
      <c r="B681" s="13"/>
      <c r="C681" s="13"/>
      <c r="D681" s="13"/>
      <c r="E681" s="13"/>
      <c r="F681" s="13"/>
      <c r="G681" s="13"/>
      <c r="H681" s="13"/>
      <c r="I681" s="13"/>
      <c r="J681" s="14"/>
      <c r="K681" s="14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" customHeight="1">
      <c r="A682" s="14"/>
      <c r="B682" s="13"/>
      <c r="C682" s="13"/>
      <c r="D682" s="13"/>
      <c r="E682" s="13"/>
      <c r="F682" s="13"/>
      <c r="G682" s="13"/>
      <c r="H682" s="13"/>
      <c r="I682" s="13"/>
      <c r="J682" s="14"/>
      <c r="K682" s="14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" customHeight="1">
      <c r="A683" s="14"/>
      <c r="B683" s="13"/>
      <c r="C683" s="13"/>
      <c r="D683" s="13"/>
      <c r="E683" s="13"/>
      <c r="F683" s="13"/>
      <c r="G683" s="13"/>
      <c r="H683" s="13"/>
      <c r="I683" s="13"/>
      <c r="J683" s="14"/>
      <c r="K683" s="14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" customHeight="1">
      <c r="A684" s="14"/>
      <c r="B684" s="13"/>
      <c r="C684" s="13"/>
      <c r="D684" s="13"/>
      <c r="E684" s="13"/>
      <c r="F684" s="13"/>
      <c r="G684" s="13"/>
      <c r="H684" s="13"/>
      <c r="I684" s="13"/>
      <c r="J684" s="14"/>
      <c r="K684" s="14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" customHeight="1">
      <c r="A685" s="14"/>
      <c r="B685" s="13"/>
      <c r="C685" s="13"/>
      <c r="D685" s="13"/>
      <c r="E685" s="13"/>
      <c r="F685" s="13"/>
      <c r="G685" s="13"/>
      <c r="H685" s="13"/>
      <c r="I685" s="13"/>
      <c r="J685" s="14"/>
      <c r="K685" s="14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" customHeight="1">
      <c r="A686" s="14"/>
      <c r="B686" s="13"/>
      <c r="C686" s="13"/>
      <c r="D686" s="13"/>
      <c r="E686" s="13"/>
      <c r="F686" s="13"/>
      <c r="G686" s="13"/>
      <c r="H686" s="13"/>
      <c r="I686" s="13"/>
      <c r="J686" s="14"/>
      <c r="K686" s="14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" customHeight="1">
      <c r="A687" s="14"/>
      <c r="B687" s="13"/>
      <c r="C687" s="13"/>
      <c r="D687" s="13"/>
      <c r="E687" s="13"/>
      <c r="F687" s="13"/>
      <c r="G687" s="13"/>
      <c r="H687" s="13"/>
      <c r="I687" s="13"/>
      <c r="J687" s="14"/>
      <c r="K687" s="14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" customHeight="1">
      <c r="A688" s="14"/>
      <c r="B688" s="13"/>
      <c r="C688" s="13"/>
      <c r="D688" s="13"/>
      <c r="E688" s="13"/>
      <c r="F688" s="13"/>
      <c r="G688" s="13"/>
      <c r="H688" s="13"/>
      <c r="I688" s="13"/>
      <c r="J688" s="14"/>
      <c r="K688" s="14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" customHeight="1">
      <c r="A689" s="14"/>
      <c r="B689" s="13"/>
      <c r="C689" s="13"/>
      <c r="D689" s="13"/>
      <c r="E689" s="13"/>
      <c r="F689" s="13"/>
      <c r="G689" s="13"/>
      <c r="H689" s="13"/>
      <c r="I689" s="13"/>
      <c r="J689" s="14"/>
      <c r="K689" s="14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" customHeight="1">
      <c r="A690" s="14"/>
      <c r="B690" s="13"/>
      <c r="C690" s="13"/>
      <c r="D690" s="13"/>
      <c r="E690" s="13"/>
      <c r="F690" s="13"/>
      <c r="G690" s="13"/>
      <c r="H690" s="13"/>
      <c r="I690" s="13"/>
      <c r="J690" s="14"/>
      <c r="K690" s="14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" customHeight="1">
      <c r="A691" s="14"/>
      <c r="B691" s="13"/>
      <c r="C691" s="13"/>
      <c r="D691" s="13"/>
      <c r="E691" s="13"/>
      <c r="F691" s="13"/>
      <c r="G691" s="13"/>
      <c r="H691" s="13"/>
      <c r="I691" s="13"/>
      <c r="J691" s="14"/>
      <c r="K691" s="14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" customHeight="1">
      <c r="A692" s="14"/>
      <c r="B692" s="13"/>
      <c r="C692" s="13"/>
      <c r="D692" s="13"/>
      <c r="E692" s="13"/>
      <c r="F692" s="13"/>
      <c r="G692" s="13"/>
      <c r="H692" s="13"/>
      <c r="I692" s="13"/>
      <c r="J692" s="14"/>
      <c r="K692" s="14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" customHeight="1">
      <c r="A693" s="14"/>
      <c r="B693" s="13"/>
      <c r="C693" s="13"/>
      <c r="D693" s="13"/>
      <c r="E693" s="13"/>
      <c r="F693" s="13"/>
      <c r="G693" s="13"/>
      <c r="H693" s="13"/>
      <c r="I693" s="13"/>
      <c r="J693" s="14"/>
      <c r="K693" s="14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" customHeight="1">
      <c r="A694" s="14"/>
      <c r="B694" s="13"/>
      <c r="C694" s="13"/>
      <c r="D694" s="13"/>
      <c r="E694" s="13"/>
      <c r="F694" s="13"/>
      <c r="G694" s="13"/>
      <c r="H694" s="13"/>
      <c r="I694" s="13"/>
      <c r="J694" s="14"/>
      <c r="K694" s="14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" customHeight="1">
      <c r="A695" s="14"/>
      <c r="B695" s="13"/>
      <c r="C695" s="13"/>
      <c r="D695" s="13"/>
      <c r="E695" s="13"/>
      <c r="F695" s="13"/>
      <c r="G695" s="13"/>
      <c r="H695" s="13"/>
      <c r="I695" s="13"/>
      <c r="J695" s="14"/>
      <c r="K695" s="14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" customHeight="1">
      <c r="A696" s="14"/>
      <c r="B696" s="13"/>
      <c r="C696" s="13"/>
      <c r="D696" s="13"/>
      <c r="E696" s="13"/>
      <c r="F696" s="13"/>
      <c r="G696" s="13"/>
      <c r="H696" s="13"/>
      <c r="I696" s="13"/>
      <c r="J696" s="14"/>
      <c r="K696" s="14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" customHeight="1">
      <c r="A697" s="14"/>
      <c r="B697" s="13"/>
      <c r="C697" s="13"/>
      <c r="D697" s="13"/>
      <c r="E697" s="13"/>
      <c r="F697" s="13"/>
      <c r="G697" s="13"/>
      <c r="H697" s="13"/>
      <c r="I697" s="13"/>
      <c r="J697" s="14"/>
      <c r="K697" s="14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" customHeight="1">
      <c r="A698" s="14"/>
      <c r="B698" s="13"/>
      <c r="C698" s="13"/>
      <c r="D698" s="13"/>
      <c r="E698" s="13"/>
      <c r="F698" s="13"/>
      <c r="G698" s="13"/>
      <c r="H698" s="13"/>
      <c r="I698" s="13"/>
      <c r="J698" s="14"/>
      <c r="K698" s="14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" customHeight="1">
      <c r="A699" s="14"/>
      <c r="B699" s="13"/>
      <c r="C699" s="13"/>
      <c r="D699" s="13"/>
      <c r="E699" s="13"/>
      <c r="F699" s="13"/>
      <c r="G699" s="13"/>
      <c r="H699" s="13"/>
      <c r="I699" s="13"/>
      <c r="J699" s="14"/>
      <c r="K699" s="14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" customHeight="1">
      <c r="A700" s="14"/>
      <c r="B700" s="13"/>
      <c r="C700" s="13"/>
      <c r="D700" s="13"/>
      <c r="E700" s="13"/>
      <c r="F700" s="13"/>
      <c r="G700" s="13"/>
      <c r="H700" s="13"/>
      <c r="I700" s="13"/>
      <c r="J700" s="14"/>
      <c r="K700" s="14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" customHeight="1">
      <c r="A701" s="14"/>
      <c r="B701" s="13"/>
      <c r="C701" s="13"/>
      <c r="D701" s="13"/>
      <c r="E701" s="13"/>
      <c r="F701" s="13"/>
      <c r="G701" s="13"/>
      <c r="H701" s="13"/>
      <c r="I701" s="13"/>
      <c r="J701" s="14"/>
      <c r="K701" s="14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" customHeight="1">
      <c r="A702" s="14"/>
      <c r="B702" s="13"/>
      <c r="C702" s="13"/>
      <c r="D702" s="13"/>
      <c r="E702" s="13"/>
      <c r="F702" s="13"/>
      <c r="G702" s="13"/>
      <c r="H702" s="13"/>
      <c r="I702" s="13"/>
      <c r="J702" s="14"/>
      <c r="K702" s="14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" customHeight="1">
      <c r="A703" s="14"/>
      <c r="B703" s="13"/>
      <c r="C703" s="13"/>
      <c r="D703" s="13"/>
      <c r="E703" s="13"/>
      <c r="F703" s="13"/>
      <c r="G703" s="13"/>
      <c r="H703" s="13"/>
      <c r="I703" s="13"/>
      <c r="J703" s="14"/>
      <c r="K703" s="14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" customHeight="1">
      <c r="A704" s="14"/>
      <c r="B704" s="13"/>
      <c r="C704" s="13"/>
      <c r="D704" s="13"/>
      <c r="E704" s="13"/>
      <c r="F704" s="13"/>
      <c r="G704" s="13"/>
      <c r="H704" s="13"/>
      <c r="I704" s="13"/>
      <c r="J704" s="14"/>
      <c r="K704" s="14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" customHeight="1">
      <c r="A705" s="14"/>
      <c r="B705" s="13"/>
      <c r="C705" s="13"/>
      <c r="D705" s="13"/>
      <c r="E705" s="13"/>
      <c r="F705" s="13"/>
      <c r="G705" s="13"/>
      <c r="H705" s="13"/>
      <c r="I705" s="13"/>
      <c r="J705" s="14"/>
      <c r="K705" s="14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" customHeight="1">
      <c r="A706" s="14"/>
      <c r="B706" s="13"/>
      <c r="C706" s="13"/>
      <c r="D706" s="13"/>
      <c r="E706" s="13"/>
      <c r="F706" s="13"/>
      <c r="G706" s="13"/>
      <c r="H706" s="13"/>
      <c r="I706" s="13"/>
      <c r="J706" s="14"/>
      <c r="K706" s="14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" customHeight="1">
      <c r="A707" s="14"/>
      <c r="B707" s="13"/>
      <c r="C707" s="13"/>
      <c r="D707" s="13"/>
      <c r="E707" s="13"/>
      <c r="F707" s="13"/>
      <c r="G707" s="13"/>
      <c r="H707" s="13"/>
      <c r="I707" s="13"/>
      <c r="J707" s="14"/>
      <c r="K707" s="14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" customHeight="1">
      <c r="A708" s="14"/>
      <c r="B708" s="13"/>
      <c r="C708" s="13"/>
      <c r="D708" s="13"/>
      <c r="E708" s="13"/>
      <c r="F708" s="13"/>
      <c r="G708" s="13"/>
      <c r="H708" s="13"/>
      <c r="I708" s="13"/>
      <c r="J708" s="14"/>
      <c r="K708" s="14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" customHeight="1">
      <c r="A709" s="14"/>
      <c r="B709" s="13"/>
      <c r="C709" s="13"/>
      <c r="D709" s="13"/>
      <c r="E709" s="13"/>
      <c r="F709" s="13"/>
      <c r="G709" s="13"/>
      <c r="H709" s="13"/>
      <c r="I709" s="13"/>
      <c r="J709" s="14"/>
      <c r="K709" s="14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" customHeight="1">
      <c r="A710" s="14"/>
      <c r="B710" s="13"/>
      <c r="C710" s="13"/>
      <c r="D710" s="13"/>
      <c r="E710" s="13"/>
      <c r="F710" s="13"/>
      <c r="G710" s="13"/>
      <c r="H710" s="13"/>
      <c r="I710" s="13"/>
      <c r="J710" s="14"/>
      <c r="K710" s="14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" customHeight="1">
      <c r="A711" s="14"/>
      <c r="B711" s="13"/>
      <c r="C711" s="13"/>
      <c r="D711" s="13"/>
      <c r="E711" s="13"/>
      <c r="F711" s="13"/>
      <c r="G711" s="13"/>
      <c r="H711" s="13"/>
      <c r="I711" s="13"/>
      <c r="J711" s="14"/>
      <c r="K711" s="14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" customHeight="1">
      <c r="A712" s="14"/>
      <c r="B712" s="13"/>
      <c r="C712" s="13"/>
      <c r="D712" s="13"/>
      <c r="E712" s="13"/>
      <c r="F712" s="13"/>
      <c r="G712" s="13"/>
      <c r="H712" s="13"/>
      <c r="I712" s="13"/>
      <c r="J712" s="14"/>
      <c r="K712" s="14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" customHeight="1">
      <c r="A713" s="14"/>
      <c r="B713" s="13"/>
      <c r="C713" s="13"/>
      <c r="D713" s="13"/>
      <c r="E713" s="13"/>
      <c r="F713" s="13"/>
      <c r="G713" s="13"/>
      <c r="H713" s="13"/>
      <c r="I713" s="13"/>
      <c r="J713" s="14"/>
      <c r="K713" s="14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" customHeight="1">
      <c r="A714" s="14"/>
      <c r="B714" s="13"/>
      <c r="C714" s="13"/>
      <c r="D714" s="13"/>
      <c r="E714" s="13"/>
      <c r="F714" s="13"/>
      <c r="G714" s="13"/>
      <c r="H714" s="13"/>
      <c r="I714" s="13"/>
      <c r="J714" s="14"/>
      <c r="K714" s="14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" customHeight="1">
      <c r="A715" s="14"/>
      <c r="B715" s="13"/>
      <c r="C715" s="13"/>
      <c r="D715" s="13"/>
      <c r="E715" s="13"/>
      <c r="F715" s="13"/>
      <c r="G715" s="13"/>
      <c r="H715" s="13"/>
      <c r="I715" s="13"/>
      <c r="J715" s="14"/>
      <c r="K715" s="14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" customHeight="1">
      <c r="A716" s="14"/>
      <c r="B716" s="13"/>
      <c r="C716" s="13"/>
      <c r="D716" s="13"/>
      <c r="E716" s="13"/>
      <c r="F716" s="13"/>
      <c r="G716" s="13"/>
      <c r="H716" s="13"/>
      <c r="I716" s="13"/>
      <c r="J716" s="14"/>
      <c r="K716" s="14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" customHeight="1">
      <c r="A717" s="14"/>
      <c r="B717" s="13"/>
      <c r="C717" s="13"/>
      <c r="D717" s="13"/>
      <c r="E717" s="13"/>
      <c r="F717" s="13"/>
      <c r="G717" s="13"/>
      <c r="H717" s="13"/>
      <c r="I717" s="13"/>
      <c r="J717" s="14"/>
      <c r="K717" s="14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" customHeight="1">
      <c r="A718" s="14"/>
      <c r="B718" s="13"/>
      <c r="C718" s="13"/>
      <c r="D718" s="13"/>
      <c r="E718" s="13"/>
      <c r="F718" s="13"/>
      <c r="G718" s="13"/>
      <c r="H718" s="13"/>
      <c r="I718" s="13"/>
      <c r="J718" s="14"/>
      <c r="K718" s="14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" customHeight="1">
      <c r="A719" s="14"/>
      <c r="B719" s="13"/>
      <c r="C719" s="13"/>
      <c r="D719" s="13"/>
      <c r="E719" s="13"/>
      <c r="F719" s="13"/>
      <c r="G719" s="13"/>
      <c r="H719" s="13"/>
      <c r="I719" s="13"/>
      <c r="J719" s="14"/>
      <c r="K719" s="14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" customHeight="1">
      <c r="A720" s="14"/>
      <c r="B720" s="13"/>
      <c r="C720" s="13"/>
      <c r="D720" s="13"/>
      <c r="E720" s="13"/>
      <c r="F720" s="13"/>
      <c r="G720" s="13"/>
      <c r="H720" s="13"/>
      <c r="I720" s="13"/>
      <c r="J720" s="14"/>
      <c r="K720" s="14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" customHeight="1">
      <c r="A721" s="14"/>
      <c r="B721" s="13"/>
      <c r="C721" s="13"/>
      <c r="D721" s="13"/>
      <c r="E721" s="13"/>
      <c r="F721" s="13"/>
      <c r="G721" s="13"/>
      <c r="H721" s="13"/>
      <c r="I721" s="13"/>
      <c r="J721" s="14"/>
      <c r="K721" s="14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" customHeight="1">
      <c r="A722" s="14"/>
      <c r="B722" s="13"/>
      <c r="C722" s="13"/>
      <c r="D722" s="13"/>
      <c r="E722" s="13"/>
      <c r="F722" s="13"/>
      <c r="G722" s="13"/>
      <c r="H722" s="13"/>
      <c r="I722" s="13"/>
      <c r="J722" s="14"/>
      <c r="K722" s="14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" customHeight="1">
      <c r="A723" s="14"/>
      <c r="B723" s="13"/>
      <c r="C723" s="13"/>
      <c r="D723" s="13"/>
      <c r="E723" s="13"/>
      <c r="F723" s="13"/>
      <c r="G723" s="13"/>
      <c r="H723" s="13"/>
      <c r="I723" s="13"/>
      <c r="J723" s="14"/>
      <c r="K723" s="14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" customHeight="1">
      <c r="A724" s="14"/>
      <c r="B724" s="13"/>
      <c r="C724" s="13"/>
      <c r="D724" s="13"/>
      <c r="E724" s="13"/>
      <c r="F724" s="13"/>
      <c r="G724" s="13"/>
      <c r="H724" s="13"/>
      <c r="I724" s="13"/>
      <c r="J724" s="14"/>
      <c r="K724" s="14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" customHeight="1">
      <c r="A725" s="14"/>
      <c r="B725" s="13"/>
      <c r="C725" s="13"/>
      <c r="D725" s="13"/>
      <c r="E725" s="13"/>
      <c r="F725" s="13"/>
      <c r="G725" s="13"/>
      <c r="H725" s="13"/>
      <c r="I725" s="13"/>
      <c r="J725" s="14"/>
      <c r="K725" s="14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" customHeight="1">
      <c r="A726" s="14"/>
      <c r="B726" s="13"/>
      <c r="C726" s="13"/>
      <c r="D726" s="13"/>
      <c r="E726" s="13"/>
      <c r="F726" s="13"/>
      <c r="G726" s="13"/>
      <c r="H726" s="13"/>
      <c r="I726" s="13"/>
      <c r="J726" s="14"/>
      <c r="K726" s="14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" customHeight="1">
      <c r="A727" s="14"/>
      <c r="B727" s="13"/>
      <c r="C727" s="13"/>
      <c r="D727" s="13"/>
      <c r="E727" s="13"/>
      <c r="F727" s="13"/>
      <c r="G727" s="13"/>
      <c r="H727" s="13"/>
      <c r="I727" s="13"/>
      <c r="J727" s="14"/>
      <c r="K727" s="14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" customHeight="1">
      <c r="A728" s="14"/>
      <c r="B728" s="13"/>
      <c r="C728" s="13"/>
      <c r="D728" s="13"/>
      <c r="E728" s="13"/>
      <c r="F728" s="13"/>
      <c r="G728" s="13"/>
      <c r="H728" s="13"/>
      <c r="I728" s="13"/>
      <c r="J728" s="14"/>
      <c r="K728" s="14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" customHeight="1">
      <c r="A729" s="14"/>
      <c r="B729" s="13"/>
      <c r="C729" s="13"/>
      <c r="D729" s="13"/>
      <c r="E729" s="13"/>
      <c r="F729" s="13"/>
      <c r="G729" s="13"/>
      <c r="H729" s="13"/>
      <c r="I729" s="13"/>
      <c r="J729" s="14"/>
      <c r="K729" s="14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" customHeight="1">
      <c r="A730" s="14"/>
      <c r="B730" s="13"/>
      <c r="C730" s="13"/>
      <c r="D730" s="13"/>
      <c r="E730" s="13"/>
      <c r="F730" s="13"/>
      <c r="G730" s="13"/>
      <c r="H730" s="13"/>
      <c r="I730" s="13"/>
      <c r="J730" s="14"/>
      <c r="K730" s="14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" customHeight="1">
      <c r="A731" s="14"/>
      <c r="B731" s="13"/>
      <c r="C731" s="13"/>
      <c r="D731" s="13"/>
      <c r="E731" s="13"/>
      <c r="F731" s="13"/>
      <c r="G731" s="13"/>
      <c r="H731" s="13"/>
      <c r="I731" s="13"/>
      <c r="J731" s="14"/>
      <c r="K731" s="14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" customHeight="1">
      <c r="A732" s="14"/>
      <c r="B732" s="13"/>
      <c r="C732" s="13"/>
      <c r="D732" s="13"/>
      <c r="E732" s="13"/>
      <c r="F732" s="13"/>
      <c r="G732" s="13"/>
      <c r="H732" s="13"/>
      <c r="I732" s="13"/>
      <c r="J732" s="14"/>
      <c r="K732" s="14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" customHeight="1">
      <c r="A733" s="14"/>
      <c r="B733" s="13"/>
      <c r="C733" s="13"/>
      <c r="D733" s="13"/>
      <c r="E733" s="13"/>
      <c r="F733" s="13"/>
      <c r="G733" s="13"/>
      <c r="H733" s="13"/>
      <c r="I733" s="13"/>
      <c r="J733" s="14"/>
      <c r="K733" s="14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" customHeight="1">
      <c r="A734" s="14"/>
      <c r="B734" s="13"/>
      <c r="C734" s="13"/>
      <c r="D734" s="13"/>
      <c r="E734" s="13"/>
      <c r="F734" s="13"/>
      <c r="G734" s="13"/>
      <c r="H734" s="13"/>
      <c r="I734" s="13"/>
      <c r="J734" s="14"/>
      <c r="K734" s="14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" customHeight="1">
      <c r="A735" s="14"/>
      <c r="B735" s="13"/>
      <c r="C735" s="13"/>
      <c r="D735" s="13"/>
      <c r="E735" s="13"/>
      <c r="F735" s="13"/>
      <c r="G735" s="13"/>
      <c r="H735" s="13"/>
      <c r="I735" s="13"/>
      <c r="J735" s="14"/>
      <c r="K735" s="14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" customHeight="1">
      <c r="A736" s="14"/>
      <c r="B736" s="13"/>
      <c r="C736" s="13"/>
      <c r="D736" s="13"/>
      <c r="E736" s="13"/>
      <c r="F736" s="13"/>
      <c r="G736" s="13"/>
      <c r="H736" s="13"/>
      <c r="I736" s="13"/>
      <c r="J736" s="14"/>
      <c r="K736" s="14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" customHeight="1">
      <c r="A737" s="14"/>
      <c r="B737" s="13"/>
      <c r="C737" s="13"/>
      <c r="D737" s="13"/>
      <c r="E737" s="13"/>
      <c r="F737" s="13"/>
      <c r="G737" s="13"/>
      <c r="H737" s="13"/>
      <c r="I737" s="13"/>
      <c r="J737" s="14"/>
      <c r="K737" s="14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" customHeight="1">
      <c r="A738" s="14"/>
      <c r="B738" s="13"/>
      <c r="C738" s="13"/>
      <c r="D738" s="13"/>
      <c r="E738" s="13"/>
      <c r="F738" s="13"/>
      <c r="G738" s="13"/>
      <c r="H738" s="13"/>
      <c r="I738" s="13"/>
      <c r="J738" s="14"/>
      <c r="K738" s="14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" customHeight="1">
      <c r="A739" s="14"/>
      <c r="B739" s="13"/>
      <c r="C739" s="13"/>
      <c r="D739" s="13"/>
      <c r="E739" s="13"/>
      <c r="F739" s="13"/>
      <c r="G739" s="13"/>
      <c r="H739" s="13"/>
      <c r="I739" s="13"/>
      <c r="J739" s="14"/>
      <c r="K739" s="14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" customHeight="1">
      <c r="A740" s="14"/>
      <c r="B740" s="13"/>
      <c r="C740" s="13"/>
      <c r="D740" s="13"/>
      <c r="E740" s="13"/>
      <c r="F740" s="13"/>
      <c r="G740" s="13"/>
      <c r="H740" s="13"/>
      <c r="I740" s="13"/>
      <c r="J740" s="14"/>
      <c r="K740" s="14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" customHeight="1">
      <c r="A741" s="14"/>
      <c r="B741" s="13"/>
      <c r="C741" s="13"/>
      <c r="D741" s="13"/>
      <c r="E741" s="13"/>
      <c r="F741" s="13"/>
      <c r="G741" s="13"/>
      <c r="H741" s="13"/>
      <c r="I741" s="13"/>
      <c r="J741" s="14"/>
      <c r="K741" s="14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" customHeight="1">
      <c r="A742" s="14"/>
      <c r="B742" s="13"/>
      <c r="C742" s="13"/>
      <c r="D742" s="13"/>
      <c r="E742" s="13"/>
      <c r="F742" s="13"/>
      <c r="G742" s="13"/>
      <c r="H742" s="13"/>
      <c r="I742" s="13"/>
      <c r="J742" s="14"/>
      <c r="K742" s="14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" customHeight="1">
      <c r="A743" s="14"/>
      <c r="B743" s="13"/>
      <c r="C743" s="13"/>
      <c r="D743" s="13"/>
      <c r="E743" s="13"/>
      <c r="F743" s="13"/>
      <c r="G743" s="13"/>
      <c r="H743" s="13"/>
      <c r="I743" s="13"/>
      <c r="J743" s="14"/>
      <c r="K743" s="14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" customHeight="1">
      <c r="A744" s="14"/>
      <c r="B744" s="13"/>
      <c r="C744" s="13"/>
      <c r="D744" s="13"/>
      <c r="E744" s="13"/>
      <c r="F744" s="13"/>
      <c r="G744" s="13"/>
      <c r="H744" s="13"/>
      <c r="I744" s="13"/>
      <c r="J744" s="14"/>
      <c r="K744" s="14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" customHeight="1">
      <c r="A745" s="14"/>
      <c r="B745" s="13"/>
      <c r="C745" s="13"/>
      <c r="D745" s="13"/>
      <c r="E745" s="13"/>
      <c r="F745" s="13"/>
      <c r="G745" s="13"/>
      <c r="H745" s="13"/>
      <c r="I745" s="13"/>
      <c r="J745" s="14"/>
      <c r="K745" s="14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" customHeight="1">
      <c r="A746" s="14"/>
      <c r="B746" s="13"/>
      <c r="C746" s="13"/>
      <c r="D746" s="13"/>
      <c r="E746" s="13"/>
      <c r="F746" s="13"/>
      <c r="G746" s="13"/>
      <c r="H746" s="13"/>
      <c r="I746" s="13"/>
      <c r="J746" s="14"/>
      <c r="K746" s="14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" customHeight="1">
      <c r="A747" s="14"/>
      <c r="B747" s="13"/>
      <c r="C747" s="13"/>
      <c r="D747" s="13"/>
      <c r="E747" s="13"/>
      <c r="F747" s="13"/>
      <c r="G747" s="13"/>
      <c r="H747" s="13"/>
      <c r="I747" s="13"/>
      <c r="J747" s="14"/>
      <c r="K747" s="14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" customHeight="1">
      <c r="A748" s="14"/>
      <c r="B748" s="13"/>
      <c r="C748" s="13"/>
      <c r="D748" s="13"/>
      <c r="E748" s="13"/>
      <c r="F748" s="13"/>
      <c r="G748" s="13"/>
      <c r="H748" s="13"/>
      <c r="I748" s="13"/>
      <c r="J748" s="14"/>
      <c r="K748" s="14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" customHeight="1">
      <c r="A749" s="14"/>
      <c r="B749" s="13"/>
      <c r="C749" s="13"/>
      <c r="D749" s="13"/>
      <c r="E749" s="13"/>
      <c r="F749" s="13"/>
      <c r="G749" s="13"/>
      <c r="H749" s="13"/>
      <c r="I749" s="13"/>
      <c r="J749" s="14"/>
      <c r="K749" s="14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" customHeight="1">
      <c r="A750" s="14"/>
      <c r="B750" s="13"/>
      <c r="C750" s="13"/>
      <c r="D750" s="13"/>
      <c r="E750" s="13"/>
      <c r="F750" s="13"/>
      <c r="G750" s="13"/>
      <c r="H750" s="13"/>
      <c r="I750" s="13"/>
      <c r="J750" s="14"/>
      <c r="K750" s="14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" customHeight="1">
      <c r="A751" s="14"/>
      <c r="B751" s="13"/>
      <c r="C751" s="13"/>
      <c r="D751" s="13"/>
      <c r="E751" s="13"/>
      <c r="F751" s="13"/>
      <c r="G751" s="13"/>
      <c r="H751" s="13"/>
      <c r="I751" s="13"/>
      <c r="J751" s="14"/>
      <c r="K751" s="14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" customHeight="1">
      <c r="A752" s="14"/>
      <c r="B752" s="13"/>
      <c r="C752" s="13"/>
      <c r="D752" s="13"/>
      <c r="E752" s="13"/>
      <c r="F752" s="13"/>
      <c r="G752" s="13"/>
      <c r="H752" s="13"/>
      <c r="I752" s="13"/>
      <c r="J752" s="14"/>
      <c r="K752" s="14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" customHeight="1">
      <c r="A753" s="14"/>
      <c r="B753" s="13"/>
      <c r="C753" s="13"/>
      <c r="D753" s="13"/>
      <c r="E753" s="13"/>
      <c r="F753" s="13"/>
      <c r="G753" s="13"/>
      <c r="H753" s="13"/>
      <c r="I753" s="13"/>
      <c r="J753" s="14"/>
      <c r="K753" s="14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" customHeight="1">
      <c r="A754" s="14"/>
      <c r="B754" s="13"/>
      <c r="C754" s="13"/>
      <c r="D754" s="13"/>
      <c r="E754" s="13"/>
      <c r="F754" s="13"/>
      <c r="G754" s="13"/>
      <c r="H754" s="13"/>
      <c r="I754" s="13"/>
      <c r="J754" s="14"/>
      <c r="K754" s="14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" customHeight="1">
      <c r="A755" s="14"/>
      <c r="B755" s="13"/>
      <c r="C755" s="13"/>
      <c r="D755" s="13"/>
      <c r="E755" s="13"/>
      <c r="F755" s="13"/>
      <c r="G755" s="13"/>
      <c r="H755" s="13"/>
      <c r="I755" s="13"/>
      <c r="J755" s="14"/>
      <c r="K755" s="14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" customHeight="1">
      <c r="A756" s="14"/>
      <c r="B756" s="13"/>
      <c r="C756" s="13"/>
      <c r="D756" s="13"/>
      <c r="E756" s="13"/>
      <c r="F756" s="13"/>
      <c r="G756" s="13"/>
      <c r="H756" s="13"/>
      <c r="I756" s="13"/>
      <c r="J756" s="14"/>
      <c r="K756" s="14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" customHeight="1">
      <c r="A757" s="14"/>
      <c r="B757" s="13"/>
      <c r="C757" s="13"/>
      <c r="D757" s="13"/>
      <c r="E757" s="13"/>
      <c r="F757" s="13"/>
      <c r="G757" s="13"/>
      <c r="H757" s="13"/>
      <c r="I757" s="13"/>
      <c r="J757" s="14"/>
      <c r="K757" s="14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" customHeight="1">
      <c r="A758" s="14"/>
      <c r="B758" s="13"/>
      <c r="C758" s="13"/>
      <c r="D758" s="13"/>
      <c r="E758" s="13"/>
      <c r="F758" s="13"/>
      <c r="G758" s="13"/>
      <c r="H758" s="13"/>
      <c r="I758" s="13"/>
      <c r="J758" s="14"/>
      <c r="K758" s="14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" customHeight="1">
      <c r="A759" s="14"/>
      <c r="B759" s="13"/>
      <c r="C759" s="13"/>
      <c r="D759" s="13"/>
      <c r="E759" s="13"/>
      <c r="F759" s="13"/>
      <c r="G759" s="13"/>
      <c r="H759" s="13"/>
      <c r="I759" s="13"/>
      <c r="J759" s="14"/>
      <c r="K759" s="14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" customHeight="1">
      <c r="A760" s="14"/>
      <c r="B760" s="13"/>
      <c r="C760" s="13"/>
      <c r="D760" s="13"/>
      <c r="E760" s="13"/>
      <c r="F760" s="13"/>
      <c r="G760" s="13"/>
      <c r="H760" s="13"/>
      <c r="I760" s="13"/>
      <c r="J760" s="14"/>
      <c r="K760" s="14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" customHeight="1">
      <c r="A761" s="14"/>
      <c r="B761" s="13"/>
      <c r="C761" s="13"/>
      <c r="D761" s="13"/>
      <c r="E761" s="13"/>
      <c r="F761" s="13"/>
      <c r="G761" s="13"/>
      <c r="H761" s="13"/>
      <c r="I761" s="13"/>
      <c r="J761" s="14"/>
      <c r="K761" s="14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" customHeight="1">
      <c r="A762" s="14"/>
      <c r="B762" s="13"/>
      <c r="C762" s="13"/>
      <c r="D762" s="13"/>
      <c r="E762" s="13"/>
      <c r="F762" s="13"/>
      <c r="G762" s="13"/>
      <c r="H762" s="13"/>
      <c r="I762" s="13"/>
      <c r="J762" s="14"/>
      <c r="K762" s="14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" customHeight="1">
      <c r="A763" s="14"/>
      <c r="B763" s="13"/>
      <c r="C763" s="13"/>
      <c r="D763" s="13"/>
      <c r="E763" s="13"/>
      <c r="F763" s="13"/>
      <c r="G763" s="13"/>
      <c r="H763" s="13"/>
      <c r="I763" s="13"/>
      <c r="J763" s="14"/>
      <c r="K763" s="14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" customHeight="1">
      <c r="A764" s="14"/>
      <c r="B764" s="13"/>
      <c r="C764" s="13"/>
      <c r="D764" s="13"/>
      <c r="E764" s="13"/>
      <c r="F764" s="13"/>
      <c r="G764" s="13"/>
      <c r="H764" s="13"/>
      <c r="I764" s="13"/>
      <c r="J764" s="14"/>
      <c r="K764" s="14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" customHeight="1">
      <c r="A765" s="14"/>
      <c r="B765" s="13"/>
      <c r="C765" s="13"/>
      <c r="D765" s="13"/>
      <c r="E765" s="13"/>
      <c r="F765" s="13"/>
      <c r="G765" s="13"/>
      <c r="H765" s="13"/>
      <c r="I765" s="13"/>
      <c r="J765" s="14"/>
      <c r="K765" s="14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" customHeight="1">
      <c r="A766" s="14"/>
      <c r="B766" s="13"/>
      <c r="C766" s="13"/>
      <c r="D766" s="13"/>
      <c r="E766" s="13"/>
      <c r="F766" s="13"/>
      <c r="G766" s="13"/>
      <c r="H766" s="13"/>
      <c r="I766" s="13"/>
      <c r="J766" s="14"/>
      <c r="K766" s="14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" customHeight="1">
      <c r="A767" s="14"/>
      <c r="B767" s="13"/>
      <c r="C767" s="13"/>
      <c r="D767" s="13"/>
      <c r="E767" s="13"/>
      <c r="F767" s="13"/>
      <c r="G767" s="13"/>
      <c r="H767" s="13"/>
      <c r="I767" s="13"/>
      <c r="J767" s="14"/>
      <c r="K767" s="14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" customHeight="1">
      <c r="A768" s="14"/>
      <c r="B768" s="13"/>
      <c r="C768" s="13"/>
      <c r="D768" s="13"/>
      <c r="E768" s="13"/>
      <c r="F768" s="13"/>
      <c r="G768" s="13"/>
      <c r="H768" s="13"/>
      <c r="I768" s="13"/>
      <c r="J768" s="14"/>
      <c r="K768" s="14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" customHeight="1">
      <c r="A769" s="14"/>
      <c r="B769" s="13"/>
      <c r="C769" s="13"/>
      <c r="D769" s="13"/>
      <c r="E769" s="13"/>
      <c r="F769" s="13"/>
      <c r="G769" s="13"/>
      <c r="H769" s="13"/>
      <c r="I769" s="13"/>
      <c r="J769" s="14"/>
      <c r="K769" s="14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" customHeight="1">
      <c r="A770" s="14"/>
      <c r="B770" s="13"/>
      <c r="C770" s="13"/>
      <c r="D770" s="13"/>
      <c r="E770" s="13"/>
      <c r="F770" s="13"/>
      <c r="G770" s="13"/>
      <c r="H770" s="13"/>
      <c r="I770" s="13"/>
      <c r="J770" s="14"/>
      <c r="K770" s="14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" customHeight="1">
      <c r="A771" s="14"/>
      <c r="B771" s="13"/>
      <c r="C771" s="13"/>
      <c r="D771" s="13"/>
      <c r="E771" s="13"/>
      <c r="F771" s="13"/>
      <c r="G771" s="13"/>
      <c r="H771" s="13"/>
      <c r="I771" s="13"/>
      <c r="J771" s="14"/>
      <c r="K771" s="14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" customHeight="1">
      <c r="A772" s="14"/>
      <c r="B772" s="13"/>
      <c r="C772" s="13"/>
      <c r="D772" s="13"/>
      <c r="E772" s="13"/>
      <c r="F772" s="13"/>
      <c r="G772" s="13"/>
      <c r="H772" s="13"/>
      <c r="I772" s="13"/>
      <c r="J772" s="14"/>
      <c r="K772" s="14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" customHeight="1">
      <c r="A773" s="14"/>
      <c r="B773" s="13"/>
      <c r="C773" s="13"/>
      <c r="D773" s="13"/>
      <c r="E773" s="13"/>
      <c r="F773" s="13"/>
      <c r="G773" s="13"/>
      <c r="H773" s="13"/>
      <c r="I773" s="13"/>
      <c r="J773" s="14"/>
      <c r="K773" s="14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" customHeight="1">
      <c r="A774" s="14"/>
      <c r="B774" s="13"/>
      <c r="C774" s="13"/>
      <c r="D774" s="13"/>
      <c r="E774" s="13"/>
      <c r="F774" s="13"/>
      <c r="G774" s="13"/>
      <c r="H774" s="13"/>
      <c r="I774" s="13"/>
      <c r="J774" s="14"/>
      <c r="K774" s="14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" customHeight="1">
      <c r="A775" s="14"/>
      <c r="B775" s="13"/>
      <c r="C775" s="13"/>
      <c r="D775" s="13"/>
      <c r="E775" s="13"/>
      <c r="F775" s="13"/>
      <c r="G775" s="13"/>
      <c r="H775" s="13"/>
      <c r="I775" s="13"/>
      <c r="J775" s="14"/>
      <c r="K775" s="14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" customHeight="1">
      <c r="A776" s="14"/>
      <c r="B776" s="13"/>
      <c r="C776" s="13"/>
      <c r="D776" s="13"/>
      <c r="E776" s="13"/>
      <c r="F776" s="13"/>
      <c r="G776" s="13"/>
      <c r="H776" s="13"/>
      <c r="I776" s="13"/>
      <c r="J776" s="14"/>
      <c r="K776" s="14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" customHeight="1">
      <c r="A777" s="14"/>
      <c r="B777" s="13"/>
      <c r="C777" s="13"/>
      <c r="D777" s="13"/>
      <c r="E777" s="13"/>
      <c r="F777" s="13"/>
      <c r="G777" s="13"/>
      <c r="H777" s="13"/>
      <c r="I777" s="13"/>
      <c r="J777" s="14"/>
      <c r="K777" s="14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" customHeight="1">
      <c r="A778" s="14"/>
      <c r="B778" s="13"/>
      <c r="C778" s="13"/>
      <c r="D778" s="13"/>
      <c r="E778" s="13"/>
      <c r="F778" s="13"/>
      <c r="G778" s="13"/>
      <c r="H778" s="13"/>
      <c r="I778" s="13"/>
      <c r="J778" s="14"/>
      <c r="K778" s="14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" customHeight="1">
      <c r="A779" s="14"/>
      <c r="B779" s="13"/>
      <c r="C779" s="13"/>
      <c r="D779" s="13"/>
      <c r="E779" s="13"/>
      <c r="F779" s="13"/>
      <c r="G779" s="13"/>
      <c r="H779" s="13"/>
      <c r="I779" s="13"/>
      <c r="J779" s="14"/>
      <c r="K779" s="14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" customHeight="1">
      <c r="A780" s="14"/>
      <c r="B780" s="13"/>
      <c r="C780" s="13"/>
      <c r="D780" s="13"/>
      <c r="E780" s="13"/>
      <c r="F780" s="13"/>
      <c r="G780" s="13"/>
      <c r="H780" s="13"/>
      <c r="I780" s="13"/>
      <c r="J780" s="14"/>
      <c r="K780" s="14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" customHeight="1">
      <c r="A781" s="14"/>
      <c r="B781" s="13"/>
      <c r="C781" s="13"/>
      <c r="D781" s="13"/>
      <c r="E781" s="13"/>
      <c r="F781" s="13"/>
      <c r="G781" s="13"/>
      <c r="H781" s="13"/>
      <c r="I781" s="13"/>
      <c r="J781" s="14"/>
      <c r="K781" s="14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" customHeight="1">
      <c r="A782" s="14"/>
      <c r="B782" s="13"/>
      <c r="C782" s="13"/>
      <c r="D782" s="13"/>
      <c r="E782" s="13"/>
      <c r="F782" s="13"/>
      <c r="G782" s="13"/>
      <c r="H782" s="13"/>
      <c r="I782" s="13"/>
      <c r="J782" s="14"/>
      <c r="K782" s="14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" customHeight="1">
      <c r="A783" s="14"/>
      <c r="B783" s="13"/>
      <c r="C783" s="13"/>
      <c r="D783" s="13"/>
      <c r="E783" s="13"/>
      <c r="F783" s="13"/>
      <c r="G783" s="13"/>
      <c r="H783" s="13"/>
      <c r="I783" s="13"/>
      <c r="J783" s="14"/>
      <c r="K783" s="14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" customHeight="1">
      <c r="A784" s="14"/>
      <c r="B784" s="13"/>
      <c r="C784" s="13"/>
      <c r="D784" s="13"/>
      <c r="E784" s="13"/>
      <c r="F784" s="13"/>
      <c r="G784" s="13"/>
      <c r="H784" s="13"/>
      <c r="I784" s="13"/>
      <c r="J784" s="14"/>
      <c r="K784" s="14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" customHeight="1">
      <c r="A785" s="14"/>
      <c r="B785" s="13"/>
      <c r="C785" s="13"/>
      <c r="D785" s="13"/>
      <c r="E785" s="13"/>
      <c r="F785" s="13"/>
      <c r="G785" s="13"/>
      <c r="H785" s="13"/>
      <c r="I785" s="13"/>
      <c r="J785" s="14"/>
      <c r="K785" s="14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" customHeight="1">
      <c r="A786" s="14"/>
      <c r="B786" s="13"/>
      <c r="C786" s="13"/>
      <c r="D786" s="13"/>
      <c r="E786" s="13"/>
      <c r="F786" s="13"/>
      <c r="G786" s="13"/>
      <c r="H786" s="13"/>
      <c r="I786" s="13"/>
      <c r="J786" s="14"/>
      <c r="K786" s="14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" customHeight="1">
      <c r="A787" s="14"/>
      <c r="B787" s="13"/>
      <c r="C787" s="13"/>
      <c r="D787" s="13"/>
      <c r="E787" s="13"/>
      <c r="F787" s="13"/>
      <c r="G787" s="13"/>
      <c r="H787" s="13"/>
      <c r="I787" s="13"/>
      <c r="J787" s="14"/>
      <c r="K787" s="14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" customHeight="1">
      <c r="A788" s="14"/>
      <c r="B788" s="13"/>
      <c r="C788" s="13"/>
      <c r="D788" s="13"/>
      <c r="E788" s="13"/>
      <c r="F788" s="13"/>
      <c r="G788" s="13"/>
      <c r="H788" s="13"/>
      <c r="I788" s="13"/>
      <c r="J788" s="14"/>
      <c r="K788" s="14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" customHeight="1">
      <c r="A789" s="14"/>
      <c r="B789" s="13"/>
      <c r="C789" s="13"/>
      <c r="D789" s="13"/>
      <c r="E789" s="13"/>
      <c r="F789" s="13"/>
      <c r="G789" s="13"/>
      <c r="H789" s="13"/>
      <c r="I789" s="13"/>
      <c r="J789" s="14"/>
      <c r="K789" s="14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" customHeight="1">
      <c r="A790" s="14"/>
      <c r="B790" s="13"/>
      <c r="C790" s="13"/>
      <c r="D790" s="13"/>
      <c r="E790" s="13"/>
      <c r="F790" s="13"/>
      <c r="G790" s="13"/>
      <c r="H790" s="13"/>
      <c r="I790" s="13"/>
      <c r="J790" s="14"/>
      <c r="K790" s="14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" customHeight="1">
      <c r="A791" s="14"/>
      <c r="B791" s="13"/>
      <c r="C791" s="13"/>
      <c r="D791" s="13"/>
      <c r="E791" s="13"/>
      <c r="F791" s="13"/>
      <c r="G791" s="13"/>
      <c r="H791" s="13"/>
      <c r="I791" s="13"/>
      <c r="J791" s="14"/>
      <c r="K791" s="14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" customHeight="1">
      <c r="A792" s="14"/>
      <c r="B792" s="13"/>
      <c r="C792" s="13"/>
      <c r="D792" s="13"/>
      <c r="E792" s="13"/>
      <c r="F792" s="13"/>
      <c r="G792" s="13"/>
      <c r="H792" s="13"/>
      <c r="I792" s="13"/>
      <c r="J792" s="14"/>
      <c r="K792" s="14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" customHeight="1">
      <c r="A793" s="14"/>
      <c r="B793" s="13"/>
      <c r="C793" s="13"/>
      <c r="D793" s="13"/>
      <c r="E793" s="13"/>
      <c r="F793" s="13"/>
      <c r="G793" s="13"/>
      <c r="H793" s="13"/>
      <c r="I793" s="13"/>
      <c r="J793" s="14"/>
      <c r="K793" s="14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" customHeight="1">
      <c r="A794" s="14"/>
      <c r="B794" s="13"/>
      <c r="C794" s="13"/>
      <c r="D794" s="13"/>
      <c r="E794" s="13"/>
      <c r="F794" s="13"/>
      <c r="G794" s="13"/>
      <c r="H794" s="13"/>
      <c r="I794" s="13"/>
      <c r="J794" s="14"/>
      <c r="K794" s="14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" customHeight="1">
      <c r="A795" s="14"/>
      <c r="B795" s="13"/>
      <c r="C795" s="13"/>
      <c r="D795" s="13"/>
      <c r="E795" s="13"/>
      <c r="F795" s="13"/>
      <c r="G795" s="13"/>
      <c r="H795" s="13"/>
      <c r="I795" s="13"/>
      <c r="J795" s="14"/>
      <c r="K795" s="14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" customHeight="1">
      <c r="A796" s="14"/>
      <c r="B796" s="13"/>
      <c r="C796" s="13"/>
      <c r="D796" s="13"/>
      <c r="E796" s="13"/>
      <c r="F796" s="13"/>
      <c r="G796" s="13"/>
      <c r="H796" s="13"/>
      <c r="I796" s="13"/>
      <c r="J796" s="14"/>
      <c r="K796" s="14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" customHeight="1">
      <c r="A797" s="14"/>
      <c r="B797" s="13"/>
      <c r="C797" s="13"/>
      <c r="D797" s="13"/>
      <c r="E797" s="13"/>
      <c r="F797" s="13"/>
      <c r="G797" s="13"/>
      <c r="H797" s="13"/>
      <c r="I797" s="13"/>
      <c r="J797" s="14"/>
      <c r="K797" s="14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" customHeight="1">
      <c r="A798" s="14"/>
      <c r="B798" s="13"/>
      <c r="C798" s="13"/>
      <c r="D798" s="13"/>
      <c r="E798" s="13"/>
      <c r="F798" s="13"/>
      <c r="G798" s="13"/>
      <c r="H798" s="13"/>
      <c r="I798" s="13"/>
      <c r="J798" s="14"/>
      <c r="K798" s="14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" customHeight="1">
      <c r="A799" s="14"/>
      <c r="B799" s="13"/>
      <c r="C799" s="13"/>
      <c r="D799" s="13"/>
      <c r="E799" s="13"/>
      <c r="F799" s="13"/>
      <c r="G799" s="13"/>
      <c r="H799" s="13"/>
      <c r="I799" s="13"/>
      <c r="J799" s="14"/>
      <c r="K799" s="14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" customHeight="1">
      <c r="A800" s="14"/>
      <c r="B800" s="13"/>
      <c r="C800" s="13"/>
      <c r="D800" s="13"/>
      <c r="E800" s="13"/>
      <c r="F800" s="13"/>
      <c r="G800" s="13"/>
      <c r="H800" s="13"/>
      <c r="I800" s="13"/>
      <c r="J800" s="14"/>
      <c r="K800" s="14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" customHeight="1">
      <c r="A801" s="14"/>
      <c r="B801" s="13"/>
      <c r="C801" s="13"/>
      <c r="D801" s="13"/>
      <c r="E801" s="13"/>
      <c r="F801" s="13"/>
      <c r="G801" s="13"/>
      <c r="H801" s="13"/>
      <c r="I801" s="13"/>
      <c r="J801" s="14"/>
      <c r="K801" s="14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" customHeight="1">
      <c r="A802" s="14"/>
      <c r="B802" s="13"/>
      <c r="C802" s="13"/>
      <c r="D802" s="13"/>
      <c r="E802" s="13"/>
      <c r="F802" s="13"/>
      <c r="G802" s="13"/>
      <c r="H802" s="13"/>
      <c r="I802" s="13"/>
      <c r="J802" s="14"/>
      <c r="K802" s="14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" customHeight="1">
      <c r="A803" s="14"/>
      <c r="B803" s="13"/>
      <c r="C803" s="13"/>
      <c r="D803" s="13"/>
      <c r="E803" s="13"/>
      <c r="F803" s="13"/>
      <c r="G803" s="13"/>
      <c r="H803" s="13"/>
      <c r="I803" s="13"/>
      <c r="J803" s="14"/>
      <c r="K803" s="14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" customHeight="1">
      <c r="A804" s="14"/>
      <c r="B804" s="13"/>
      <c r="C804" s="13"/>
      <c r="D804" s="13"/>
      <c r="E804" s="13"/>
      <c r="F804" s="13"/>
      <c r="G804" s="13"/>
      <c r="H804" s="13"/>
      <c r="I804" s="13"/>
      <c r="J804" s="14"/>
      <c r="K804" s="14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" customHeight="1">
      <c r="A805" s="14"/>
      <c r="B805" s="13"/>
      <c r="C805" s="13"/>
      <c r="D805" s="13"/>
      <c r="E805" s="13"/>
      <c r="F805" s="13"/>
      <c r="G805" s="13"/>
      <c r="H805" s="13"/>
      <c r="I805" s="13"/>
      <c r="J805" s="14"/>
      <c r="K805" s="14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" customHeight="1">
      <c r="A806" s="14"/>
      <c r="B806" s="13"/>
      <c r="C806" s="13"/>
      <c r="D806" s="13"/>
      <c r="E806" s="13"/>
      <c r="F806" s="13"/>
      <c r="G806" s="13"/>
      <c r="H806" s="13"/>
      <c r="I806" s="13"/>
      <c r="J806" s="14"/>
      <c r="K806" s="14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" customHeight="1">
      <c r="A807" s="14"/>
      <c r="B807" s="13"/>
      <c r="C807" s="13"/>
      <c r="D807" s="13"/>
      <c r="E807" s="13"/>
      <c r="F807" s="13"/>
      <c r="G807" s="13"/>
      <c r="H807" s="13"/>
      <c r="I807" s="13"/>
      <c r="J807" s="14"/>
      <c r="K807" s="14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" customHeight="1">
      <c r="A808" s="14"/>
      <c r="B808" s="13"/>
      <c r="C808" s="13"/>
      <c r="D808" s="13"/>
      <c r="E808" s="13"/>
      <c r="F808" s="13"/>
      <c r="G808" s="13"/>
      <c r="H808" s="13"/>
      <c r="I808" s="13"/>
      <c r="J808" s="14"/>
      <c r="K808" s="14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" customHeight="1">
      <c r="A809" s="14"/>
      <c r="B809" s="13"/>
      <c r="C809" s="13"/>
      <c r="D809" s="13"/>
      <c r="E809" s="13"/>
      <c r="F809" s="13"/>
      <c r="G809" s="13"/>
      <c r="H809" s="13"/>
      <c r="I809" s="13"/>
      <c r="J809" s="14"/>
      <c r="K809" s="14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" customHeight="1">
      <c r="A810" s="14"/>
      <c r="B810" s="13"/>
      <c r="C810" s="13"/>
      <c r="D810" s="13"/>
      <c r="E810" s="13"/>
      <c r="F810" s="13"/>
      <c r="G810" s="13"/>
      <c r="H810" s="13"/>
      <c r="I810" s="13"/>
      <c r="J810" s="14"/>
      <c r="K810" s="14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" customHeight="1">
      <c r="A811" s="14"/>
      <c r="B811" s="13"/>
      <c r="C811" s="13"/>
      <c r="D811" s="13"/>
      <c r="E811" s="13"/>
      <c r="F811" s="13"/>
      <c r="G811" s="13"/>
      <c r="H811" s="13"/>
      <c r="I811" s="13"/>
      <c r="J811" s="14"/>
      <c r="K811" s="14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" customHeight="1">
      <c r="A812" s="14"/>
      <c r="B812" s="13"/>
      <c r="C812" s="13"/>
      <c r="D812" s="13"/>
      <c r="E812" s="13"/>
      <c r="F812" s="13"/>
      <c r="G812" s="13"/>
      <c r="H812" s="13"/>
      <c r="I812" s="13"/>
      <c r="J812" s="14"/>
      <c r="K812" s="14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" customHeight="1">
      <c r="A813" s="14"/>
      <c r="B813" s="13"/>
      <c r="C813" s="13"/>
      <c r="D813" s="13"/>
      <c r="E813" s="13"/>
      <c r="F813" s="13"/>
      <c r="G813" s="13"/>
      <c r="H813" s="13"/>
      <c r="I813" s="13"/>
      <c r="J813" s="14"/>
      <c r="K813" s="14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" customHeight="1">
      <c r="A814" s="14"/>
      <c r="B814" s="13"/>
      <c r="C814" s="13"/>
      <c r="D814" s="13"/>
      <c r="E814" s="13"/>
      <c r="F814" s="13"/>
      <c r="G814" s="13"/>
      <c r="H814" s="13"/>
      <c r="I814" s="13"/>
      <c r="J814" s="14"/>
      <c r="K814" s="14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" customHeight="1">
      <c r="A815" s="14"/>
      <c r="B815" s="13"/>
      <c r="C815" s="13"/>
      <c r="D815" s="13"/>
      <c r="E815" s="13"/>
      <c r="F815" s="13"/>
      <c r="G815" s="13"/>
      <c r="H815" s="13"/>
      <c r="I815" s="13"/>
      <c r="J815" s="14"/>
      <c r="K815" s="14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" customHeight="1">
      <c r="A816" s="14"/>
      <c r="B816" s="13"/>
      <c r="C816" s="13"/>
      <c r="D816" s="13"/>
      <c r="E816" s="13"/>
      <c r="F816" s="13"/>
      <c r="G816" s="13"/>
      <c r="H816" s="13"/>
      <c r="I816" s="13"/>
      <c r="J816" s="14"/>
      <c r="K816" s="14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" customHeight="1">
      <c r="A817" s="14"/>
      <c r="B817" s="13"/>
      <c r="C817" s="13"/>
      <c r="D817" s="13"/>
      <c r="E817" s="13"/>
      <c r="F817" s="13"/>
      <c r="G817" s="13"/>
      <c r="H817" s="13"/>
      <c r="I817" s="13"/>
      <c r="J817" s="14"/>
      <c r="K817" s="14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" customHeight="1">
      <c r="A818" s="14"/>
      <c r="B818" s="13"/>
      <c r="C818" s="13"/>
      <c r="D818" s="13"/>
      <c r="E818" s="13"/>
      <c r="F818" s="13"/>
      <c r="G818" s="13"/>
      <c r="H818" s="13"/>
      <c r="I818" s="13"/>
      <c r="J818" s="14"/>
      <c r="K818" s="14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" customHeight="1">
      <c r="A819" s="14"/>
      <c r="B819" s="13"/>
      <c r="C819" s="13"/>
      <c r="D819" s="13"/>
      <c r="E819" s="13"/>
      <c r="F819" s="13"/>
      <c r="G819" s="13"/>
      <c r="H819" s="13"/>
      <c r="I819" s="13"/>
      <c r="J819" s="14"/>
      <c r="K819" s="14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" customHeight="1">
      <c r="A820" s="14"/>
      <c r="B820" s="13"/>
      <c r="C820" s="13"/>
      <c r="D820" s="13"/>
      <c r="E820" s="13"/>
      <c r="F820" s="13"/>
      <c r="G820" s="13"/>
      <c r="H820" s="13"/>
      <c r="I820" s="13"/>
      <c r="J820" s="14"/>
      <c r="K820" s="14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" customHeight="1">
      <c r="A821" s="14"/>
      <c r="B821" s="13"/>
      <c r="C821" s="13"/>
      <c r="D821" s="13"/>
      <c r="E821" s="13"/>
      <c r="F821" s="13"/>
      <c r="G821" s="13"/>
      <c r="H821" s="13"/>
      <c r="I821" s="13"/>
      <c r="J821" s="14"/>
      <c r="K821" s="14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" customHeight="1">
      <c r="A822" s="14"/>
      <c r="B822" s="13"/>
      <c r="C822" s="13"/>
      <c r="D822" s="13"/>
      <c r="E822" s="13"/>
      <c r="F822" s="13"/>
      <c r="G822" s="13"/>
      <c r="H822" s="13"/>
      <c r="I822" s="13"/>
      <c r="J822" s="14"/>
      <c r="K822" s="14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" customHeight="1">
      <c r="A823" s="14"/>
      <c r="B823" s="13"/>
      <c r="C823" s="13"/>
      <c r="D823" s="13"/>
      <c r="E823" s="13"/>
      <c r="F823" s="13"/>
      <c r="G823" s="13"/>
      <c r="H823" s="13"/>
      <c r="I823" s="13"/>
      <c r="J823" s="14"/>
      <c r="K823" s="14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" customHeight="1">
      <c r="A824" s="14"/>
      <c r="B824" s="13"/>
      <c r="C824" s="13"/>
      <c r="D824" s="13"/>
      <c r="E824" s="13"/>
      <c r="F824" s="13"/>
      <c r="G824" s="13"/>
      <c r="H824" s="13"/>
      <c r="I824" s="13"/>
      <c r="J824" s="14"/>
      <c r="K824" s="14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" customHeight="1">
      <c r="A825" s="14"/>
      <c r="B825" s="13"/>
      <c r="C825" s="13"/>
      <c r="D825" s="13"/>
      <c r="E825" s="13"/>
      <c r="F825" s="13"/>
      <c r="G825" s="13"/>
      <c r="H825" s="13"/>
      <c r="I825" s="13"/>
      <c r="J825" s="14"/>
      <c r="K825" s="14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" customHeight="1">
      <c r="A826" s="14"/>
      <c r="B826" s="13"/>
      <c r="C826" s="13"/>
      <c r="D826" s="13"/>
      <c r="E826" s="13"/>
      <c r="F826" s="13"/>
      <c r="G826" s="13"/>
      <c r="H826" s="13"/>
      <c r="I826" s="13"/>
      <c r="J826" s="14"/>
      <c r="K826" s="14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" customHeight="1">
      <c r="A827" s="14"/>
      <c r="B827" s="13"/>
      <c r="C827" s="13"/>
      <c r="D827" s="13"/>
      <c r="E827" s="13"/>
      <c r="F827" s="13"/>
      <c r="G827" s="13"/>
      <c r="H827" s="13"/>
      <c r="I827" s="13"/>
      <c r="J827" s="14"/>
      <c r="K827" s="14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" customHeight="1">
      <c r="A828" s="14"/>
      <c r="B828" s="13"/>
      <c r="C828" s="13"/>
      <c r="D828" s="13"/>
      <c r="E828" s="13"/>
      <c r="F828" s="13"/>
      <c r="G828" s="13"/>
      <c r="H828" s="13"/>
      <c r="I828" s="13"/>
      <c r="J828" s="14"/>
      <c r="K828" s="14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" customHeight="1">
      <c r="A829" s="14"/>
      <c r="B829" s="13"/>
      <c r="C829" s="13"/>
      <c r="D829" s="13"/>
      <c r="E829" s="13"/>
      <c r="F829" s="13"/>
      <c r="G829" s="13"/>
      <c r="H829" s="13"/>
      <c r="I829" s="13"/>
      <c r="J829" s="14"/>
      <c r="K829" s="14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" customHeight="1">
      <c r="A830" s="14"/>
      <c r="B830" s="13"/>
      <c r="C830" s="13"/>
      <c r="D830" s="13"/>
      <c r="E830" s="13"/>
      <c r="F830" s="13"/>
      <c r="G830" s="13"/>
      <c r="H830" s="13"/>
      <c r="I830" s="13"/>
      <c r="J830" s="14"/>
      <c r="K830" s="14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" customHeight="1">
      <c r="A831" s="14"/>
      <c r="B831" s="13"/>
      <c r="C831" s="13"/>
      <c r="D831" s="13"/>
      <c r="E831" s="13"/>
      <c r="F831" s="13"/>
      <c r="G831" s="13"/>
      <c r="H831" s="13"/>
      <c r="I831" s="13"/>
      <c r="J831" s="14"/>
      <c r="K831" s="14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" customHeight="1">
      <c r="A832" s="14"/>
      <c r="B832" s="13"/>
      <c r="C832" s="13"/>
      <c r="D832" s="13"/>
      <c r="E832" s="13"/>
      <c r="F832" s="13"/>
      <c r="G832" s="13"/>
      <c r="H832" s="13"/>
      <c r="I832" s="13"/>
      <c r="J832" s="14"/>
      <c r="K832" s="14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" customHeight="1">
      <c r="A833" s="14"/>
      <c r="B833" s="13"/>
      <c r="C833" s="13"/>
      <c r="D833" s="13"/>
      <c r="E833" s="13"/>
      <c r="F833" s="13"/>
      <c r="G833" s="13"/>
      <c r="H833" s="13"/>
      <c r="I833" s="13"/>
      <c r="J833" s="14"/>
      <c r="K833" s="14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" customHeight="1">
      <c r="A834" s="14"/>
      <c r="B834" s="13"/>
      <c r="C834" s="13"/>
      <c r="D834" s="13"/>
      <c r="E834" s="13"/>
      <c r="F834" s="13"/>
      <c r="G834" s="13"/>
      <c r="H834" s="13"/>
      <c r="I834" s="13"/>
      <c r="J834" s="14"/>
      <c r="K834" s="14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" customHeight="1">
      <c r="A835" s="14"/>
      <c r="B835" s="13"/>
      <c r="C835" s="13"/>
      <c r="D835" s="13"/>
      <c r="E835" s="13"/>
      <c r="F835" s="13"/>
      <c r="G835" s="13"/>
      <c r="H835" s="13"/>
      <c r="I835" s="13"/>
      <c r="J835" s="14"/>
      <c r="K835" s="14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" customHeight="1">
      <c r="A836" s="14"/>
      <c r="B836" s="13"/>
      <c r="C836" s="13"/>
      <c r="D836" s="13"/>
      <c r="E836" s="13"/>
      <c r="F836" s="13"/>
      <c r="G836" s="13"/>
      <c r="H836" s="13"/>
      <c r="I836" s="13"/>
      <c r="J836" s="14"/>
      <c r="K836" s="14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" customHeight="1">
      <c r="A837" s="14"/>
      <c r="B837" s="13"/>
      <c r="C837" s="13"/>
      <c r="D837" s="13"/>
      <c r="E837" s="13"/>
      <c r="F837" s="13"/>
      <c r="G837" s="13"/>
      <c r="H837" s="13"/>
      <c r="I837" s="13"/>
      <c r="J837" s="14"/>
      <c r="K837" s="14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" customHeight="1">
      <c r="A838" s="14"/>
      <c r="B838" s="13"/>
      <c r="C838" s="13"/>
      <c r="D838" s="13"/>
      <c r="E838" s="13"/>
      <c r="F838" s="13"/>
      <c r="G838" s="13"/>
      <c r="H838" s="13"/>
      <c r="I838" s="13"/>
      <c r="J838" s="14"/>
      <c r="K838" s="14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" customHeight="1">
      <c r="A839" s="14"/>
      <c r="B839" s="13"/>
      <c r="C839" s="13"/>
      <c r="D839" s="13"/>
      <c r="E839" s="13"/>
      <c r="F839" s="13"/>
      <c r="G839" s="13"/>
      <c r="H839" s="13"/>
      <c r="I839" s="13"/>
      <c r="J839" s="14"/>
      <c r="K839" s="14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" customHeight="1">
      <c r="A840" s="14"/>
      <c r="B840" s="13"/>
      <c r="C840" s="13"/>
      <c r="D840" s="13"/>
      <c r="E840" s="13"/>
      <c r="F840" s="13"/>
      <c r="G840" s="13"/>
      <c r="H840" s="13"/>
      <c r="I840" s="13"/>
      <c r="J840" s="14"/>
      <c r="K840" s="14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" customHeight="1">
      <c r="A841" s="14"/>
      <c r="B841" s="13"/>
      <c r="C841" s="13"/>
      <c r="D841" s="13"/>
      <c r="E841" s="13"/>
      <c r="F841" s="13"/>
      <c r="G841" s="13"/>
      <c r="H841" s="13"/>
      <c r="I841" s="13"/>
      <c r="J841" s="14"/>
      <c r="K841" s="14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" customHeight="1">
      <c r="A842" s="14"/>
      <c r="B842" s="13"/>
      <c r="C842" s="13"/>
      <c r="D842" s="13"/>
      <c r="E842" s="13"/>
      <c r="F842" s="13"/>
      <c r="G842" s="13"/>
      <c r="H842" s="13"/>
      <c r="I842" s="13"/>
      <c r="J842" s="14"/>
      <c r="K842" s="14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" customHeight="1">
      <c r="A843" s="14"/>
      <c r="B843" s="13"/>
      <c r="C843" s="13"/>
      <c r="D843" s="13"/>
      <c r="E843" s="13"/>
      <c r="F843" s="13"/>
      <c r="G843" s="13"/>
      <c r="H843" s="13"/>
      <c r="I843" s="13"/>
      <c r="J843" s="14"/>
      <c r="K843" s="14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" customHeight="1">
      <c r="A844" s="14"/>
      <c r="B844" s="13"/>
      <c r="C844" s="13"/>
      <c r="D844" s="13"/>
      <c r="E844" s="13"/>
      <c r="F844" s="13"/>
      <c r="G844" s="13"/>
      <c r="H844" s="13"/>
      <c r="I844" s="13"/>
      <c r="J844" s="14"/>
      <c r="K844" s="14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" customHeight="1">
      <c r="A845" s="14"/>
      <c r="B845" s="13"/>
      <c r="C845" s="13"/>
      <c r="D845" s="13"/>
      <c r="E845" s="13"/>
      <c r="F845" s="13"/>
      <c r="G845" s="13"/>
      <c r="H845" s="13"/>
      <c r="I845" s="13"/>
      <c r="J845" s="14"/>
      <c r="K845" s="14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" customHeight="1">
      <c r="A846" s="14"/>
      <c r="B846" s="13"/>
      <c r="C846" s="13"/>
      <c r="D846" s="13"/>
      <c r="E846" s="13"/>
      <c r="F846" s="13"/>
      <c r="G846" s="13"/>
      <c r="H846" s="13"/>
      <c r="I846" s="13"/>
      <c r="J846" s="14"/>
      <c r="K846" s="14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" customHeight="1">
      <c r="A847" s="14"/>
      <c r="B847" s="13"/>
      <c r="C847" s="13"/>
      <c r="D847" s="13"/>
      <c r="E847" s="13"/>
      <c r="F847" s="13"/>
      <c r="G847" s="13"/>
      <c r="H847" s="13"/>
      <c r="I847" s="13"/>
      <c r="J847" s="14"/>
      <c r="K847" s="14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" customHeight="1">
      <c r="A848" s="14"/>
      <c r="B848" s="13"/>
      <c r="C848" s="13"/>
      <c r="D848" s="13"/>
      <c r="E848" s="13"/>
      <c r="F848" s="13"/>
      <c r="G848" s="13"/>
      <c r="H848" s="13"/>
      <c r="I848" s="13"/>
      <c r="J848" s="14"/>
      <c r="K848" s="14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" customHeight="1">
      <c r="A849" s="14"/>
      <c r="B849" s="13"/>
      <c r="C849" s="13"/>
      <c r="D849" s="13"/>
      <c r="E849" s="13"/>
      <c r="F849" s="13"/>
      <c r="G849" s="13"/>
      <c r="H849" s="13"/>
      <c r="I849" s="13"/>
      <c r="J849" s="14"/>
      <c r="K849" s="14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" customHeight="1">
      <c r="A850" s="14"/>
      <c r="B850" s="13"/>
      <c r="C850" s="13"/>
      <c r="D850" s="13"/>
      <c r="E850" s="13"/>
      <c r="F850" s="13"/>
      <c r="G850" s="13"/>
      <c r="H850" s="13"/>
      <c r="I850" s="13"/>
      <c r="J850" s="14"/>
      <c r="K850" s="14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" customHeight="1">
      <c r="A851" s="14"/>
      <c r="B851" s="13"/>
      <c r="C851" s="13"/>
      <c r="D851" s="13"/>
      <c r="E851" s="13"/>
      <c r="F851" s="13"/>
      <c r="G851" s="13"/>
      <c r="H851" s="13"/>
      <c r="I851" s="13"/>
      <c r="J851" s="14"/>
      <c r="K851" s="14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" customHeight="1">
      <c r="A852" s="14"/>
      <c r="B852" s="13"/>
      <c r="C852" s="13"/>
      <c r="D852" s="13"/>
      <c r="E852" s="13"/>
      <c r="F852" s="13"/>
      <c r="G852" s="13"/>
      <c r="H852" s="13"/>
      <c r="I852" s="13"/>
      <c r="J852" s="14"/>
      <c r="K852" s="14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" customHeight="1">
      <c r="A853" s="14"/>
      <c r="B853" s="13"/>
      <c r="C853" s="13"/>
      <c r="D853" s="13"/>
      <c r="E853" s="13"/>
      <c r="F853" s="13"/>
      <c r="G853" s="13"/>
      <c r="H853" s="13"/>
      <c r="I853" s="13"/>
      <c r="J853" s="14"/>
      <c r="K853" s="14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" customHeight="1">
      <c r="A854" s="14"/>
      <c r="B854" s="13"/>
      <c r="C854" s="13"/>
      <c r="D854" s="13"/>
      <c r="E854" s="13"/>
      <c r="F854" s="13"/>
      <c r="G854" s="13"/>
      <c r="H854" s="13"/>
      <c r="I854" s="13"/>
      <c r="J854" s="14"/>
      <c r="K854" s="14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" customHeight="1">
      <c r="A855" s="14"/>
      <c r="B855" s="13"/>
      <c r="C855" s="13"/>
      <c r="D855" s="13"/>
      <c r="E855" s="13"/>
      <c r="F855" s="13"/>
      <c r="G855" s="13"/>
      <c r="H855" s="13"/>
      <c r="I855" s="13"/>
      <c r="J855" s="14"/>
      <c r="K855" s="14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" customHeight="1">
      <c r="A856" s="14"/>
      <c r="B856" s="13"/>
      <c r="C856" s="13"/>
      <c r="D856" s="13"/>
      <c r="E856" s="13"/>
      <c r="F856" s="13"/>
      <c r="G856" s="13"/>
      <c r="H856" s="13"/>
      <c r="I856" s="13"/>
      <c r="J856" s="14"/>
      <c r="K856" s="14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" customHeight="1">
      <c r="A857" s="14"/>
      <c r="B857" s="13"/>
      <c r="C857" s="13"/>
      <c r="D857" s="13"/>
      <c r="E857" s="13"/>
      <c r="F857" s="13"/>
      <c r="G857" s="13"/>
      <c r="H857" s="13"/>
      <c r="I857" s="13"/>
      <c r="J857" s="14"/>
      <c r="K857" s="14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" customHeight="1">
      <c r="A858" s="14"/>
      <c r="B858" s="13"/>
      <c r="C858" s="13"/>
      <c r="D858" s="13"/>
      <c r="E858" s="13"/>
      <c r="F858" s="13"/>
      <c r="G858" s="13"/>
      <c r="H858" s="13"/>
      <c r="I858" s="13"/>
      <c r="J858" s="14"/>
      <c r="K858" s="14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" customHeight="1">
      <c r="A859" s="14"/>
      <c r="B859" s="13"/>
      <c r="C859" s="13"/>
      <c r="D859" s="13"/>
      <c r="E859" s="13"/>
      <c r="F859" s="13"/>
      <c r="G859" s="13"/>
      <c r="H859" s="13"/>
      <c r="I859" s="13"/>
      <c r="J859" s="14"/>
      <c r="K859" s="14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" customHeight="1">
      <c r="A860" s="14"/>
      <c r="B860" s="13"/>
      <c r="C860" s="13"/>
      <c r="D860" s="13"/>
      <c r="E860" s="13"/>
      <c r="F860" s="13"/>
      <c r="G860" s="13"/>
      <c r="H860" s="13"/>
      <c r="I860" s="13"/>
      <c r="J860" s="14"/>
      <c r="K860" s="14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" customHeight="1">
      <c r="A861" s="14"/>
      <c r="B861" s="13"/>
      <c r="C861" s="13"/>
      <c r="D861" s="13"/>
      <c r="E861" s="13"/>
      <c r="F861" s="13"/>
      <c r="G861" s="13"/>
      <c r="H861" s="13"/>
      <c r="I861" s="13"/>
      <c r="J861" s="14"/>
      <c r="K861" s="14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" customHeight="1">
      <c r="A862" s="14"/>
      <c r="B862" s="13"/>
      <c r="C862" s="13"/>
      <c r="D862" s="13"/>
      <c r="E862" s="13"/>
      <c r="F862" s="13"/>
      <c r="G862" s="13"/>
      <c r="H862" s="13"/>
      <c r="I862" s="13"/>
      <c r="J862" s="14"/>
      <c r="K862" s="14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" customHeight="1">
      <c r="A863" s="14"/>
      <c r="B863" s="13"/>
      <c r="C863" s="13"/>
      <c r="D863" s="13"/>
      <c r="E863" s="13"/>
      <c r="F863" s="13"/>
      <c r="G863" s="13"/>
      <c r="H863" s="13"/>
      <c r="I863" s="13"/>
      <c r="J863" s="14"/>
      <c r="K863" s="14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" customHeight="1">
      <c r="A864" s="14"/>
      <c r="B864" s="13"/>
      <c r="C864" s="13"/>
      <c r="D864" s="13"/>
      <c r="E864" s="13"/>
      <c r="F864" s="13"/>
      <c r="G864" s="13"/>
      <c r="H864" s="13"/>
      <c r="I864" s="13"/>
      <c r="J864" s="14"/>
      <c r="K864" s="14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" customHeight="1">
      <c r="A865" s="14"/>
      <c r="B865" s="13"/>
      <c r="C865" s="13"/>
      <c r="D865" s="13"/>
      <c r="E865" s="13"/>
      <c r="F865" s="13"/>
      <c r="G865" s="13"/>
      <c r="H865" s="13"/>
      <c r="I865" s="13"/>
      <c r="J865" s="14"/>
      <c r="K865" s="14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" customHeight="1">
      <c r="A866" s="14"/>
      <c r="B866" s="13"/>
      <c r="C866" s="13"/>
      <c r="D866" s="13"/>
      <c r="E866" s="13"/>
      <c r="F866" s="13"/>
      <c r="G866" s="13"/>
      <c r="H866" s="13"/>
      <c r="I866" s="13"/>
      <c r="J866" s="14"/>
      <c r="K866" s="14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" customHeight="1">
      <c r="A867" s="14"/>
      <c r="B867" s="13"/>
      <c r="C867" s="13"/>
      <c r="D867" s="13"/>
      <c r="E867" s="13"/>
      <c r="F867" s="13"/>
      <c r="G867" s="13"/>
      <c r="H867" s="13"/>
      <c r="I867" s="13"/>
      <c r="J867" s="14"/>
      <c r="K867" s="14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" customHeight="1">
      <c r="A868" s="14"/>
      <c r="B868" s="13"/>
      <c r="C868" s="13"/>
      <c r="D868" s="13"/>
      <c r="E868" s="13"/>
      <c r="F868" s="13"/>
      <c r="G868" s="13"/>
      <c r="H868" s="13"/>
      <c r="I868" s="13"/>
      <c r="J868" s="14"/>
      <c r="K868" s="14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" customHeight="1">
      <c r="A869" s="14"/>
      <c r="B869" s="13"/>
      <c r="C869" s="13"/>
      <c r="D869" s="13"/>
      <c r="E869" s="13"/>
      <c r="F869" s="13"/>
      <c r="G869" s="13"/>
      <c r="H869" s="13"/>
      <c r="I869" s="13"/>
      <c r="J869" s="14"/>
      <c r="K869" s="14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" customHeight="1">
      <c r="A870" s="14"/>
      <c r="B870" s="13"/>
      <c r="C870" s="13"/>
      <c r="D870" s="13"/>
      <c r="E870" s="13"/>
      <c r="F870" s="13"/>
      <c r="G870" s="13"/>
      <c r="H870" s="13"/>
      <c r="I870" s="13"/>
      <c r="J870" s="14"/>
      <c r="K870" s="14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" customHeight="1">
      <c r="A871" s="14"/>
      <c r="B871" s="13"/>
      <c r="C871" s="13"/>
      <c r="D871" s="13"/>
      <c r="E871" s="13"/>
      <c r="F871" s="13"/>
      <c r="G871" s="13"/>
      <c r="H871" s="13"/>
      <c r="I871" s="13"/>
      <c r="J871" s="14"/>
      <c r="K871" s="14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" customHeight="1">
      <c r="A872" s="14"/>
      <c r="B872" s="13"/>
      <c r="C872" s="13"/>
      <c r="D872" s="13"/>
      <c r="E872" s="13"/>
      <c r="F872" s="13"/>
      <c r="G872" s="13"/>
      <c r="H872" s="13"/>
      <c r="I872" s="13"/>
      <c r="J872" s="14"/>
      <c r="K872" s="14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" customHeight="1">
      <c r="A873" s="14"/>
      <c r="B873" s="13"/>
      <c r="C873" s="13"/>
      <c r="D873" s="13"/>
      <c r="E873" s="13"/>
      <c r="F873" s="13"/>
      <c r="G873" s="13"/>
      <c r="H873" s="13"/>
      <c r="I873" s="13"/>
      <c r="J873" s="14"/>
      <c r="K873" s="14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" customHeight="1">
      <c r="A874" s="14"/>
      <c r="B874" s="13"/>
      <c r="C874" s="13"/>
      <c r="D874" s="13"/>
      <c r="E874" s="13"/>
      <c r="F874" s="13"/>
      <c r="G874" s="13"/>
      <c r="H874" s="13"/>
      <c r="I874" s="13"/>
      <c r="J874" s="14"/>
      <c r="K874" s="14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" customHeight="1">
      <c r="A875" s="14"/>
      <c r="B875" s="13"/>
      <c r="C875" s="13"/>
      <c r="D875" s="13"/>
      <c r="E875" s="13"/>
      <c r="F875" s="13"/>
      <c r="G875" s="13"/>
      <c r="H875" s="13"/>
      <c r="I875" s="13"/>
      <c r="J875" s="14"/>
      <c r="K875" s="14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" customHeight="1">
      <c r="A876" s="14"/>
      <c r="B876" s="13"/>
      <c r="C876" s="13"/>
      <c r="D876" s="13"/>
      <c r="E876" s="13"/>
      <c r="F876" s="13"/>
      <c r="G876" s="13"/>
      <c r="H876" s="13"/>
      <c r="I876" s="13"/>
      <c r="J876" s="14"/>
      <c r="K876" s="14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" customHeight="1">
      <c r="A877" s="14"/>
      <c r="B877" s="13"/>
      <c r="C877" s="13"/>
      <c r="D877" s="13"/>
      <c r="E877" s="13"/>
      <c r="F877" s="13"/>
      <c r="G877" s="13"/>
      <c r="H877" s="13"/>
      <c r="I877" s="13"/>
      <c r="J877" s="14"/>
      <c r="K877" s="14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" customHeight="1">
      <c r="A878" s="14"/>
      <c r="B878" s="13"/>
      <c r="C878" s="13"/>
      <c r="D878" s="13"/>
      <c r="E878" s="13"/>
      <c r="F878" s="13"/>
      <c r="G878" s="13"/>
      <c r="H878" s="13"/>
      <c r="I878" s="13"/>
      <c r="J878" s="14"/>
      <c r="K878" s="14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" customHeight="1">
      <c r="A879" s="14"/>
      <c r="B879" s="13"/>
      <c r="C879" s="13"/>
      <c r="D879" s="13"/>
      <c r="E879" s="13"/>
      <c r="F879" s="13"/>
      <c r="G879" s="13"/>
      <c r="H879" s="13"/>
      <c r="I879" s="13"/>
      <c r="J879" s="14"/>
      <c r="K879" s="14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" customHeight="1">
      <c r="A880" s="14"/>
      <c r="B880" s="13"/>
      <c r="C880" s="13"/>
      <c r="D880" s="13"/>
      <c r="E880" s="13"/>
      <c r="F880" s="13"/>
      <c r="G880" s="13"/>
      <c r="H880" s="13"/>
      <c r="I880" s="13"/>
      <c r="J880" s="14"/>
      <c r="K880" s="14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" customHeight="1">
      <c r="A881" s="14"/>
      <c r="B881" s="13"/>
      <c r="C881" s="13"/>
      <c r="D881" s="13"/>
      <c r="E881" s="13"/>
      <c r="F881" s="13"/>
      <c r="G881" s="13"/>
      <c r="H881" s="13"/>
      <c r="I881" s="13"/>
      <c r="J881" s="14"/>
      <c r="K881" s="14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" customHeight="1">
      <c r="A882" s="14"/>
      <c r="B882" s="13"/>
      <c r="C882" s="13"/>
      <c r="D882" s="13"/>
      <c r="E882" s="13"/>
      <c r="F882" s="13"/>
      <c r="G882" s="13"/>
      <c r="H882" s="13"/>
      <c r="I882" s="13"/>
      <c r="J882" s="14"/>
      <c r="K882" s="14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" customHeight="1">
      <c r="A883" s="14"/>
      <c r="B883" s="13"/>
      <c r="C883" s="13"/>
      <c r="D883" s="13"/>
      <c r="E883" s="13"/>
      <c r="F883" s="13"/>
      <c r="G883" s="13"/>
      <c r="H883" s="13"/>
      <c r="I883" s="13"/>
      <c r="J883" s="14"/>
      <c r="K883" s="14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" customHeight="1">
      <c r="A884" s="14"/>
      <c r="B884" s="13"/>
      <c r="C884" s="13"/>
      <c r="D884" s="13"/>
      <c r="E884" s="13"/>
      <c r="F884" s="13"/>
      <c r="G884" s="13"/>
      <c r="H884" s="13"/>
      <c r="I884" s="13"/>
      <c r="J884" s="14"/>
      <c r="K884" s="14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" customHeight="1">
      <c r="A885" s="14"/>
      <c r="B885" s="13"/>
      <c r="C885" s="13"/>
      <c r="D885" s="13"/>
      <c r="E885" s="13"/>
      <c r="F885" s="13"/>
      <c r="G885" s="13"/>
      <c r="H885" s="13"/>
      <c r="I885" s="13"/>
      <c r="J885" s="14"/>
      <c r="K885" s="14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" customHeight="1">
      <c r="A886" s="14"/>
      <c r="B886" s="13"/>
      <c r="C886" s="13"/>
      <c r="D886" s="13"/>
      <c r="E886" s="13"/>
      <c r="F886" s="13"/>
      <c r="G886" s="13"/>
      <c r="H886" s="13"/>
      <c r="I886" s="13"/>
      <c r="J886" s="14"/>
      <c r="K886" s="14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" customHeight="1">
      <c r="A887" s="14"/>
      <c r="B887" s="13"/>
      <c r="C887" s="13"/>
      <c r="D887" s="13"/>
      <c r="E887" s="13"/>
      <c r="F887" s="13"/>
      <c r="G887" s="13"/>
      <c r="H887" s="13"/>
      <c r="I887" s="13"/>
      <c r="J887" s="14"/>
      <c r="K887" s="14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" customHeight="1">
      <c r="A888" s="14"/>
      <c r="B888" s="13"/>
      <c r="C888" s="13"/>
      <c r="D888" s="13"/>
      <c r="E888" s="13"/>
      <c r="F888" s="13"/>
      <c r="G888" s="13"/>
      <c r="H888" s="13"/>
      <c r="I888" s="13"/>
      <c r="J888" s="14"/>
      <c r="K888" s="14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" customHeight="1">
      <c r="A889" s="14"/>
      <c r="B889" s="13"/>
      <c r="C889" s="13"/>
      <c r="D889" s="13"/>
      <c r="E889" s="13"/>
      <c r="F889" s="13"/>
      <c r="G889" s="13"/>
      <c r="H889" s="13"/>
      <c r="I889" s="13"/>
      <c r="J889" s="14"/>
      <c r="K889" s="14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" customHeight="1">
      <c r="A890" s="14"/>
      <c r="B890" s="13"/>
      <c r="C890" s="13"/>
      <c r="D890" s="13"/>
      <c r="E890" s="13"/>
      <c r="F890" s="13"/>
      <c r="G890" s="13"/>
      <c r="H890" s="13"/>
      <c r="I890" s="13"/>
      <c r="J890" s="14"/>
      <c r="K890" s="14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" customHeight="1">
      <c r="A891" s="14"/>
      <c r="B891" s="13"/>
      <c r="C891" s="13"/>
      <c r="D891" s="13"/>
      <c r="E891" s="13"/>
      <c r="F891" s="13"/>
      <c r="G891" s="13"/>
      <c r="H891" s="13"/>
      <c r="I891" s="13"/>
      <c r="J891" s="14"/>
      <c r="K891" s="14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" customHeight="1">
      <c r="A892" s="14"/>
      <c r="B892" s="13"/>
      <c r="C892" s="13"/>
      <c r="D892" s="13"/>
      <c r="E892" s="13"/>
      <c r="F892" s="13"/>
      <c r="G892" s="13"/>
      <c r="H892" s="13"/>
      <c r="I892" s="13"/>
      <c r="J892" s="14"/>
      <c r="K892" s="14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" customHeight="1">
      <c r="A893" s="14"/>
      <c r="B893" s="13"/>
      <c r="C893" s="13"/>
      <c r="D893" s="13"/>
      <c r="E893" s="13"/>
      <c r="F893" s="13"/>
      <c r="G893" s="13"/>
      <c r="H893" s="13"/>
      <c r="I893" s="13"/>
      <c r="J893" s="14"/>
      <c r="K893" s="14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" customHeight="1">
      <c r="A894" s="14"/>
      <c r="B894" s="13"/>
      <c r="C894" s="13"/>
      <c r="D894" s="13"/>
      <c r="E894" s="13"/>
      <c r="F894" s="13"/>
      <c r="G894" s="13"/>
      <c r="H894" s="13"/>
      <c r="I894" s="13"/>
      <c r="J894" s="14"/>
      <c r="K894" s="14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" customHeight="1">
      <c r="A895" s="14"/>
      <c r="B895" s="13"/>
      <c r="C895" s="13"/>
      <c r="D895" s="13"/>
      <c r="E895" s="13"/>
      <c r="F895" s="13"/>
      <c r="G895" s="13"/>
      <c r="H895" s="13"/>
      <c r="I895" s="13"/>
      <c r="J895" s="14"/>
      <c r="K895" s="14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" customHeight="1">
      <c r="A896" s="14"/>
      <c r="B896" s="13"/>
      <c r="C896" s="13"/>
      <c r="D896" s="13"/>
      <c r="E896" s="13"/>
      <c r="F896" s="13"/>
      <c r="G896" s="13"/>
      <c r="H896" s="13"/>
      <c r="I896" s="13"/>
      <c r="J896" s="14"/>
      <c r="K896" s="14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" customHeight="1">
      <c r="A897" s="14"/>
      <c r="B897" s="13"/>
      <c r="C897" s="13"/>
      <c r="D897" s="13"/>
      <c r="E897" s="13"/>
      <c r="F897" s="13"/>
      <c r="G897" s="13"/>
      <c r="H897" s="13"/>
      <c r="I897" s="13"/>
      <c r="J897" s="14"/>
      <c r="K897" s="14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" customHeight="1">
      <c r="A898" s="14"/>
      <c r="B898" s="13"/>
      <c r="C898" s="13"/>
      <c r="D898" s="13"/>
      <c r="E898" s="13"/>
      <c r="F898" s="13"/>
      <c r="G898" s="13"/>
      <c r="H898" s="13"/>
      <c r="I898" s="13"/>
      <c r="J898" s="14"/>
      <c r="K898" s="14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" customHeight="1">
      <c r="A899" s="14"/>
      <c r="B899" s="13"/>
      <c r="C899" s="13"/>
      <c r="D899" s="13"/>
      <c r="E899" s="13"/>
      <c r="F899" s="13"/>
      <c r="G899" s="13"/>
      <c r="H899" s="13"/>
      <c r="I899" s="13"/>
      <c r="J899" s="14"/>
      <c r="K899" s="14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" customHeight="1">
      <c r="A900" s="14"/>
      <c r="B900" s="13"/>
      <c r="C900" s="13"/>
      <c r="D900" s="13"/>
      <c r="E900" s="13"/>
      <c r="F900" s="13"/>
      <c r="G900" s="13"/>
      <c r="H900" s="13"/>
      <c r="I900" s="13"/>
      <c r="J900" s="14"/>
      <c r="K900" s="14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" customHeight="1">
      <c r="A901" s="14"/>
      <c r="B901" s="13"/>
      <c r="C901" s="13"/>
      <c r="D901" s="13"/>
      <c r="E901" s="13"/>
      <c r="F901" s="13"/>
      <c r="G901" s="13"/>
      <c r="H901" s="13"/>
      <c r="I901" s="13"/>
      <c r="J901" s="14"/>
      <c r="K901" s="14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" customHeight="1">
      <c r="A902" s="14"/>
      <c r="B902" s="13"/>
      <c r="C902" s="13"/>
      <c r="D902" s="13"/>
      <c r="E902" s="13"/>
      <c r="F902" s="13"/>
      <c r="G902" s="13"/>
      <c r="H902" s="13"/>
      <c r="I902" s="13"/>
      <c r="J902" s="14"/>
      <c r="K902" s="14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" customHeight="1">
      <c r="A903" s="14"/>
      <c r="B903" s="13"/>
      <c r="C903" s="13"/>
      <c r="D903" s="13"/>
      <c r="E903" s="13"/>
      <c r="F903" s="13"/>
      <c r="G903" s="13"/>
      <c r="H903" s="13"/>
      <c r="I903" s="13"/>
      <c r="J903" s="14"/>
      <c r="K903" s="14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" customHeight="1">
      <c r="A904" s="14"/>
      <c r="B904" s="13"/>
      <c r="C904" s="13"/>
      <c r="D904" s="13"/>
      <c r="E904" s="13"/>
      <c r="F904" s="13"/>
      <c r="G904" s="13"/>
      <c r="H904" s="13"/>
      <c r="I904" s="13"/>
      <c r="J904" s="14"/>
      <c r="K904" s="14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" customHeight="1">
      <c r="A905" s="14"/>
      <c r="B905" s="13"/>
      <c r="C905" s="13"/>
      <c r="D905" s="13"/>
      <c r="E905" s="13"/>
      <c r="F905" s="13"/>
      <c r="G905" s="13"/>
      <c r="H905" s="13"/>
      <c r="I905" s="13"/>
      <c r="J905" s="14"/>
      <c r="K905" s="14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" customHeight="1">
      <c r="A906" s="14"/>
      <c r="B906" s="13"/>
      <c r="C906" s="13"/>
      <c r="D906" s="13"/>
      <c r="E906" s="13"/>
      <c r="F906" s="13"/>
      <c r="G906" s="13"/>
      <c r="H906" s="13"/>
      <c r="I906" s="13"/>
      <c r="J906" s="14"/>
      <c r="K906" s="14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" customHeight="1">
      <c r="A907" s="14"/>
      <c r="B907" s="13"/>
      <c r="C907" s="13"/>
      <c r="D907" s="13"/>
      <c r="E907" s="13"/>
      <c r="F907" s="13"/>
      <c r="G907" s="13"/>
      <c r="H907" s="13"/>
      <c r="I907" s="13"/>
      <c r="J907" s="14"/>
      <c r="K907" s="14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" customHeight="1">
      <c r="A908" s="14"/>
      <c r="B908" s="13"/>
      <c r="C908" s="13"/>
      <c r="D908" s="13"/>
      <c r="E908" s="13"/>
      <c r="F908" s="13"/>
      <c r="G908" s="13"/>
      <c r="H908" s="13"/>
      <c r="I908" s="13"/>
      <c r="J908" s="14"/>
      <c r="K908" s="14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" customHeight="1">
      <c r="A909" s="14"/>
      <c r="B909" s="13"/>
      <c r="C909" s="13"/>
      <c r="D909" s="13"/>
      <c r="E909" s="13"/>
      <c r="F909" s="13"/>
      <c r="G909" s="13"/>
      <c r="H909" s="13"/>
      <c r="I909" s="13"/>
      <c r="J909" s="14"/>
      <c r="K909" s="14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" customHeight="1">
      <c r="A910" s="14"/>
      <c r="B910" s="13"/>
      <c r="C910" s="13"/>
      <c r="D910" s="13"/>
      <c r="E910" s="13"/>
      <c r="F910" s="13"/>
      <c r="G910" s="13"/>
      <c r="H910" s="13"/>
      <c r="I910" s="13"/>
      <c r="J910" s="14"/>
      <c r="K910" s="14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" customHeight="1">
      <c r="A911" s="14"/>
      <c r="B911" s="13"/>
      <c r="C911" s="13"/>
      <c r="D911" s="13"/>
      <c r="E911" s="13"/>
      <c r="F911" s="13"/>
      <c r="G911" s="13"/>
      <c r="H911" s="13"/>
      <c r="I911" s="13"/>
      <c r="J911" s="14"/>
      <c r="K911" s="14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" customHeight="1">
      <c r="A912" s="14"/>
      <c r="B912" s="13"/>
      <c r="C912" s="13"/>
      <c r="D912" s="13"/>
      <c r="E912" s="13"/>
      <c r="F912" s="13"/>
      <c r="G912" s="13"/>
      <c r="H912" s="13"/>
      <c r="I912" s="13"/>
      <c r="J912" s="14"/>
      <c r="K912" s="14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" customHeight="1">
      <c r="A913" s="14"/>
      <c r="B913" s="13"/>
      <c r="C913" s="13"/>
      <c r="D913" s="13"/>
      <c r="E913" s="13"/>
      <c r="F913" s="13"/>
      <c r="G913" s="13"/>
      <c r="H913" s="13"/>
      <c r="I913" s="13"/>
      <c r="J913" s="14"/>
      <c r="K913" s="14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" customHeight="1">
      <c r="A914" s="14"/>
      <c r="B914" s="13"/>
      <c r="C914" s="13"/>
      <c r="D914" s="13"/>
      <c r="E914" s="13"/>
      <c r="F914" s="13"/>
      <c r="G914" s="13"/>
      <c r="H914" s="13"/>
      <c r="I914" s="13"/>
      <c r="J914" s="14"/>
      <c r="K914" s="14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" customHeight="1">
      <c r="A915" s="14"/>
      <c r="B915" s="13"/>
      <c r="C915" s="13"/>
      <c r="D915" s="13"/>
      <c r="E915" s="13"/>
      <c r="F915" s="13"/>
      <c r="G915" s="13"/>
      <c r="H915" s="13"/>
      <c r="I915" s="13"/>
      <c r="J915" s="14"/>
      <c r="K915" s="14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" customHeight="1">
      <c r="A916" s="14"/>
      <c r="B916" s="13"/>
      <c r="C916" s="13"/>
      <c r="D916" s="13"/>
      <c r="E916" s="13"/>
      <c r="F916" s="13"/>
      <c r="G916" s="13"/>
      <c r="H916" s="13"/>
      <c r="I916" s="13"/>
      <c r="J916" s="14"/>
      <c r="K916" s="14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" customHeight="1">
      <c r="A917" s="14"/>
      <c r="B917" s="13"/>
      <c r="C917" s="13"/>
      <c r="D917" s="13"/>
      <c r="E917" s="13"/>
      <c r="F917" s="13"/>
      <c r="G917" s="13"/>
      <c r="H917" s="13"/>
      <c r="I917" s="13"/>
      <c r="J917" s="14"/>
      <c r="K917" s="14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" customHeight="1">
      <c r="A918" s="14"/>
      <c r="B918" s="13"/>
      <c r="C918" s="13"/>
      <c r="D918" s="13"/>
      <c r="E918" s="13"/>
      <c r="F918" s="13"/>
      <c r="G918" s="13"/>
      <c r="H918" s="13"/>
      <c r="I918" s="13"/>
      <c r="J918" s="14"/>
      <c r="K918" s="14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" customHeight="1">
      <c r="A919" s="14"/>
      <c r="B919" s="13"/>
      <c r="C919" s="13"/>
      <c r="D919" s="13"/>
      <c r="E919" s="13"/>
      <c r="F919" s="13"/>
      <c r="G919" s="13"/>
      <c r="H919" s="13"/>
      <c r="I919" s="13"/>
      <c r="J919" s="14"/>
      <c r="K919" s="14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" customHeight="1">
      <c r="A920" s="14"/>
      <c r="B920" s="13"/>
      <c r="C920" s="13"/>
      <c r="D920" s="13"/>
      <c r="E920" s="13"/>
      <c r="F920" s="13"/>
      <c r="G920" s="13"/>
      <c r="H920" s="13"/>
      <c r="I920" s="13"/>
      <c r="J920" s="14"/>
      <c r="K920" s="14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" customHeight="1">
      <c r="A921" s="14"/>
      <c r="B921" s="13"/>
      <c r="C921" s="13"/>
      <c r="D921" s="13"/>
      <c r="E921" s="13"/>
      <c r="F921" s="13"/>
      <c r="G921" s="13"/>
      <c r="H921" s="13"/>
      <c r="I921" s="13"/>
      <c r="J921" s="14"/>
      <c r="K921" s="14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" customHeight="1">
      <c r="A922" s="14"/>
      <c r="B922" s="13"/>
      <c r="C922" s="13"/>
      <c r="D922" s="13"/>
      <c r="E922" s="13"/>
      <c r="F922" s="13"/>
      <c r="G922" s="13"/>
      <c r="H922" s="13"/>
      <c r="I922" s="13"/>
      <c r="J922" s="14"/>
      <c r="K922" s="14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" customHeight="1">
      <c r="A923" s="14"/>
      <c r="B923" s="13"/>
      <c r="C923" s="13"/>
      <c r="D923" s="13"/>
      <c r="E923" s="13"/>
      <c r="F923" s="13"/>
      <c r="G923" s="13"/>
      <c r="H923" s="13"/>
      <c r="I923" s="13"/>
      <c r="J923" s="14"/>
      <c r="K923" s="14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" customHeight="1">
      <c r="A924" s="14"/>
      <c r="B924" s="13"/>
      <c r="C924" s="13"/>
      <c r="D924" s="13"/>
      <c r="E924" s="13"/>
      <c r="F924" s="13"/>
      <c r="G924" s="13"/>
      <c r="H924" s="13"/>
      <c r="I924" s="13"/>
      <c r="J924" s="14"/>
      <c r="K924" s="14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" customHeight="1">
      <c r="A925" s="14"/>
      <c r="B925" s="13"/>
      <c r="C925" s="13"/>
      <c r="D925" s="13"/>
      <c r="E925" s="13"/>
      <c r="F925" s="13"/>
      <c r="G925" s="13"/>
      <c r="H925" s="13"/>
      <c r="I925" s="13"/>
      <c r="J925" s="14"/>
      <c r="K925" s="14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" customHeight="1">
      <c r="A926" s="14"/>
      <c r="B926" s="13"/>
      <c r="C926" s="13"/>
      <c r="D926" s="13"/>
      <c r="E926" s="13"/>
      <c r="F926" s="13"/>
      <c r="G926" s="13"/>
      <c r="H926" s="13"/>
      <c r="I926" s="13"/>
      <c r="J926" s="14"/>
      <c r="K926" s="14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" customHeight="1">
      <c r="A927" s="14"/>
      <c r="B927" s="13"/>
      <c r="C927" s="13"/>
      <c r="D927" s="13"/>
      <c r="E927" s="13"/>
      <c r="F927" s="13"/>
      <c r="G927" s="13"/>
      <c r="H927" s="13"/>
      <c r="I927" s="13"/>
      <c r="J927" s="14"/>
      <c r="K927" s="14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" customHeight="1">
      <c r="A928" s="14"/>
      <c r="B928" s="13"/>
      <c r="C928" s="13"/>
      <c r="D928" s="13"/>
      <c r="E928" s="13"/>
      <c r="F928" s="13"/>
      <c r="G928" s="13"/>
      <c r="H928" s="13"/>
      <c r="I928" s="13"/>
      <c r="J928" s="14"/>
      <c r="K928" s="14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" customHeight="1">
      <c r="A929" s="14"/>
      <c r="B929" s="13"/>
      <c r="C929" s="13"/>
      <c r="D929" s="13"/>
      <c r="E929" s="13"/>
      <c r="F929" s="13"/>
      <c r="G929" s="13"/>
      <c r="H929" s="13"/>
      <c r="I929" s="13"/>
      <c r="J929" s="14"/>
      <c r="K929" s="14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" customHeight="1">
      <c r="A930" s="14"/>
      <c r="B930" s="13"/>
      <c r="C930" s="13"/>
      <c r="D930" s="13"/>
      <c r="E930" s="13"/>
      <c r="F930" s="13"/>
      <c r="G930" s="13"/>
      <c r="H930" s="13"/>
      <c r="I930" s="13"/>
      <c r="J930" s="14"/>
      <c r="K930" s="14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" customHeight="1">
      <c r="A931" s="14"/>
      <c r="B931" s="13"/>
      <c r="C931" s="13"/>
      <c r="D931" s="13"/>
      <c r="E931" s="13"/>
      <c r="F931" s="13"/>
      <c r="G931" s="13"/>
      <c r="H931" s="13"/>
      <c r="I931" s="13"/>
      <c r="J931" s="14"/>
      <c r="K931" s="14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" customHeight="1">
      <c r="A932" s="14"/>
      <c r="B932" s="13"/>
      <c r="C932" s="13"/>
      <c r="D932" s="13"/>
      <c r="E932" s="13"/>
      <c r="F932" s="13"/>
      <c r="G932" s="13"/>
      <c r="H932" s="13"/>
      <c r="I932" s="13"/>
      <c r="J932" s="14"/>
      <c r="K932" s="14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" customHeight="1">
      <c r="A933" s="14"/>
      <c r="B933" s="13"/>
      <c r="C933" s="13"/>
      <c r="D933" s="13"/>
      <c r="E933" s="13"/>
      <c r="F933" s="13"/>
      <c r="G933" s="13"/>
      <c r="H933" s="13"/>
      <c r="I933" s="13"/>
      <c r="J933" s="14"/>
      <c r="K933" s="14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" customHeight="1">
      <c r="A934" s="14"/>
      <c r="B934" s="13"/>
      <c r="C934" s="13"/>
      <c r="D934" s="13"/>
      <c r="E934" s="13"/>
      <c r="F934" s="13"/>
      <c r="G934" s="13"/>
      <c r="H934" s="13"/>
      <c r="I934" s="13"/>
      <c r="J934" s="14"/>
      <c r="K934" s="14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" customHeight="1">
      <c r="A935" s="14"/>
      <c r="B935" s="13"/>
      <c r="C935" s="13"/>
      <c r="D935" s="13"/>
      <c r="E935" s="13"/>
      <c r="F935" s="13"/>
      <c r="G935" s="13"/>
      <c r="H935" s="13"/>
      <c r="I935" s="13"/>
      <c r="J935" s="14"/>
      <c r="K935" s="14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" customHeight="1">
      <c r="A936" s="14"/>
      <c r="B936" s="13"/>
      <c r="C936" s="13"/>
      <c r="D936" s="13"/>
      <c r="E936" s="13"/>
      <c r="F936" s="13"/>
      <c r="G936" s="13"/>
      <c r="H936" s="13"/>
      <c r="I936" s="13"/>
      <c r="J936" s="14"/>
      <c r="K936" s="14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" customHeight="1">
      <c r="A937" s="14"/>
      <c r="B937" s="13"/>
      <c r="C937" s="13"/>
      <c r="D937" s="13"/>
      <c r="E937" s="13"/>
      <c r="F937" s="13"/>
      <c r="G937" s="13"/>
      <c r="H937" s="13"/>
      <c r="I937" s="13"/>
      <c r="J937" s="14"/>
      <c r="K937" s="14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" customHeight="1">
      <c r="A938" s="14"/>
      <c r="B938" s="13"/>
      <c r="C938" s="13"/>
      <c r="D938" s="13"/>
      <c r="E938" s="13"/>
      <c r="F938" s="13"/>
      <c r="G938" s="13"/>
      <c r="H938" s="13"/>
      <c r="I938" s="13"/>
      <c r="J938" s="14"/>
      <c r="K938" s="14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" customHeight="1">
      <c r="A939" s="14"/>
      <c r="B939" s="13"/>
      <c r="C939" s="13"/>
      <c r="D939" s="13"/>
      <c r="E939" s="13"/>
      <c r="F939" s="13"/>
      <c r="G939" s="13"/>
      <c r="H939" s="13"/>
      <c r="I939" s="13"/>
      <c r="J939" s="14"/>
      <c r="K939" s="14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" customHeight="1">
      <c r="A940" s="14"/>
      <c r="B940" s="13"/>
      <c r="C940" s="13"/>
      <c r="D940" s="13"/>
      <c r="E940" s="13"/>
      <c r="F940" s="13"/>
      <c r="G940" s="13"/>
      <c r="H940" s="13"/>
      <c r="I940" s="13"/>
      <c r="J940" s="14"/>
      <c r="K940" s="14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" customHeight="1">
      <c r="A941" s="14"/>
      <c r="B941" s="13"/>
      <c r="C941" s="13"/>
      <c r="D941" s="13"/>
      <c r="E941" s="13"/>
      <c r="F941" s="13"/>
      <c r="G941" s="13"/>
      <c r="H941" s="13"/>
      <c r="I941" s="13"/>
      <c r="J941" s="14"/>
      <c r="K941" s="14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" customHeight="1">
      <c r="A942" s="14"/>
      <c r="B942" s="13"/>
      <c r="C942" s="13"/>
      <c r="D942" s="13"/>
      <c r="E942" s="13"/>
      <c r="F942" s="13"/>
      <c r="G942" s="13"/>
      <c r="H942" s="13"/>
      <c r="I942" s="13"/>
      <c r="J942" s="14"/>
      <c r="K942" s="14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" customHeight="1">
      <c r="A943" s="14"/>
      <c r="B943" s="13"/>
      <c r="C943" s="13"/>
      <c r="D943" s="13"/>
      <c r="E943" s="13"/>
      <c r="F943" s="13"/>
      <c r="G943" s="13"/>
      <c r="H943" s="13"/>
      <c r="I943" s="13"/>
      <c r="J943" s="14"/>
      <c r="K943" s="14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" customHeight="1">
      <c r="A944" s="14"/>
      <c r="B944" s="13"/>
      <c r="C944" s="13"/>
      <c r="D944" s="13"/>
      <c r="E944" s="13"/>
      <c r="F944" s="13"/>
      <c r="G944" s="13"/>
      <c r="H944" s="13"/>
      <c r="I944" s="13"/>
      <c r="J944" s="14"/>
      <c r="K944" s="14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" customHeight="1">
      <c r="A945" s="14"/>
      <c r="B945" s="13"/>
      <c r="C945" s="13"/>
      <c r="D945" s="13"/>
      <c r="E945" s="13"/>
      <c r="F945" s="13"/>
      <c r="G945" s="13"/>
      <c r="H945" s="13"/>
      <c r="I945" s="13"/>
      <c r="J945" s="14"/>
      <c r="K945" s="14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" customHeight="1">
      <c r="A946" s="14"/>
      <c r="B946" s="13"/>
      <c r="C946" s="13"/>
      <c r="D946" s="13"/>
      <c r="E946" s="13"/>
      <c r="F946" s="13"/>
      <c r="G946" s="13"/>
      <c r="H946" s="13"/>
      <c r="I946" s="13"/>
      <c r="J946" s="14"/>
      <c r="K946" s="14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" customHeight="1">
      <c r="A947" s="14"/>
      <c r="B947" s="13"/>
      <c r="C947" s="13"/>
      <c r="D947" s="13"/>
      <c r="E947" s="13"/>
      <c r="F947" s="13"/>
      <c r="G947" s="13"/>
      <c r="H947" s="13"/>
      <c r="I947" s="13"/>
      <c r="J947" s="14"/>
      <c r="K947" s="14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" customHeight="1">
      <c r="A948" s="14"/>
      <c r="B948" s="13"/>
      <c r="C948" s="13"/>
      <c r="D948" s="13"/>
      <c r="E948" s="13"/>
      <c r="F948" s="13"/>
      <c r="G948" s="13"/>
      <c r="H948" s="13"/>
      <c r="I948" s="13"/>
      <c r="J948" s="14"/>
      <c r="K948" s="14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" customHeight="1">
      <c r="A949" s="14"/>
      <c r="B949" s="13"/>
      <c r="C949" s="13"/>
      <c r="D949" s="13"/>
      <c r="E949" s="13"/>
      <c r="F949" s="13"/>
      <c r="G949" s="13"/>
      <c r="H949" s="13"/>
      <c r="I949" s="13"/>
      <c r="J949" s="14"/>
      <c r="K949" s="14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" customHeight="1">
      <c r="A950" s="14"/>
      <c r="B950" s="13"/>
      <c r="C950" s="13"/>
      <c r="D950" s="13"/>
      <c r="E950" s="13"/>
      <c r="F950" s="13"/>
      <c r="G950" s="13"/>
      <c r="H950" s="13"/>
      <c r="I950" s="13"/>
      <c r="J950" s="14"/>
      <c r="K950" s="14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" customHeight="1">
      <c r="A951" s="14"/>
      <c r="B951" s="13"/>
      <c r="C951" s="13"/>
      <c r="D951" s="13"/>
      <c r="E951" s="13"/>
      <c r="F951" s="13"/>
      <c r="G951" s="13"/>
      <c r="H951" s="13"/>
      <c r="I951" s="13"/>
      <c r="J951" s="14"/>
      <c r="K951" s="14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" customHeight="1">
      <c r="A952" s="14"/>
      <c r="B952" s="13"/>
      <c r="C952" s="13"/>
      <c r="D952" s="13"/>
      <c r="E952" s="13"/>
      <c r="F952" s="13"/>
      <c r="G952" s="13"/>
      <c r="H952" s="13"/>
      <c r="I952" s="13"/>
      <c r="J952" s="14"/>
      <c r="K952" s="14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" customHeight="1">
      <c r="A953" s="14"/>
      <c r="B953" s="13"/>
      <c r="C953" s="13"/>
      <c r="D953" s="13"/>
      <c r="E953" s="13"/>
      <c r="F953" s="13"/>
      <c r="G953" s="13"/>
      <c r="H953" s="13"/>
      <c r="I953" s="13"/>
      <c r="J953" s="14"/>
      <c r="K953" s="14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" customHeight="1">
      <c r="A954" s="14"/>
      <c r="B954" s="13"/>
      <c r="C954" s="13"/>
      <c r="D954" s="13"/>
      <c r="E954" s="13"/>
      <c r="F954" s="13"/>
      <c r="G954" s="13"/>
      <c r="H954" s="13"/>
      <c r="I954" s="13"/>
      <c r="J954" s="14"/>
      <c r="K954" s="14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" customHeight="1">
      <c r="A955" s="14"/>
      <c r="B955" s="13"/>
      <c r="C955" s="13"/>
      <c r="D955" s="13"/>
      <c r="E955" s="13"/>
      <c r="F955" s="13"/>
      <c r="G955" s="13"/>
      <c r="H955" s="13"/>
      <c r="I955" s="13"/>
      <c r="J955" s="14"/>
      <c r="K955" s="14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" customHeight="1">
      <c r="A956" s="14"/>
      <c r="B956" s="13"/>
      <c r="C956" s="13"/>
      <c r="D956" s="13"/>
      <c r="E956" s="13"/>
      <c r="F956" s="13"/>
      <c r="G956" s="13"/>
      <c r="H956" s="13"/>
      <c r="I956" s="13"/>
      <c r="J956" s="14"/>
      <c r="K956" s="14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" customHeight="1">
      <c r="A957" s="14"/>
      <c r="B957" s="13"/>
      <c r="C957" s="13"/>
      <c r="D957" s="13"/>
      <c r="E957" s="13"/>
      <c r="F957" s="13"/>
      <c r="G957" s="13"/>
      <c r="H957" s="13"/>
      <c r="I957" s="13"/>
      <c r="J957" s="14"/>
      <c r="K957" s="14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" customHeight="1">
      <c r="A958" s="14"/>
      <c r="B958" s="13"/>
      <c r="C958" s="13"/>
      <c r="D958" s="13"/>
      <c r="E958" s="13"/>
      <c r="F958" s="13"/>
      <c r="G958" s="13"/>
      <c r="H958" s="13"/>
      <c r="I958" s="13"/>
      <c r="J958" s="14"/>
      <c r="K958" s="14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" customHeight="1">
      <c r="A959" s="14"/>
      <c r="B959" s="13"/>
      <c r="C959" s="13"/>
      <c r="D959" s="13"/>
      <c r="E959" s="13"/>
      <c r="F959" s="13"/>
      <c r="G959" s="13"/>
      <c r="H959" s="13"/>
      <c r="I959" s="13"/>
      <c r="J959" s="14"/>
      <c r="K959" s="14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" customHeight="1">
      <c r="A960" s="14"/>
      <c r="B960" s="13"/>
      <c r="C960" s="13"/>
      <c r="D960" s="13"/>
      <c r="E960" s="13"/>
      <c r="F960" s="13"/>
      <c r="G960" s="13"/>
      <c r="H960" s="13"/>
      <c r="I960" s="13"/>
      <c r="J960" s="14"/>
      <c r="K960" s="14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" customHeight="1">
      <c r="A961" s="14"/>
      <c r="B961" s="13"/>
      <c r="C961" s="13"/>
      <c r="D961" s="13"/>
      <c r="E961" s="13"/>
      <c r="F961" s="13"/>
      <c r="G961" s="13"/>
      <c r="H961" s="13"/>
      <c r="I961" s="13"/>
      <c r="J961" s="14"/>
      <c r="K961" s="14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" customHeight="1">
      <c r="A962" s="14"/>
      <c r="B962" s="13"/>
      <c r="C962" s="13"/>
      <c r="D962" s="13"/>
      <c r="E962" s="13"/>
      <c r="F962" s="13"/>
      <c r="G962" s="13"/>
      <c r="H962" s="13"/>
      <c r="I962" s="13"/>
      <c r="J962" s="14"/>
      <c r="K962" s="14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" customHeight="1">
      <c r="A963" s="14"/>
      <c r="B963" s="13"/>
      <c r="C963" s="13"/>
      <c r="D963" s="13"/>
      <c r="E963" s="13"/>
      <c r="F963" s="13"/>
      <c r="G963" s="13"/>
      <c r="H963" s="13"/>
      <c r="I963" s="13"/>
      <c r="J963" s="14"/>
      <c r="K963" s="14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" customHeight="1">
      <c r="A964" s="14"/>
      <c r="B964" s="13"/>
      <c r="C964" s="13"/>
      <c r="D964" s="13"/>
      <c r="E964" s="13"/>
      <c r="F964" s="13"/>
      <c r="G964" s="13"/>
      <c r="H964" s="13"/>
      <c r="I964" s="13"/>
      <c r="J964" s="14"/>
      <c r="K964" s="14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" customHeight="1">
      <c r="A965" s="14"/>
      <c r="B965" s="13"/>
      <c r="C965" s="13"/>
      <c r="D965" s="13"/>
      <c r="E965" s="13"/>
      <c r="F965" s="13"/>
      <c r="G965" s="13"/>
      <c r="H965" s="13"/>
      <c r="I965" s="13"/>
      <c r="J965" s="14"/>
      <c r="K965" s="14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" customHeight="1">
      <c r="A966" s="14"/>
      <c r="B966" s="13"/>
      <c r="C966" s="13"/>
      <c r="D966" s="13"/>
      <c r="E966" s="13"/>
      <c r="F966" s="13"/>
      <c r="G966" s="13"/>
      <c r="H966" s="13"/>
      <c r="I966" s="13"/>
      <c r="J966" s="14"/>
      <c r="K966" s="14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" customHeight="1">
      <c r="A967" s="14"/>
      <c r="B967" s="13"/>
      <c r="C967" s="13"/>
      <c r="D967" s="13"/>
      <c r="E967" s="13"/>
      <c r="F967" s="13"/>
      <c r="G967" s="13"/>
      <c r="H967" s="13"/>
      <c r="I967" s="13"/>
      <c r="J967" s="14"/>
      <c r="K967" s="14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" customHeight="1">
      <c r="A968" s="14"/>
      <c r="B968" s="13"/>
      <c r="C968" s="13"/>
      <c r="D968" s="13"/>
      <c r="E968" s="13"/>
      <c r="F968" s="13"/>
      <c r="G968" s="13"/>
      <c r="H968" s="13"/>
      <c r="I968" s="13"/>
      <c r="J968" s="14"/>
      <c r="K968" s="14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" customHeight="1">
      <c r="A969" s="14"/>
      <c r="B969" s="13"/>
      <c r="C969" s="13"/>
      <c r="D969" s="13"/>
      <c r="E969" s="13"/>
      <c r="F969" s="13"/>
      <c r="G969" s="13"/>
      <c r="H969" s="13"/>
      <c r="I969" s="13"/>
      <c r="J969" s="14"/>
      <c r="K969" s="14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8" customHeight="1">
      <c r="A970" s="14"/>
      <c r="B970" s="13"/>
      <c r="C970" s="13"/>
      <c r="D970" s="13"/>
      <c r="E970" s="13"/>
      <c r="F970" s="13"/>
      <c r="G970" s="13"/>
      <c r="H970" s="13"/>
      <c r="I970" s="13"/>
      <c r="J970" s="14"/>
      <c r="K970" s="14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8" customHeight="1">
      <c r="A971" s="14"/>
      <c r="B971" s="13"/>
      <c r="C971" s="13"/>
      <c r="D971" s="13"/>
      <c r="E971" s="13"/>
      <c r="F971" s="13"/>
      <c r="G971" s="13"/>
      <c r="H971" s="13"/>
      <c r="I971" s="13"/>
      <c r="J971" s="14"/>
      <c r="K971" s="14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8" customHeight="1">
      <c r="A972" s="14"/>
      <c r="B972" s="13"/>
      <c r="C972" s="13"/>
      <c r="D972" s="13"/>
      <c r="E972" s="13"/>
      <c r="F972" s="13"/>
      <c r="G972" s="13"/>
      <c r="H972" s="13"/>
      <c r="I972" s="13"/>
      <c r="J972" s="14"/>
      <c r="K972" s="14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8" customHeight="1">
      <c r="A973" s="14"/>
      <c r="B973" s="13"/>
      <c r="C973" s="13"/>
      <c r="D973" s="13"/>
      <c r="E973" s="13"/>
      <c r="F973" s="13"/>
      <c r="G973" s="13"/>
      <c r="H973" s="13"/>
      <c r="I973" s="13"/>
      <c r="J973" s="14"/>
      <c r="K973" s="14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8" customHeight="1">
      <c r="A974" s="14"/>
      <c r="B974" s="13"/>
      <c r="C974" s="13"/>
      <c r="D974" s="13"/>
      <c r="E974" s="13"/>
      <c r="F974" s="13"/>
      <c r="G974" s="13"/>
      <c r="H974" s="13"/>
      <c r="I974" s="13"/>
      <c r="J974" s="14"/>
      <c r="K974" s="14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8" customHeight="1">
      <c r="A975" s="14"/>
      <c r="B975" s="13"/>
      <c r="C975" s="13"/>
      <c r="D975" s="13"/>
      <c r="E975" s="13"/>
      <c r="F975" s="13"/>
      <c r="G975" s="13"/>
      <c r="H975" s="13"/>
      <c r="I975" s="13"/>
      <c r="J975" s="14"/>
      <c r="K975" s="14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8" customHeight="1">
      <c r="A976" s="14"/>
      <c r="B976" s="13"/>
      <c r="C976" s="13"/>
      <c r="D976" s="13"/>
      <c r="E976" s="13"/>
      <c r="F976" s="13"/>
      <c r="G976" s="13"/>
      <c r="H976" s="13"/>
      <c r="I976" s="13"/>
      <c r="J976" s="14"/>
      <c r="K976" s="14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8" customHeight="1">
      <c r="A977" s="14"/>
      <c r="B977" s="13"/>
      <c r="C977" s="13"/>
      <c r="D977" s="13"/>
      <c r="E977" s="13"/>
      <c r="F977" s="13"/>
      <c r="G977" s="13"/>
      <c r="H977" s="13"/>
      <c r="I977" s="13"/>
      <c r="J977" s="14"/>
      <c r="K977" s="14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8" customHeight="1">
      <c r="A978" s="14"/>
      <c r="B978" s="13"/>
      <c r="C978" s="13"/>
      <c r="D978" s="13"/>
      <c r="E978" s="13"/>
      <c r="F978" s="13"/>
      <c r="G978" s="13"/>
      <c r="H978" s="13"/>
      <c r="I978" s="13"/>
      <c r="J978" s="14"/>
      <c r="K978" s="14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8" customHeight="1">
      <c r="A979" s="14"/>
      <c r="B979" s="13"/>
      <c r="C979" s="13"/>
      <c r="D979" s="13"/>
      <c r="E979" s="13"/>
      <c r="F979" s="13"/>
      <c r="G979" s="13"/>
      <c r="H979" s="13"/>
      <c r="I979" s="13"/>
      <c r="J979" s="14"/>
      <c r="K979" s="14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8" customHeight="1">
      <c r="A980" s="14"/>
      <c r="B980" s="13"/>
      <c r="C980" s="13"/>
      <c r="D980" s="13"/>
      <c r="E980" s="13"/>
      <c r="F980" s="13"/>
      <c r="G980" s="13"/>
      <c r="H980" s="13"/>
      <c r="I980" s="13"/>
      <c r="J980" s="14"/>
      <c r="K980" s="14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8" customHeight="1">
      <c r="A981" s="14"/>
      <c r="B981" s="13"/>
      <c r="C981" s="13"/>
      <c r="D981" s="13"/>
      <c r="E981" s="13"/>
      <c r="F981" s="13"/>
      <c r="G981" s="13"/>
      <c r="H981" s="13"/>
      <c r="I981" s="13"/>
      <c r="J981" s="14"/>
      <c r="K981" s="14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8" customHeight="1">
      <c r="A982" s="14"/>
      <c r="B982" s="13"/>
      <c r="C982" s="13"/>
      <c r="D982" s="13"/>
      <c r="E982" s="13"/>
      <c r="F982" s="13"/>
      <c r="G982" s="13"/>
      <c r="H982" s="13"/>
      <c r="I982" s="13"/>
      <c r="J982" s="14"/>
      <c r="K982" s="14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8" customHeight="1">
      <c r="A983" s="14"/>
      <c r="B983" s="13"/>
      <c r="C983" s="13"/>
      <c r="D983" s="13"/>
      <c r="E983" s="13"/>
      <c r="F983" s="13"/>
      <c r="G983" s="13"/>
      <c r="H983" s="13"/>
      <c r="I983" s="13"/>
      <c r="J983" s="14"/>
      <c r="K983" s="14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8" customHeight="1">
      <c r="A984" s="14"/>
      <c r="B984" s="13"/>
      <c r="C984" s="13"/>
      <c r="D984" s="13"/>
      <c r="E984" s="13"/>
      <c r="F984" s="13"/>
      <c r="G984" s="13"/>
      <c r="H984" s="13"/>
      <c r="I984" s="13"/>
      <c r="J984" s="14"/>
      <c r="K984" s="14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8" customHeight="1">
      <c r="A985" s="14"/>
      <c r="B985" s="13"/>
      <c r="C985" s="13"/>
      <c r="D985" s="13"/>
      <c r="E985" s="13"/>
      <c r="F985" s="13"/>
      <c r="G985" s="13"/>
      <c r="H985" s="13"/>
      <c r="I985" s="13"/>
      <c r="J985" s="14"/>
      <c r="K985" s="14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8" customHeight="1">
      <c r="A986" s="14"/>
      <c r="B986" s="13"/>
      <c r="C986" s="13"/>
      <c r="D986" s="13"/>
      <c r="E986" s="13"/>
      <c r="F986" s="13"/>
      <c r="G986" s="13"/>
      <c r="H986" s="13"/>
      <c r="I986" s="13"/>
      <c r="J986" s="14"/>
      <c r="K986" s="14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8" customHeight="1">
      <c r="A987" s="14"/>
      <c r="B987" s="13"/>
      <c r="C987" s="13"/>
      <c r="D987" s="13"/>
      <c r="E987" s="13"/>
      <c r="F987" s="13"/>
      <c r="G987" s="13"/>
      <c r="H987" s="13"/>
      <c r="I987" s="13"/>
      <c r="J987" s="14"/>
      <c r="K987" s="14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8" customHeight="1">
      <c r="A988" s="14"/>
      <c r="B988" s="13"/>
      <c r="C988" s="13"/>
      <c r="D988" s="13"/>
      <c r="E988" s="13"/>
      <c r="F988" s="13"/>
      <c r="G988" s="13"/>
      <c r="H988" s="13"/>
      <c r="I988" s="13"/>
      <c r="J988" s="14"/>
      <c r="K988" s="14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8" customHeight="1">
      <c r="A989" s="14"/>
      <c r="B989" s="13"/>
      <c r="C989" s="13"/>
      <c r="D989" s="13"/>
      <c r="E989" s="13"/>
      <c r="F989" s="13"/>
      <c r="G989" s="13"/>
      <c r="H989" s="13"/>
      <c r="I989" s="13"/>
      <c r="J989" s="14"/>
      <c r="K989" s="14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8" customHeight="1">
      <c r="A990" s="14"/>
      <c r="B990" s="13"/>
      <c r="C990" s="13"/>
      <c r="D990" s="13"/>
      <c r="E990" s="13"/>
      <c r="F990" s="13"/>
      <c r="G990" s="13"/>
      <c r="H990" s="13"/>
      <c r="I990" s="13"/>
      <c r="J990" s="14"/>
      <c r="K990" s="14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8" customHeight="1">
      <c r="A991" s="14"/>
      <c r="B991" s="13"/>
      <c r="C991" s="13"/>
      <c r="D991" s="13"/>
      <c r="E991" s="13"/>
      <c r="F991" s="13"/>
      <c r="G991" s="13"/>
      <c r="H991" s="13"/>
      <c r="I991" s="13"/>
      <c r="J991" s="14"/>
      <c r="K991" s="14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8" customHeight="1">
      <c r="A992" s="14"/>
      <c r="B992" s="13"/>
      <c r="C992" s="13"/>
      <c r="D992" s="13"/>
      <c r="E992" s="13"/>
      <c r="F992" s="13"/>
      <c r="G992" s="13"/>
      <c r="H992" s="13"/>
      <c r="I992" s="13"/>
      <c r="J992" s="14"/>
      <c r="K992" s="14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8" customHeight="1">
      <c r="A993" s="14"/>
      <c r="B993" s="13"/>
      <c r="C993" s="13"/>
      <c r="D993" s="13"/>
      <c r="E993" s="13"/>
      <c r="F993" s="13"/>
      <c r="G993" s="13"/>
      <c r="H993" s="13"/>
      <c r="I993" s="13"/>
      <c r="J993" s="14"/>
      <c r="K993" s="14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8" customHeight="1">
      <c r="A994" s="14"/>
      <c r="B994" s="13"/>
      <c r="C994" s="13"/>
      <c r="D994" s="13"/>
      <c r="E994" s="13"/>
      <c r="F994" s="13"/>
      <c r="G994" s="13"/>
      <c r="H994" s="13"/>
      <c r="I994" s="13"/>
      <c r="J994" s="14"/>
      <c r="K994" s="14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8" customHeight="1">
      <c r="A995" s="14"/>
      <c r="B995" s="13"/>
      <c r="C995" s="13"/>
      <c r="D995" s="13"/>
      <c r="E995" s="13"/>
      <c r="F995" s="13"/>
      <c r="G995" s="13"/>
      <c r="H995" s="13"/>
      <c r="I995" s="13"/>
      <c r="J995" s="14"/>
      <c r="K995" s="14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8" customHeight="1">
      <c r="A996" s="14"/>
      <c r="B996" s="13"/>
      <c r="C996" s="13"/>
      <c r="D996" s="13"/>
      <c r="E996" s="13"/>
      <c r="F996" s="13"/>
      <c r="G996" s="13"/>
      <c r="H996" s="13"/>
      <c r="I996" s="13"/>
      <c r="J996" s="14"/>
      <c r="K996" s="14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8" customHeight="1">
      <c r="A997" s="14"/>
      <c r="B997" s="13"/>
      <c r="C997" s="13"/>
      <c r="D997" s="13"/>
      <c r="E997" s="13"/>
      <c r="F997" s="13"/>
      <c r="G997" s="13"/>
      <c r="H997" s="13"/>
      <c r="I997" s="13"/>
      <c r="J997" s="14"/>
      <c r="K997" s="14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8" customHeight="1">
      <c r="A998" s="14"/>
      <c r="B998" s="13"/>
      <c r="C998" s="13"/>
      <c r="D998" s="13"/>
      <c r="E998" s="13"/>
      <c r="F998" s="13"/>
      <c r="G998" s="13"/>
      <c r="H998" s="13"/>
      <c r="I998" s="13"/>
      <c r="J998" s="14"/>
      <c r="K998" s="14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8" customHeight="1">
      <c r="A999" s="14"/>
      <c r="B999" s="13"/>
      <c r="C999" s="13"/>
      <c r="D999" s="13"/>
      <c r="E999" s="13"/>
      <c r="F999" s="13"/>
      <c r="G999" s="13"/>
      <c r="H999" s="13"/>
      <c r="I999" s="13"/>
      <c r="J999" s="14"/>
      <c r="K999" s="14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8" customHeight="1">
      <c r="A1000" s="14"/>
      <c r="B1000" s="13"/>
      <c r="C1000" s="13"/>
      <c r="D1000" s="13"/>
      <c r="E1000" s="13"/>
      <c r="F1000" s="13"/>
      <c r="G1000" s="13"/>
      <c r="H1000" s="13"/>
      <c r="I1000" s="13"/>
      <c r="J1000" s="14"/>
      <c r="K1000" s="14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14">
    <mergeCell ref="F1:F2"/>
    <mergeCell ref="G1:G2"/>
    <mergeCell ref="H1:H2"/>
    <mergeCell ref="I1:I2"/>
    <mergeCell ref="A1:A2"/>
    <mergeCell ref="B1:B2"/>
    <mergeCell ref="C1:C2"/>
    <mergeCell ref="D1:D2"/>
    <mergeCell ref="E1:E2"/>
    <mergeCell ref="J1:K1"/>
    <mergeCell ref="L1:L2"/>
    <mergeCell ref="H91:I91"/>
    <mergeCell ref="H92:I92"/>
    <mergeCell ref="H93:I9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/>
    <sheetView workbookViewId="1">
      <selection sqref="A1:A2"/>
    </sheetView>
  </sheetViews>
  <sheetFormatPr defaultColWidth="14.42578125" defaultRowHeight="15" customHeight="1"/>
  <cols>
    <col min="1" max="1" width="5.7109375" customWidth="1"/>
    <col min="2" max="2" width="22.7109375" customWidth="1"/>
    <col min="3" max="3" width="9.7109375" customWidth="1"/>
    <col min="4" max="4" width="18.42578125" customWidth="1"/>
    <col min="5" max="5" width="17.5703125" customWidth="1"/>
    <col min="6" max="6" width="10.7109375" customWidth="1"/>
    <col min="7" max="7" width="34.7109375" customWidth="1"/>
    <col min="8" max="8" width="39.140625" customWidth="1"/>
    <col min="9" max="9" width="8.7109375" customWidth="1"/>
    <col min="10" max="11" width="11.7109375" customWidth="1"/>
    <col min="12" max="12" width="17.42578125" customWidth="1"/>
    <col min="13" max="26" width="8.7109375" customWidth="1"/>
  </cols>
  <sheetData>
    <row r="1" spans="1:12" ht="14.25" customHeight="1">
      <c r="A1" s="102" t="s">
        <v>0</v>
      </c>
      <c r="B1" s="98" t="s">
        <v>1715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7" t="s">
        <v>9</v>
      </c>
      <c r="K1" s="110"/>
      <c r="L1" s="98" t="s">
        <v>10</v>
      </c>
    </row>
    <row r="2" spans="1:12" ht="18" customHeight="1">
      <c r="A2" s="111"/>
      <c r="B2" s="111"/>
      <c r="C2" s="111"/>
      <c r="D2" s="111"/>
      <c r="E2" s="111"/>
      <c r="F2" s="111"/>
      <c r="G2" s="111"/>
      <c r="H2" s="111"/>
      <c r="I2" s="111"/>
      <c r="J2" s="15" t="s">
        <v>18</v>
      </c>
      <c r="K2" s="15" t="s">
        <v>19</v>
      </c>
      <c r="L2" s="111"/>
    </row>
    <row r="3" spans="1:12" ht="18" customHeight="1">
      <c r="A3" s="16">
        <v>1</v>
      </c>
      <c r="B3" s="17">
        <v>6612236114</v>
      </c>
      <c r="C3" s="17" t="s">
        <v>29</v>
      </c>
      <c r="D3" s="17" t="s">
        <v>243</v>
      </c>
      <c r="E3" s="17" t="s">
        <v>286</v>
      </c>
      <c r="F3" s="17" t="s">
        <v>239</v>
      </c>
      <c r="G3" s="17" t="s">
        <v>287</v>
      </c>
      <c r="H3" s="17" t="s">
        <v>288</v>
      </c>
      <c r="I3" s="17" t="s">
        <v>3709</v>
      </c>
      <c r="J3" s="16"/>
      <c r="K3" s="16" t="str">
        <f t="shared" ref="K3:K257" si="0">IF(J3&gt;=2,"ผ่าน",IF(J3&lt;2,"ไม่ผ่าน"))</f>
        <v>ไม่ผ่าน</v>
      </c>
      <c r="L3" s="16" t="s">
        <v>28</v>
      </c>
    </row>
    <row r="4" spans="1:12" ht="18" customHeight="1">
      <c r="A4" s="16">
        <v>2</v>
      </c>
      <c r="B4" s="17">
        <v>6612236121</v>
      </c>
      <c r="C4" s="17" t="s">
        <v>29</v>
      </c>
      <c r="D4" s="17" t="s">
        <v>289</v>
      </c>
      <c r="E4" s="17" t="s">
        <v>290</v>
      </c>
      <c r="F4" s="17" t="s">
        <v>291</v>
      </c>
      <c r="G4" s="17" t="s">
        <v>287</v>
      </c>
      <c r="H4" s="17" t="s">
        <v>288</v>
      </c>
      <c r="I4" s="17" t="s">
        <v>3709</v>
      </c>
      <c r="J4" s="16"/>
      <c r="K4" s="16" t="str">
        <f t="shared" si="0"/>
        <v>ไม่ผ่าน</v>
      </c>
      <c r="L4" s="16" t="s">
        <v>28</v>
      </c>
    </row>
    <row r="5" spans="1:12" ht="18" customHeight="1">
      <c r="A5" s="16">
        <v>3</v>
      </c>
      <c r="B5" s="17">
        <v>6612236126</v>
      </c>
      <c r="C5" s="17" t="s">
        <v>29</v>
      </c>
      <c r="D5" s="17" t="s">
        <v>292</v>
      </c>
      <c r="E5" s="17" t="s">
        <v>293</v>
      </c>
      <c r="F5" s="17" t="s">
        <v>294</v>
      </c>
      <c r="G5" s="17" t="s">
        <v>287</v>
      </c>
      <c r="H5" s="17" t="s">
        <v>288</v>
      </c>
      <c r="I5" s="17" t="s">
        <v>3709</v>
      </c>
      <c r="J5" s="16"/>
      <c r="K5" s="16" t="str">
        <f t="shared" si="0"/>
        <v>ไม่ผ่าน</v>
      </c>
      <c r="L5" s="16" t="s">
        <v>28</v>
      </c>
    </row>
    <row r="6" spans="1:12" ht="18" customHeight="1">
      <c r="A6" s="16">
        <v>4</v>
      </c>
      <c r="B6" s="17">
        <v>6612236129</v>
      </c>
      <c r="C6" s="17" t="s">
        <v>29</v>
      </c>
      <c r="D6" s="17" t="s">
        <v>295</v>
      </c>
      <c r="E6" s="17" t="s">
        <v>296</v>
      </c>
      <c r="F6" s="17" t="s">
        <v>297</v>
      </c>
      <c r="G6" s="17" t="s">
        <v>287</v>
      </c>
      <c r="H6" s="17" t="s">
        <v>288</v>
      </c>
      <c r="I6" s="17" t="s">
        <v>3709</v>
      </c>
      <c r="J6" s="16"/>
      <c r="K6" s="16" t="str">
        <f t="shared" si="0"/>
        <v>ไม่ผ่าน</v>
      </c>
      <c r="L6" s="16" t="s">
        <v>28</v>
      </c>
    </row>
    <row r="7" spans="1:12" ht="18" customHeight="1">
      <c r="A7" s="16">
        <v>5</v>
      </c>
      <c r="B7" s="17">
        <v>6612236212</v>
      </c>
      <c r="C7" s="17" t="s">
        <v>29</v>
      </c>
      <c r="D7" s="17" t="s">
        <v>298</v>
      </c>
      <c r="E7" s="17" t="s">
        <v>299</v>
      </c>
      <c r="F7" s="17" t="s">
        <v>300</v>
      </c>
      <c r="G7" s="17" t="s">
        <v>287</v>
      </c>
      <c r="H7" s="17" t="s">
        <v>288</v>
      </c>
      <c r="I7" s="17" t="s">
        <v>3709</v>
      </c>
      <c r="J7" s="16"/>
      <c r="K7" s="16" t="str">
        <f t="shared" si="0"/>
        <v>ไม่ผ่าน</v>
      </c>
      <c r="L7" s="16" t="s">
        <v>28</v>
      </c>
    </row>
    <row r="8" spans="1:12" ht="18" customHeight="1">
      <c r="A8" s="16">
        <v>6</v>
      </c>
      <c r="B8" s="17">
        <v>6612236224</v>
      </c>
      <c r="C8" s="17" t="s">
        <v>29</v>
      </c>
      <c r="D8" s="17" t="s">
        <v>301</v>
      </c>
      <c r="E8" s="17" t="s">
        <v>302</v>
      </c>
      <c r="F8" s="17" t="s">
        <v>236</v>
      </c>
      <c r="G8" s="17" t="s">
        <v>287</v>
      </c>
      <c r="H8" s="17" t="s">
        <v>288</v>
      </c>
      <c r="I8" s="17" t="s">
        <v>3709</v>
      </c>
      <c r="J8" s="16"/>
      <c r="K8" s="16" t="str">
        <f t="shared" si="0"/>
        <v>ไม่ผ่าน</v>
      </c>
      <c r="L8" s="16" t="s">
        <v>28</v>
      </c>
    </row>
    <row r="9" spans="1:12" ht="18" customHeight="1">
      <c r="A9" s="16">
        <v>7</v>
      </c>
      <c r="B9" s="17">
        <v>6412236113</v>
      </c>
      <c r="C9" s="17" t="s">
        <v>29</v>
      </c>
      <c r="D9" s="17" t="s">
        <v>303</v>
      </c>
      <c r="E9" s="17" t="s">
        <v>304</v>
      </c>
      <c r="F9" s="17" t="s">
        <v>305</v>
      </c>
      <c r="G9" s="17" t="s">
        <v>287</v>
      </c>
      <c r="H9" s="17" t="s">
        <v>288</v>
      </c>
      <c r="I9" s="17" t="s">
        <v>3707</v>
      </c>
      <c r="J9" s="16"/>
      <c r="K9" s="16" t="str">
        <f t="shared" si="0"/>
        <v>ไม่ผ่าน</v>
      </c>
      <c r="L9" s="16" t="s">
        <v>28</v>
      </c>
    </row>
    <row r="10" spans="1:12" ht="18" customHeight="1">
      <c r="A10" s="16">
        <v>8</v>
      </c>
      <c r="B10" s="17">
        <v>6412236126</v>
      </c>
      <c r="C10" s="17" t="s">
        <v>29</v>
      </c>
      <c r="D10" s="17" t="s">
        <v>306</v>
      </c>
      <c r="E10" s="17" t="s">
        <v>307</v>
      </c>
      <c r="F10" s="17" t="s">
        <v>308</v>
      </c>
      <c r="G10" s="17" t="s">
        <v>287</v>
      </c>
      <c r="H10" s="17" t="s">
        <v>288</v>
      </c>
      <c r="I10" s="17" t="s">
        <v>3707</v>
      </c>
      <c r="J10" s="16"/>
      <c r="K10" s="16" t="str">
        <f t="shared" si="0"/>
        <v>ไม่ผ่าน</v>
      </c>
      <c r="L10" s="16" t="s">
        <v>28</v>
      </c>
    </row>
    <row r="11" spans="1:12" ht="18" customHeight="1">
      <c r="A11" s="16">
        <v>9</v>
      </c>
      <c r="B11" s="17">
        <v>6412236205</v>
      </c>
      <c r="C11" s="17" t="s">
        <v>29</v>
      </c>
      <c r="D11" s="17" t="s">
        <v>309</v>
      </c>
      <c r="E11" s="17" t="s">
        <v>310</v>
      </c>
      <c r="F11" s="17" t="s">
        <v>311</v>
      </c>
      <c r="G11" s="17" t="s">
        <v>287</v>
      </c>
      <c r="H11" s="17" t="s">
        <v>288</v>
      </c>
      <c r="I11" s="17" t="s">
        <v>3707</v>
      </c>
      <c r="J11" s="16"/>
      <c r="K11" s="16" t="str">
        <f t="shared" si="0"/>
        <v>ไม่ผ่าน</v>
      </c>
      <c r="L11" s="16" t="s">
        <v>28</v>
      </c>
    </row>
    <row r="12" spans="1:12" ht="18" customHeight="1">
      <c r="A12" s="16">
        <v>10</v>
      </c>
      <c r="B12" s="17">
        <v>6412236223</v>
      </c>
      <c r="C12" s="17" t="s">
        <v>29</v>
      </c>
      <c r="D12" s="17" t="s">
        <v>312</v>
      </c>
      <c r="E12" s="17" t="s">
        <v>313</v>
      </c>
      <c r="F12" s="17" t="s">
        <v>41</v>
      </c>
      <c r="G12" s="17" t="s">
        <v>287</v>
      </c>
      <c r="H12" s="17" t="s">
        <v>288</v>
      </c>
      <c r="I12" s="17" t="s">
        <v>3707</v>
      </c>
      <c r="J12" s="16"/>
      <c r="K12" s="16" t="str">
        <f t="shared" si="0"/>
        <v>ไม่ผ่าน</v>
      </c>
      <c r="L12" s="16" t="s">
        <v>28</v>
      </c>
    </row>
    <row r="13" spans="1:12" ht="18" customHeight="1">
      <c r="A13" s="16">
        <v>11</v>
      </c>
      <c r="B13" s="17">
        <v>6412236231</v>
      </c>
      <c r="C13" s="17" t="s">
        <v>29</v>
      </c>
      <c r="D13" s="17" t="s">
        <v>314</v>
      </c>
      <c r="E13" s="17" t="s">
        <v>315</v>
      </c>
      <c r="F13" s="17" t="s">
        <v>316</v>
      </c>
      <c r="G13" s="17" t="s">
        <v>287</v>
      </c>
      <c r="H13" s="17" t="s">
        <v>288</v>
      </c>
      <c r="I13" s="17" t="s">
        <v>3707</v>
      </c>
      <c r="J13" s="16"/>
      <c r="K13" s="16" t="str">
        <f t="shared" si="0"/>
        <v>ไม่ผ่าน</v>
      </c>
      <c r="L13" s="16" t="s">
        <v>28</v>
      </c>
    </row>
    <row r="14" spans="1:12" ht="18" customHeight="1">
      <c r="A14" s="16">
        <v>12</v>
      </c>
      <c r="B14" s="21" t="s">
        <v>317</v>
      </c>
      <c r="C14" s="17" t="s">
        <v>29</v>
      </c>
      <c r="D14" s="17" t="s">
        <v>318</v>
      </c>
      <c r="E14" s="17" t="s">
        <v>319</v>
      </c>
      <c r="F14" s="17" t="s">
        <v>300</v>
      </c>
      <c r="G14" s="17" t="s">
        <v>287</v>
      </c>
      <c r="H14" s="17" t="s">
        <v>288</v>
      </c>
      <c r="I14" s="17" t="s">
        <v>3707</v>
      </c>
      <c r="J14" s="16"/>
      <c r="K14" s="16" t="str">
        <f t="shared" si="0"/>
        <v>ไม่ผ่าน</v>
      </c>
      <c r="L14" s="16" t="s">
        <v>28</v>
      </c>
    </row>
    <row r="15" spans="1:12" ht="18" customHeight="1">
      <c r="A15" s="16">
        <v>13</v>
      </c>
      <c r="B15" s="17">
        <v>6312236131</v>
      </c>
      <c r="C15" s="17" t="s">
        <v>29</v>
      </c>
      <c r="D15" s="17" t="s">
        <v>320</v>
      </c>
      <c r="E15" s="17" t="s">
        <v>321</v>
      </c>
      <c r="F15" s="17" t="s">
        <v>322</v>
      </c>
      <c r="G15" s="17" t="s">
        <v>287</v>
      </c>
      <c r="H15" s="17" t="s">
        <v>288</v>
      </c>
      <c r="I15" s="17" t="s">
        <v>3708</v>
      </c>
      <c r="J15" s="16"/>
      <c r="K15" s="16" t="str">
        <f t="shared" si="0"/>
        <v>ไม่ผ่าน</v>
      </c>
      <c r="L15" s="16" t="s">
        <v>28</v>
      </c>
    </row>
    <row r="16" spans="1:12" ht="18" customHeight="1">
      <c r="A16" s="16">
        <v>14</v>
      </c>
      <c r="B16" s="17">
        <v>6612721109</v>
      </c>
      <c r="C16" s="17" t="s">
        <v>29</v>
      </c>
      <c r="D16" s="17" t="s">
        <v>323</v>
      </c>
      <c r="E16" s="17" t="s">
        <v>324</v>
      </c>
      <c r="F16" s="17" t="s">
        <v>325</v>
      </c>
      <c r="G16" s="17" t="s">
        <v>287</v>
      </c>
      <c r="H16" s="17" t="s">
        <v>326</v>
      </c>
      <c r="I16" s="17" t="s">
        <v>3709</v>
      </c>
      <c r="J16" s="16"/>
      <c r="K16" s="16" t="str">
        <f t="shared" si="0"/>
        <v>ไม่ผ่าน</v>
      </c>
      <c r="L16" s="16" t="s">
        <v>28</v>
      </c>
    </row>
    <row r="17" spans="1:12" ht="18" customHeight="1">
      <c r="A17" s="16">
        <v>15</v>
      </c>
      <c r="B17" s="17">
        <v>6612721113</v>
      </c>
      <c r="C17" s="17" t="s">
        <v>29</v>
      </c>
      <c r="D17" s="17" t="s">
        <v>327</v>
      </c>
      <c r="E17" s="17" t="s">
        <v>328</v>
      </c>
      <c r="F17" s="17" t="s">
        <v>329</v>
      </c>
      <c r="G17" s="17" t="s">
        <v>287</v>
      </c>
      <c r="H17" s="17" t="s">
        <v>326</v>
      </c>
      <c r="I17" s="17" t="s">
        <v>3709</v>
      </c>
      <c r="J17" s="16"/>
      <c r="K17" s="16" t="str">
        <f t="shared" si="0"/>
        <v>ไม่ผ่าน</v>
      </c>
      <c r="L17" s="16" t="s">
        <v>28</v>
      </c>
    </row>
    <row r="18" spans="1:12" ht="18" customHeight="1">
      <c r="A18" s="16">
        <v>16</v>
      </c>
      <c r="B18" s="17">
        <v>6612721127</v>
      </c>
      <c r="C18" s="17" t="s">
        <v>29</v>
      </c>
      <c r="D18" s="17" t="s">
        <v>330</v>
      </c>
      <c r="E18" s="17" t="s">
        <v>331</v>
      </c>
      <c r="F18" s="17" t="s">
        <v>332</v>
      </c>
      <c r="G18" s="17" t="s">
        <v>287</v>
      </c>
      <c r="H18" s="17" t="s">
        <v>326</v>
      </c>
      <c r="I18" s="17" t="s">
        <v>3709</v>
      </c>
      <c r="J18" s="16"/>
      <c r="K18" s="16" t="str">
        <f t="shared" si="0"/>
        <v>ไม่ผ่าน</v>
      </c>
      <c r="L18" s="16" t="s">
        <v>28</v>
      </c>
    </row>
    <row r="19" spans="1:12" ht="18" customHeight="1">
      <c r="A19" s="16">
        <v>17</v>
      </c>
      <c r="B19" s="17">
        <v>6612721207</v>
      </c>
      <c r="C19" s="17" t="s">
        <v>29</v>
      </c>
      <c r="D19" s="17" t="s">
        <v>333</v>
      </c>
      <c r="E19" s="17" t="s">
        <v>334</v>
      </c>
      <c r="F19" s="17" t="s">
        <v>222</v>
      </c>
      <c r="G19" s="17" t="s">
        <v>287</v>
      </c>
      <c r="H19" s="17" t="s">
        <v>326</v>
      </c>
      <c r="I19" s="17" t="s">
        <v>3709</v>
      </c>
      <c r="J19" s="16"/>
      <c r="K19" s="16" t="str">
        <f t="shared" si="0"/>
        <v>ไม่ผ่าน</v>
      </c>
      <c r="L19" s="16" t="s">
        <v>28</v>
      </c>
    </row>
    <row r="20" spans="1:12" ht="18" customHeight="1">
      <c r="A20" s="16">
        <v>18</v>
      </c>
      <c r="B20" s="17">
        <v>6510207102</v>
      </c>
      <c r="C20" s="17" t="s">
        <v>22</v>
      </c>
      <c r="D20" s="17" t="s">
        <v>335</v>
      </c>
      <c r="E20" s="17" t="s">
        <v>336</v>
      </c>
      <c r="F20" s="17" t="s">
        <v>337</v>
      </c>
      <c r="G20" s="17" t="s">
        <v>287</v>
      </c>
      <c r="H20" s="17" t="s">
        <v>338</v>
      </c>
      <c r="I20" s="17" t="s">
        <v>3710</v>
      </c>
      <c r="J20" s="16"/>
      <c r="K20" s="16" t="str">
        <f t="shared" si="0"/>
        <v>ไม่ผ่าน</v>
      </c>
      <c r="L20" s="16" t="s">
        <v>28</v>
      </c>
    </row>
    <row r="21" spans="1:12" ht="18" customHeight="1">
      <c r="A21" s="16">
        <v>19</v>
      </c>
      <c r="B21" s="17">
        <v>6510207206</v>
      </c>
      <c r="C21" s="17" t="s">
        <v>29</v>
      </c>
      <c r="D21" s="17" t="s">
        <v>339</v>
      </c>
      <c r="E21" s="17" t="s">
        <v>340</v>
      </c>
      <c r="F21" s="17" t="s">
        <v>341</v>
      </c>
      <c r="G21" s="17" t="s">
        <v>287</v>
      </c>
      <c r="H21" s="17" t="s">
        <v>338</v>
      </c>
      <c r="I21" s="17" t="s">
        <v>3710</v>
      </c>
      <c r="J21" s="16"/>
      <c r="K21" s="16" t="str">
        <f t="shared" si="0"/>
        <v>ไม่ผ่าน</v>
      </c>
      <c r="L21" s="16" t="s">
        <v>28</v>
      </c>
    </row>
    <row r="22" spans="1:12" ht="18" customHeight="1">
      <c r="A22" s="16">
        <v>20</v>
      </c>
      <c r="B22" s="17">
        <v>6410207114</v>
      </c>
      <c r="C22" s="17" t="s">
        <v>29</v>
      </c>
      <c r="D22" s="17" t="s">
        <v>342</v>
      </c>
      <c r="E22" s="17" t="s">
        <v>343</v>
      </c>
      <c r="F22" s="17" t="s">
        <v>245</v>
      </c>
      <c r="G22" s="17" t="s">
        <v>287</v>
      </c>
      <c r="H22" s="17" t="s">
        <v>338</v>
      </c>
      <c r="I22" s="17" t="s">
        <v>3707</v>
      </c>
      <c r="J22" s="16"/>
      <c r="K22" s="16" t="str">
        <f t="shared" si="0"/>
        <v>ไม่ผ่าน</v>
      </c>
      <c r="L22" s="16" t="s">
        <v>28</v>
      </c>
    </row>
    <row r="23" spans="1:12" ht="18" customHeight="1">
      <c r="A23" s="16">
        <v>21</v>
      </c>
      <c r="B23" s="17">
        <v>6410207115</v>
      </c>
      <c r="C23" s="17" t="s">
        <v>29</v>
      </c>
      <c r="D23" s="17" t="s">
        <v>344</v>
      </c>
      <c r="E23" s="17" t="s">
        <v>345</v>
      </c>
      <c r="F23" s="17" t="s">
        <v>346</v>
      </c>
      <c r="G23" s="17" t="s">
        <v>287</v>
      </c>
      <c r="H23" s="17" t="s">
        <v>338</v>
      </c>
      <c r="I23" s="17" t="s">
        <v>3707</v>
      </c>
      <c r="J23" s="16"/>
      <c r="K23" s="16" t="str">
        <f t="shared" si="0"/>
        <v>ไม่ผ่าน</v>
      </c>
      <c r="L23" s="16" t="s">
        <v>28</v>
      </c>
    </row>
    <row r="24" spans="1:12" ht="18" customHeight="1">
      <c r="A24" s="16">
        <v>22</v>
      </c>
      <c r="B24" s="17">
        <v>6410207117</v>
      </c>
      <c r="C24" s="17" t="s">
        <v>29</v>
      </c>
      <c r="D24" s="17" t="s">
        <v>347</v>
      </c>
      <c r="E24" s="17" t="s">
        <v>348</v>
      </c>
      <c r="F24" s="17" t="s">
        <v>78</v>
      </c>
      <c r="G24" s="17" t="s">
        <v>287</v>
      </c>
      <c r="H24" s="17" t="s">
        <v>338</v>
      </c>
      <c r="I24" s="17" t="s">
        <v>3707</v>
      </c>
      <c r="J24" s="16"/>
      <c r="K24" s="16" t="str">
        <f t="shared" si="0"/>
        <v>ไม่ผ่าน</v>
      </c>
      <c r="L24" s="16" t="s">
        <v>28</v>
      </c>
    </row>
    <row r="25" spans="1:12" ht="18" customHeight="1">
      <c r="A25" s="16">
        <v>23</v>
      </c>
      <c r="B25" s="17">
        <v>6410207125</v>
      </c>
      <c r="C25" s="17" t="s">
        <v>29</v>
      </c>
      <c r="D25" s="17" t="s">
        <v>349</v>
      </c>
      <c r="E25" s="17" t="s">
        <v>350</v>
      </c>
      <c r="F25" s="17" t="s">
        <v>233</v>
      </c>
      <c r="G25" s="17" t="s">
        <v>287</v>
      </c>
      <c r="H25" s="17" t="s">
        <v>338</v>
      </c>
      <c r="I25" s="17" t="s">
        <v>3707</v>
      </c>
      <c r="J25" s="16"/>
      <c r="K25" s="16" t="str">
        <f t="shared" si="0"/>
        <v>ไม่ผ่าน</v>
      </c>
      <c r="L25" s="16" t="s">
        <v>28</v>
      </c>
    </row>
    <row r="26" spans="1:12" ht="18" customHeight="1">
      <c r="A26" s="16">
        <v>24</v>
      </c>
      <c r="B26" s="17">
        <v>6410207201</v>
      </c>
      <c r="C26" s="17" t="s">
        <v>22</v>
      </c>
      <c r="D26" s="17" t="s">
        <v>351</v>
      </c>
      <c r="E26" s="17" t="s">
        <v>352</v>
      </c>
      <c r="F26" s="17" t="s">
        <v>353</v>
      </c>
      <c r="G26" s="17" t="s">
        <v>287</v>
      </c>
      <c r="H26" s="17" t="s">
        <v>338</v>
      </c>
      <c r="I26" s="17" t="s">
        <v>3707</v>
      </c>
      <c r="J26" s="16"/>
      <c r="K26" s="16" t="str">
        <f t="shared" si="0"/>
        <v>ไม่ผ่าน</v>
      </c>
      <c r="L26" s="16" t="s">
        <v>28</v>
      </c>
    </row>
    <row r="27" spans="1:12" ht="18" customHeight="1">
      <c r="A27" s="16">
        <v>25</v>
      </c>
      <c r="B27" s="17">
        <v>6410207205</v>
      </c>
      <c r="C27" s="17" t="s">
        <v>29</v>
      </c>
      <c r="D27" s="17" t="s">
        <v>354</v>
      </c>
      <c r="E27" s="17" t="s">
        <v>355</v>
      </c>
      <c r="F27" s="17" t="s">
        <v>356</v>
      </c>
      <c r="G27" s="17" t="s">
        <v>287</v>
      </c>
      <c r="H27" s="17" t="s">
        <v>338</v>
      </c>
      <c r="I27" s="17" t="s">
        <v>3707</v>
      </c>
      <c r="J27" s="16"/>
      <c r="K27" s="16" t="str">
        <f t="shared" si="0"/>
        <v>ไม่ผ่าน</v>
      </c>
      <c r="L27" s="16" t="s">
        <v>28</v>
      </c>
    </row>
    <row r="28" spans="1:12" ht="18" customHeight="1">
      <c r="A28" s="16">
        <v>26</v>
      </c>
      <c r="B28" s="17">
        <v>6410207207</v>
      </c>
      <c r="C28" s="17" t="s">
        <v>29</v>
      </c>
      <c r="D28" s="17" t="s">
        <v>357</v>
      </c>
      <c r="E28" s="17" t="s">
        <v>358</v>
      </c>
      <c r="F28" s="17" t="s">
        <v>359</v>
      </c>
      <c r="G28" s="17" t="s">
        <v>287</v>
      </c>
      <c r="H28" s="17" t="s">
        <v>338</v>
      </c>
      <c r="I28" s="17" t="s">
        <v>3707</v>
      </c>
      <c r="J28" s="16"/>
      <c r="K28" s="16" t="str">
        <f t="shared" si="0"/>
        <v>ไม่ผ่าน</v>
      </c>
      <c r="L28" s="16" t="s">
        <v>28</v>
      </c>
    </row>
    <row r="29" spans="1:12" ht="18" customHeight="1">
      <c r="A29" s="16">
        <v>27</v>
      </c>
      <c r="B29" s="17">
        <v>6410207225</v>
      </c>
      <c r="C29" s="17" t="s">
        <v>29</v>
      </c>
      <c r="D29" s="17" t="s">
        <v>360</v>
      </c>
      <c r="E29" s="17" t="s">
        <v>361</v>
      </c>
      <c r="F29" s="17" t="s">
        <v>362</v>
      </c>
      <c r="G29" s="17" t="s">
        <v>287</v>
      </c>
      <c r="H29" s="17" t="s">
        <v>338</v>
      </c>
      <c r="I29" s="17" t="s">
        <v>3707</v>
      </c>
      <c r="J29" s="16"/>
      <c r="K29" s="16" t="str">
        <f t="shared" si="0"/>
        <v>ไม่ผ่าน</v>
      </c>
      <c r="L29" s="16" t="s">
        <v>28</v>
      </c>
    </row>
    <row r="30" spans="1:12" ht="18" customHeight="1">
      <c r="A30" s="16">
        <v>28</v>
      </c>
      <c r="B30" s="17">
        <v>6410207226</v>
      </c>
      <c r="C30" s="17" t="s">
        <v>29</v>
      </c>
      <c r="D30" s="17" t="s">
        <v>363</v>
      </c>
      <c r="E30" s="17" t="s">
        <v>364</v>
      </c>
      <c r="F30" s="17" t="s">
        <v>365</v>
      </c>
      <c r="G30" s="17" t="s">
        <v>287</v>
      </c>
      <c r="H30" s="17" t="s">
        <v>338</v>
      </c>
      <c r="I30" s="17" t="s">
        <v>3707</v>
      </c>
      <c r="J30" s="16"/>
      <c r="K30" s="16" t="str">
        <f t="shared" si="0"/>
        <v>ไม่ผ่าน</v>
      </c>
      <c r="L30" s="16" t="s">
        <v>28</v>
      </c>
    </row>
    <row r="31" spans="1:12" ht="18" customHeight="1">
      <c r="A31" s="16">
        <v>29</v>
      </c>
      <c r="B31" s="17">
        <v>6310207111</v>
      </c>
      <c r="C31" s="17" t="s">
        <v>29</v>
      </c>
      <c r="D31" s="17" t="s">
        <v>366</v>
      </c>
      <c r="E31" s="17" t="s">
        <v>367</v>
      </c>
      <c r="F31" s="17" t="s">
        <v>300</v>
      </c>
      <c r="G31" s="17" t="s">
        <v>287</v>
      </c>
      <c r="H31" s="17" t="s">
        <v>338</v>
      </c>
      <c r="I31" s="17" t="s">
        <v>3708</v>
      </c>
      <c r="J31" s="16"/>
      <c r="K31" s="16" t="str">
        <f t="shared" si="0"/>
        <v>ไม่ผ่าน</v>
      </c>
      <c r="L31" s="16" t="s">
        <v>28</v>
      </c>
    </row>
    <row r="32" spans="1:12" ht="18" customHeight="1">
      <c r="A32" s="16">
        <v>30</v>
      </c>
      <c r="B32" s="17">
        <v>6310207112</v>
      </c>
      <c r="C32" s="17" t="s">
        <v>29</v>
      </c>
      <c r="D32" s="17" t="s">
        <v>368</v>
      </c>
      <c r="E32" s="17" t="s">
        <v>369</v>
      </c>
      <c r="F32" s="17" t="s">
        <v>370</v>
      </c>
      <c r="G32" s="17" t="s">
        <v>287</v>
      </c>
      <c r="H32" s="17" t="s">
        <v>338</v>
      </c>
      <c r="I32" s="17" t="s">
        <v>3708</v>
      </c>
      <c r="J32" s="16"/>
      <c r="K32" s="16" t="str">
        <f t="shared" si="0"/>
        <v>ไม่ผ่าน</v>
      </c>
      <c r="L32" s="16" t="s">
        <v>28</v>
      </c>
    </row>
    <row r="33" spans="1:12" ht="18" customHeight="1">
      <c r="A33" s="16">
        <v>31</v>
      </c>
      <c r="B33" s="17">
        <v>6310207120</v>
      </c>
      <c r="C33" s="17" t="s">
        <v>29</v>
      </c>
      <c r="D33" s="17" t="s">
        <v>371</v>
      </c>
      <c r="E33" s="17" t="s">
        <v>372</v>
      </c>
      <c r="F33" s="17" t="s">
        <v>373</v>
      </c>
      <c r="G33" s="17" t="s">
        <v>287</v>
      </c>
      <c r="H33" s="17" t="s">
        <v>338</v>
      </c>
      <c r="I33" s="17" t="s">
        <v>3708</v>
      </c>
      <c r="J33" s="16"/>
      <c r="K33" s="16" t="str">
        <f t="shared" si="0"/>
        <v>ไม่ผ่าน</v>
      </c>
      <c r="L33" s="16" t="s">
        <v>28</v>
      </c>
    </row>
    <row r="34" spans="1:12" ht="18" customHeight="1">
      <c r="A34" s="16">
        <v>32</v>
      </c>
      <c r="B34" s="17">
        <v>6310207206</v>
      </c>
      <c r="C34" s="17" t="s">
        <v>29</v>
      </c>
      <c r="D34" s="17" t="s">
        <v>135</v>
      </c>
      <c r="E34" s="17" t="s">
        <v>374</v>
      </c>
      <c r="F34" s="17" t="s">
        <v>127</v>
      </c>
      <c r="G34" s="17" t="s">
        <v>287</v>
      </c>
      <c r="H34" s="17" t="s">
        <v>338</v>
      </c>
      <c r="I34" s="17" t="s">
        <v>3708</v>
      </c>
      <c r="J34" s="16"/>
      <c r="K34" s="16" t="str">
        <f t="shared" si="0"/>
        <v>ไม่ผ่าน</v>
      </c>
      <c r="L34" s="16" t="s">
        <v>28</v>
      </c>
    </row>
    <row r="35" spans="1:12" ht="18" customHeight="1">
      <c r="A35" s="16">
        <v>33</v>
      </c>
      <c r="B35" s="17">
        <v>6310207210</v>
      </c>
      <c r="C35" s="17" t="s">
        <v>29</v>
      </c>
      <c r="D35" s="17" t="s">
        <v>375</v>
      </c>
      <c r="E35" s="17" t="s">
        <v>376</v>
      </c>
      <c r="F35" s="17" t="s">
        <v>377</v>
      </c>
      <c r="G35" s="17" t="s">
        <v>287</v>
      </c>
      <c r="H35" s="17" t="s">
        <v>338</v>
      </c>
      <c r="I35" s="17" t="s">
        <v>3708</v>
      </c>
      <c r="J35" s="16"/>
      <c r="K35" s="16" t="str">
        <f t="shared" si="0"/>
        <v>ไม่ผ่าน</v>
      </c>
      <c r="L35" s="16" t="s">
        <v>28</v>
      </c>
    </row>
    <row r="36" spans="1:12" ht="18" customHeight="1">
      <c r="A36" s="16">
        <v>34</v>
      </c>
      <c r="B36" s="17">
        <v>6310207215</v>
      </c>
      <c r="C36" s="17" t="s">
        <v>29</v>
      </c>
      <c r="D36" s="17" t="s">
        <v>378</v>
      </c>
      <c r="E36" s="17" t="s">
        <v>379</v>
      </c>
      <c r="F36" s="17" t="s">
        <v>380</v>
      </c>
      <c r="G36" s="17" t="s">
        <v>287</v>
      </c>
      <c r="H36" s="17" t="s">
        <v>338</v>
      </c>
      <c r="I36" s="17" t="s">
        <v>3708</v>
      </c>
      <c r="J36" s="16"/>
      <c r="K36" s="16" t="str">
        <f t="shared" si="0"/>
        <v>ไม่ผ่าน</v>
      </c>
      <c r="L36" s="16" t="s">
        <v>28</v>
      </c>
    </row>
    <row r="37" spans="1:12" ht="18" customHeight="1">
      <c r="A37" s="16">
        <v>35</v>
      </c>
      <c r="B37" s="17">
        <v>6610633104</v>
      </c>
      <c r="C37" s="17" t="s">
        <v>22</v>
      </c>
      <c r="D37" s="17" t="s">
        <v>381</v>
      </c>
      <c r="E37" s="17" t="s">
        <v>382</v>
      </c>
      <c r="F37" s="17" t="s">
        <v>383</v>
      </c>
      <c r="G37" s="17" t="s">
        <v>287</v>
      </c>
      <c r="H37" s="17" t="s">
        <v>384</v>
      </c>
      <c r="I37" s="17" t="s">
        <v>3709</v>
      </c>
      <c r="J37" s="16"/>
      <c r="K37" s="16" t="str">
        <f t="shared" si="0"/>
        <v>ไม่ผ่าน</v>
      </c>
      <c r="L37" s="16" t="s">
        <v>28</v>
      </c>
    </row>
    <row r="38" spans="1:12" ht="18" customHeight="1">
      <c r="A38" s="16">
        <v>36</v>
      </c>
      <c r="B38" s="17">
        <v>6610633106</v>
      </c>
      <c r="C38" s="17" t="s">
        <v>22</v>
      </c>
      <c r="D38" s="17" t="s">
        <v>385</v>
      </c>
      <c r="E38" s="17" t="s">
        <v>386</v>
      </c>
      <c r="F38" s="17" t="s">
        <v>115</v>
      </c>
      <c r="G38" s="17" t="s">
        <v>287</v>
      </c>
      <c r="H38" s="17" t="s">
        <v>384</v>
      </c>
      <c r="I38" s="17" t="s">
        <v>3709</v>
      </c>
      <c r="J38" s="16"/>
      <c r="K38" s="16" t="str">
        <f t="shared" si="0"/>
        <v>ไม่ผ่าน</v>
      </c>
      <c r="L38" s="16" t="s">
        <v>28</v>
      </c>
    </row>
    <row r="39" spans="1:12" ht="18" customHeight="1">
      <c r="A39" s="16">
        <v>37</v>
      </c>
      <c r="B39" s="17">
        <v>6610633107</v>
      </c>
      <c r="C39" s="17" t="s">
        <v>22</v>
      </c>
      <c r="D39" s="17" t="s">
        <v>387</v>
      </c>
      <c r="E39" s="17" t="s">
        <v>388</v>
      </c>
      <c r="F39" s="17" t="s">
        <v>389</v>
      </c>
      <c r="G39" s="17" t="s">
        <v>287</v>
      </c>
      <c r="H39" s="17" t="s">
        <v>384</v>
      </c>
      <c r="I39" s="17" t="s">
        <v>3709</v>
      </c>
      <c r="J39" s="16"/>
      <c r="K39" s="16" t="str">
        <f t="shared" si="0"/>
        <v>ไม่ผ่าน</v>
      </c>
      <c r="L39" s="16" t="s">
        <v>28</v>
      </c>
    </row>
    <row r="40" spans="1:12" ht="18" customHeight="1">
      <c r="A40" s="16">
        <v>38</v>
      </c>
      <c r="B40" s="17">
        <v>6610633108</v>
      </c>
      <c r="C40" s="17" t="s">
        <v>22</v>
      </c>
      <c r="D40" s="17" t="s">
        <v>113</v>
      </c>
      <c r="E40" s="17" t="s">
        <v>390</v>
      </c>
      <c r="F40" s="17" t="s">
        <v>391</v>
      </c>
      <c r="G40" s="17" t="s">
        <v>287</v>
      </c>
      <c r="H40" s="17" t="s">
        <v>384</v>
      </c>
      <c r="I40" s="17" t="s">
        <v>3709</v>
      </c>
      <c r="J40" s="16"/>
      <c r="K40" s="16" t="str">
        <f t="shared" si="0"/>
        <v>ไม่ผ่าน</v>
      </c>
      <c r="L40" s="16" t="s">
        <v>28</v>
      </c>
    </row>
    <row r="41" spans="1:12" ht="18" customHeight="1">
      <c r="A41" s="16">
        <v>39</v>
      </c>
      <c r="B41" s="17">
        <v>6610633110</v>
      </c>
      <c r="C41" s="17" t="s">
        <v>22</v>
      </c>
      <c r="D41" s="17" t="s">
        <v>392</v>
      </c>
      <c r="E41" s="17" t="s">
        <v>393</v>
      </c>
      <c r="F41" s="17" t="s">
        <v>394</v>
      </c>
      <c r="G41" s="17" t="s">
        <v>287</v>
      </c>
      <c r="H41" s="17" t="s">
        <v>384</v>
      </c>
      <c r="I41" s="17" t="s">
        <v>3709</v>
      </c>
      <c r="J41" s="16"/>
      <c r="K41" s="16" t="str">
        <f t="shared" si="0"/>
        <v>ไม่ผ่าน</v>
      </c>
      <c r="L41" s="16" t="s">
        <v>28</v>
      </c>
    </row>
    <row r="42" spans="1:12" ht="18" customHeight="1">
      <c r="A42" s="16">
        <v>40</v>
      </c>
      <c r="B42" s="17">
        <v>6610633111</v>
      </c>
      <c r="C42" s="17" t="s">
        <v>22</v>
      </c>
      <c r="D42" s="17" t="s">
        <v>396</v>
      </c>
      <c r="E42" s="17" t="s">
        <v>397</v>
      </c>
      <c r="F42" s="17" t="s">
        <v>398</v>
      </c>
      <c r="G42" s="17" t="s">
        <v>287</v>
      </c>
      <c r="H42" s="17" t="s">
        <v>384</v>
      </c>
      <c r="I42" s="17" t="s">
        <v>3709</v>
      </c>
      <c r="J42" s="16"/>
      <c r="K42" s="16" t="str">
        <f t="shared" si="0"/>
        <v>ไม่ผ่าน</v>
      </c>
      <c r="L42" s="16" t="s">
        <v>28</v>
      </c>
    </row>
    <row r="43" spans="1:12" ht="18" customHeight="1">
      <c r="A43" s="16">
        <v>41</v>
      </c>
      <c r="B43" s="17">
        <v>6610633112</v>
      </c>
      <c r="C43" s="17" t="s">
        <v>22</v>
      </c>
      <c r="D43" s="17" t="s">
        <v>399</v>
      </c>
      <c r="E43" s="17" t="s">
        <v>400</v>
      </c>
      <c r="F43" s="17" t="s">
        <v>401</v>
      </c>
      <c r="G43" s="17" t="s">
        <v>287</v>
      </c>
      <c r="H43" s="17" t="s">
        <v>384</v>
      </c>
      <c r="I43" s="17" t="s">
        <v>3709</v>
      </c>
      <c r="J43" s="16"/>
      <c r="K43" s="16" t="str">
        <f t="shared" si="0"/>
        <v>ไม่ผ่าน</v>
      </c>
      <c r="L43" s="16" t="s">
        <v>28</v>
      </c>
    </row>
    <row r="44" spans="1:12" ht="18" customHeight="1">
      <c r="A44" s="16">
        <v>42</v>
      </c>
      <c r="B44" s="17">
        <v>6610633118</v>
      </c>
      <c r="C44" s="17" t="s">
        <v>29</v>
      </c>
      <c r="D44" s="17" t="s">
        <v>402</v>
      </c>
      <c r="E44" s="17" t="s">
        <v>403</v>
      </c>
      <c r="F44" s="17" t="s">
        <v>242</v>
      </c>
      <c r="G44" s="17" t="s">
        <v>287</v>
      </c>
      <c r="H44" s="17" t="s">
        <v>384</v>
      </c>
      <c r="I44" s="17" t="s">
        <v>3709</v>
      </c>
      <c r="J44" s="16"/>
      <c r="K44" s="16" t="str">
        <f t="shared" si="0"/>
        <v>ไม่ผ่าน</v>
      </c>
      <c r="L44" s="16" t="s">
        <v>28</v>
      </c>
    </row>
    <row r="45" spans="1:12" ht="18" customHeight="1">
      <c r="A45" s="16">
        <v>43</v>
      </c>
      <c r="B45" s="17">
        <v>6610633123</v>
      </c>
      <c r="C45" s="17" t="s">
        <v>29</v>
      </c>
      <c r="D45" s="17" t="s">
        <v>404</v>
      </c>
      <c r="E45" s="17" t="s">
        <v>405</v>
      </c>
      <c r="F45" s="17" t="s">
        <v>406</v>
      </c>
      <c r="G45" s="17" t="s">
        <v>287</v>
      </c>
      <c r="H45" s="17" t="s">
        <v>384</v>
      </c>
      <c r="I45" s="17" t="s">
        <v>3709</v>
      </c>
      <c r="J45" s="16"/>
      <c r="K45" s="16" t="str">
        <f t="shared" si="0"/>
        <v>ไม่ผ่าน</v>
      </c>
      <c r="L45" s="16" t="s">
        <v>28</v>
      </c>
    </row>
    <row r="46" spans="1:12" ht="18" customHeight="1">
      <c r="A46" s="16">
        <v>44</v>
      </c>
      <c r="B46" s="17">
        <v>6610633132</v>
      </c>
      <c r="C46" s="17" t="s">
        <v>29</v>
      </c>
      <c r="D46" s="17" t="s">
        <v>407</v>
      </c>
      <c r="E46" s="17" t="s">
        <v>408</v>
      </c>
      <c r="F46" s="17" t="s">
        <v>409</v>
      </c>
      <c r="G46" s="17" t="s">
        <v>287</v>
      </c>
      <c r="H46" s="17" t="s">
        <v>384</v>
      </c>
      <c r="I46" s="17" t="s">
        <v>3709</v>
      </c>
      <c r="J46" s="16"/>
      <c r="K46" s="16" t="str">
        <f t="shared" si="0"/>
        <v>ไม่ผ่าน</v>
      </c>
      <c r="L46" s="16" t="s">
        <v>28</v>
      </c>
    </row>
    <row r="47" spans="1:12" ht="18" customHeight="1">
      <c r="A47" s="16">
        <v>45</v>
      </c>
      <c r="B47" s="17">
        <v>6610633202</v>
      </c>
      <c r="C47" s="17" t="s">
        <v>22</v>
      </c>
      <c r="D47" s="17" t="s">
        <v>410</v>
      </c>
      <c r="E47" s="17" t="s">
        <v>411</v>
      </c>
      <c r="F47" s="17" t="s">
        <v>412</v>
      </c>
      <c r="G47" s="17" t="s">
        <v>287</v>
      </c>
      <c r="H47" s="17" t="s">
        <v>384</v>
      </c>
      <c r="I47" s="17" t="s">
        <v>3709</v>
      </c>
      <c r="J47" s="16"/>
      <c r="K47" s="16" t="str">
        <f t="shared" si="0"/>
        <v>ไม่ผ่าน</v>
      </c>
      <c r="L47" s="16" t="s">
        <v>28</v>
      </c>
    </row>
    <row r="48" spans="1:12" ht="18" customHeight="1">
      <c r="A48" s="16">
        <v>46</v>
      </c>
      <c r="B48" s="17">
        <v>6610633203</v>
      </c>
      <c r="C48" s="17" t="s">
        <v>22</v>
      </c>
      <c r="D48" s="17" t="s">
        <v>413</v>
      </c>
      <c r="E48" s="17" t="s">
        <v>414</v>
      </c>
      <c r="F48" s="17" t="s">
        <v>415</v>
      </c>
      <c r="G48" s="17" t="s">
        <v>287</v>
      </c>
      <c r="H48" s="17" t="s">
        <v>384</v>
      </c>
      <c r="I48" s="17" t="s">
        <v>3709</v>
      </c>
      <c r="J48" s="16"/>
      <c r="K48" s="16" t="str">
        <f t="shared" si="0"/>
        <v>ไม่ผ่าน</v>
      </c>
      <c r="L48" s="16" t="s">
        <v>28</v>
      </c>
    </row>
    <row r="49" spans="1:12" ht="18" customHeight="1">
      <c r="A49" s="16">
        <v>47</v>
      </c>
      <c r="B49" s="17">
        <v>6610633204</v>
      </c>
      <c r="C49" s="17" t="s">
        <v>22</v>
      </c>
      <c r="D49" s="17" t="s">
        <v>416</v>
      </c>
      <c r="E49" s="17" t="s">
        <v>417</v>
      </c>
      <c r="F49" s="17" t="s">
        <v>418</v>
      </c>
      <c r="G49" s="17" t="s">
        <v>287</v>
      </c>
      <c r="H49" s="17" t="s">
        <v>384</v>
      </c>
      <c r="I49" s="17" t="s">
        <v>3709</v>
      </c>
      <c r="J49" s="16"/>
      <c r="K49" s="16" t="str">
        <f t="shared" si="0"/>
        <v>ไม่ผ่าน</v>
      </c>
      <c r="L49" s="16" t="s">
        <v>28</v>
      </c>
    </row>
    <row r="50" spans="1:12" ht="18" customHeight="1">
      <c r="A50" s="16">
        <v>48</v>
      </c>
      <c r="B50" s="17">
        <v>6610633214</v>
      </c>
      <c r="C50" s="17" t="s">
        <v>29</v>
      </c>
      <c r="D50" s="17" t="s">
        <v>419</v>
      </c>
      <c r="E50" s="17" t="s">
        <v>420</v>
      </c>
      <c r="F50" s="17" t="s">
        <v>421</v>
      </c>
      <c r="G50" s="17" t="s">
        <v>287</v>
      </c>
      <c r="H50" s="17" t="s">
        <v>384</v>
      </c>
      <c r="I50" s="17" t="s">
        <v>3709</v>
      </c>
      <c r="J50" s="16"/>
      <c r="K50" s="16" t="str">
        <f t="shared" si="0"/>
        <v>ไม่ผ่าน</v>
      </c>
      <c r="L50" s="16" t="s">
        <v>28</v>
      </c>
    </row>
    <row r="51" spans="1:12" ht="18" customHeight="1">
      <c r="A51" s="16">
        <v>49</v>
      </c>
      <c r="B51" s="17">
        <v>6610633219</v>
      </c>
      <c r="C51" s="17" t="s">
        <v>29</v>
      </c>
      <c r="D51" s="17" t="s">
        <v>422</v>
      </c>
      <c r="E51" s="17" t="s">
        <v>423</v>
      </c>
      <c r="F51" s="17" t="s">
        <v>424</v>
      </c>
      <c r="G51" s="17" t="s">
        <v>287</v>
      </c>
      <c r="H51" s="17" t="s">
        <v>384</v>
      </c>
      <c r="I51" s="17" t="s">
        <v>3709</v>
      </c>
      <c r="J51" s="16"/>
      <c r="K51" s="16" t="str">
        <f t="shared" si="0"/>
        <v>ไม่ผ่าน</v>
      </c>
      <c r="L51" s="16" t="s">
        <v>28</v>
      </c>
    </row>
    <row r="52" spans="1:12" ht="18" customHeight="1">
      <c r="A52" s="16">
        <v>50</v>
      </c>
      <c r="B52" s="17">
        <v>6610633223</v>
      </c>
      <c r="C52" s="17" t="s">
        <v>29</v>
      </c>
      <c r="D52" s="17" t="s">
        <v>425</v>
      </c>
      <c r="E52" s="17" t="s">
        <v>426</v>
      </c>
      <c r="F52" s="17" t="s">
        <v>427</v>
      </c>
      <c r="G52" s="17" t="s">
        <v>287</v>
      </c>
      <c r="H52" s="17" t="s">
        <v>384</v>
      </c>
      <c r="I52" s="17" t="s">
        <v>3709</v>
      </c>
      <c r="J52" s="16"/>
      <c r="K52" s="16" t="str">
        <f t="shared" si="0"/>
        <v>ไม่ผ่าน</v>
      </c>
      <c r="L52" s="16" t="s">
        <v>28</v>
      </c>
    </row>
    <row r="53" spans="1:12" ht="18" customHeight="1">
      <c r="A53" s="16">
        <v>51</v>
      </c>
      <c r="B53" s="17">
        <v>6510633103</v>
      </c>
      <c r="C53" s="17" t="s">
        <v>22</v>
      </c>
      <c r="D53" s="17" t="s">
        <v>429</v>
      </c>
      <c r="E53" s="17" t="s">
        <v>430</v>
      </c>
      <c r="F53" s="17" t="s">
        <v>431</v>
      </c>
      <c r="G53" s="17" t="s">
        <v>287</v>
      </c>
      <c r="H53" s="17" t="s">
        <v>384</v>
      </c>
      <c r="I53" s="17" t="s">
        <v>3710</v>
      </c>
      <c r="J53" s="16"/>
      <c r="K53" s="16" t="str">
        <f t="shared" si="0"/>
        <v>ไม่ผ่าน</v>
      </c>
      <c r="L53" s="16" t="s">
        <v>28</v>
      </c>
    </row>
    <row r="54" spans="1:12" ht="18" customHeight="1">
      <c r="A54" s="16">
        <v>52</v>
      </c>
      <c r="B54" s="17">
        <v>6510633106</v>
      </c>
      <c r="C54" s="17" t="s">
        <v>22</v>
      </c>
      <c r="D54" s="17" t="s">
        <v>432</v>
      </c>
      <c r="E54" s="17" t="s">
        <v>433</v>
      </c>
      <c r="F54" s="17" t="s">
        <v>434</v>
      </c>
      <c r="G54" s="17" t="s">
        <v>287</v>
      </c>
      <c r="H54" s="17" t="s">
        <v>384</v>
      </c>
      <c r="I54" s="17" t="s">
        <v>3710</v>
      </c>
      <c r="J54" s="16"/>
      <c r="K54" s="16" t="str">
        <f t="shared" si="0"/>
        <v>ไม่ผ่าน</v>
      </c>
      <c r="L54" s="16" t="s">
        <v>28</v>
      </c>
    </row>
    <row r="55" spans="1:12" ht="18" customHeight="1">
      <c r="A55" s="16">
        <v>53</v>
      </c>
      <c r="B55" s="17">
        <v>6510633107</v>
      </c>
      <c r="C55" s="17" t="s">
        <v>22</v>
      </c>
      <c r="D55" s="17" t="s">
        <v>435</v>
      </c>
      <c r="E55" s="17" t="s">
        <v>436</v>
      </c>
      <c r="F55" s="17" t="s">
        <v>418</v>
      </c>
      <c r="G55" s="17" t="s">
        <v>287</v>
      </c>
      <c r="H55" s="17" t="s">
        <v>384</v>
      </c>
      <c r="I55" s="17" t="s">
        <v>3710</v>
      </c>
      <c r="J55" s="16"/>
      <c r="K55" s="16" t="str">
        <f t="shared" si="0"/>
        <v>ไม่ผ่าน</v>
      </c>
      <c r="L55" s="16" t="s">
        <v>28</v>
      </c>
    </row>
    <row r="56" spans="1:12" ht="18" customHeight="1">
      <c r="A56" s="16">
        <v>54</v>
      </c>
      <c r="B56" s="17">
        <v>6510633108</v>
      </c>
      <c r="C56" s="17" t="s">
        <v>29</v>
      </c>
      <c r="D56" s="17" t="s">
        <v>437</v>
      </c>
      <c r="E56" s="17" t="s">
        <v>438</v>
      </c>
      <c r="F56" s="17" t="s">
        <v>179</v>
      </c>
      <c r="G56" s="17" t="s">
        <v>287</v>
      </c>
      <c r="H56" s="17" t="s">
        <v>384</v>
      </c>
      <c r="I56" s="17" t="s">
        <v>3710</v>
      </c>
      <c r="J56" s="16"/>
      <c r="K56" s="16" t="str">
        <f t="shared" si="0"/>
        <v>ไม่ผ่าน</v>
      </c>
      <c r="L56" s="16" t="s">
        <v>28</v>
      </c>
    </row>
    <row r="57" spans="1:12" ht="18" customHeight="1">
      <c r="A57" s="16">
        <v>55</v>
      </c>
      <c r="B57" s="17">
        <v>6510633111</v>
      </c>
      <c r="C57" s="17" t="s">
        <v>29</v>
      </c>
      <c r="D57" s="17" t="s">
        <v>439</v>
      </c>
      <c r="E57" s="17" t="s">
        <v>440</v>
      </c>
      <c r="F57" s="17" t="s">
        <v>441</v>
      </c>
      <c r="G57" s="17" t="s">
        <v>287</v>
      </c>
      <c r="H57" s="17" t="s">
        <v>384</v>
      </c>
      <c r="I57" s="17" t="s">
        <v>3710</v>
      </c>
      <c r="J57" s="16"/>
      <c r="K57" s="16" t="str">
        <f t="shared" si="0"/>
        <v>ไม่ผ่าน</v>
      </c>
      <c r="L57" s="16" t="s">
        <v>28</v>
      </c>
    </row>
    <row r="58" spans="1:12" ht="18" customHeight="1">
      <c r="A58" s="16">
        <v>56</v>
      </c>
      <c r="B58" s="17">
        <v>6510633115</v>
      </c>
      <c r="C58" s="17" t="s">
        <v>29</v>
      </c>
      <c r="D58" s="17" t="s">
        <v>442</v>
      </c>
      <c r="E58" s="17" t="s">
        <v>443</v>
      </c>
      <c r="F58" s="17" t="s">
        <v>124</v>
      </c>
      <c r="G58" s="17" t="s">
        <v>287</v>
      </c>
      <c r="H58" s="17" t="s">
        <v>384</v>
      </c>
      <c r="I58" s="17" t="s">
        <v>3710</v>
      </c>
      <c r="J58" s="16"/>
      <c r="K58" s="16" t="str">
        <f t="shared" si="0"/>
        <v>ไม่ผ่าน</v>
      </c>
      <c r="L58" s="16" t="s">
        <v>28</v>
      </c>
    </row>
    <row r="59" spans="1:12" ht="18" customHeight="1">
      <c r="A59" s="16">
        <v>57</v>
      </c>
      <c r="B59" s="17">
        <v>6510633116</v>
      </c>
      <c r="C59" s="17" t="s">
        <v>29</v>
      </c>
      <c r="D59" s="17" t="s">
        <v>444</v>
      </c>
      <c r="E59" s="17" t="s">
        <v>445</v>
      </c>
      <c r="F59" s="17" t="s">
        <v>446</v>
      </c>
      <c r="G59" s="17" t="s">
        <v>287</v>
      </c>
      <c r="H59" s="17" t="s">
        <v>384</v>
      </c>
      <c r="I59" s="17" t="s">
        <v>3710</v>
      </c>
      <c r="J59" s="16"/>
      <c r="K59" s="16" t="str">
        <f t="shared" si="0"/>
        <v>ไม่ผ่าน</v>
      </c>
      <c r="L59" s="16" t="s">
        <v>28</v>
      </c>
    </row>
    <row r="60" spans="1:12" ht="18" customHeight="1">
      <c r="A60" s="16">
        <v>58</v>
      </c>
      <c r="B60" s="17">
        <v>6510633117</v>
      </c>
      <c r="C60" s="17" t="s">
        <v>29</v>
      </c>
      <c r="D60" s="17" t="s">
        <v>447</v>
      </c>
      <c r="E60" s="17" t="s">
        <v>448</v>
      </c>
      <c r="F60" s="17" t="s">
        <v>370</v>
      </c>
      <c r="G60" s="17" t="s">
        <v>287</v>
      </c>
      <c r="H60" s="17" t="s">
        <v>384</v>
      </c>
      <c r="I60" s="17" t="s">
        <v>3710</v>
      </c>
      <c r="J60" s="16"/>
      <c r="K60" s="16" t="str">
        <f t="shared" si="0"/>
        <v>ไม่ผ่าน</v>
      </c>
      <c r="L60" s="16" t="s">
        <v>28</v>
      </c>
    </row>
    <row r="61" spans="1:12" ht="18" customHeight="1">
      <c r="A61" s="16">
        <v>59</v>
      </c>
      <c r="B61" s="17">
        <v>6510633118</v>
      </c>
      <c r="C61" s="17" t="s">
        <v>29</v>
      </c>
      <c r="D61" s="17" t="s">
        <v>449</v>
      </c>
      <c r="E61" s="17" t="s">
        <v>450</v>
      </c>
      <c r="F61" s="17" t="s">
        <v>391</v>
      </c>
      <c r="G61" s="17" t="s">
        <v>287</v>
      </c>
      <c r="H61" s="17" t="s">
        <v>384</v>
      </c>
      <c r="I61" s="17" t="s">
        <v>3710</v>
      </c>
      <c r="J61" s="16"/>
      <c r="K61" s="16" t="str">
        <f t="shared" si="0"/>
        <v>ไม่ผ่าน</v>
      </c>
      <c r="L61" s="16" t="s">
        <v>28</v>
      </c>
    </row>
    <row r="62" spans="1:12" ht="18" customHeight="1">
      <c r="A62" s="16">
        <v>60</v>
      </c>
      <c r="B62" s="17">
        <v>6510633120</v>
      </c>
      <c r="C62" s="17" t="s">
        <v>29</v>
      </c>
      <c r="D62" s="17" t="s">
        <v>451</v>
      </c>
      <c r="E62" s="17" t="s">
        <v>452</v>
      </c>
      <c r="F62" s="17" t="s">
        <v>453</v>
      </c>
      <c r="G62" s="17" t="s">
        <v>287</v>
      </c>
      <c r="H62" s="17" t="s">
        <v>384</v>
      </c>
      <c r="I62" s="17" t="s">
        <v>3710</v>
      </c>
      <c r="J62" s="16"/>
      <c r="K62" s="16" t="str">
        <f t="shared" si="0"/>
        <v>ไม่ผ่าน</v>
      </c>
      <c r="L62" s="16" t="s">
        <v>28</v>
      </c>
    </row>
    <row r="63" spans="1:12" ht="18" customHeight="1">
      <c r="A63" s="16">
        <v>61</v>
      </c>
      <c r="B63" s="17">
        <v>6510633122</v>
      </c>
      <c r="C63" s="17" t="s">
        <v>29</v>
      </c>
      <c r="D63" s="17" t="s">
        <v>454</v>
      </c>
      <c r="E63" s="17" t="s">
        <v>455</v>
      </c>
      <c r="F63" s="17" t="s">
        <v>456</v>
      </c>
      <c r="G63" s="17" t="s">
        <v>287</v>
      </c>
      <c r="H63" s="17" t="s">
        <v>384</v>
      </c>
      <c r="I63" s="17" t="s">
        <v>3710</v>
      </c>
      <c r="J63" s="16"/>
      <c r="K63" s="16" t="str">
        <f t="shared" si="0"/>
        <v>ไม่ผ่าน</v>
      </c>
      <c r="L63" s="16" t="s">
        <v>28</v>
      </c>
    </row>
    <row r="64" spans="1:12" ht="18" customHeight="1">
      <c r="A64" s="16">
        <v>62</v>
      </c>
      <c r="B64" s="17">
        <v>6510633125</v>
      </c>
      <c r="C64" s="17" t="s">
        <v>29</v>
      </c>
      <c r="D64" s="17" t="s">
        <v>457</v>
      </c>
      <c r="E64" s="17" t="s">
        <v>458</v>
      </c>
      <c r="F64" s="17" t="s">
        <v>459</v>
      </c>
      <c r="G64" s="17" t="s">
        <v>287</v>
      </c>
      <c r="H64" s="17" t="s">
        <v>384</v>
      </c>
      <c r="I64" s="17" t="s">
        <v>3710</v>
      </c>
      <c r="J64" s="16"/>
      <c r="K64" s="16" t="str">
        <f t="shared" si="0"/>
        <v>ไม่ผ่าน</v>
      </c>
      <c r="L64" s="16" t="s">
        <v>28</v>
      </c>
    </row>
    <row r="65" spans="1:12" ht="18" customHeight="1">
      <c r="A65" s="16">
        <v>63</v>
      </c>
      <c r="B65" s="17">
        <v>6510633130</v>
      </c>
      <c r="C65" s="17" t="s">
        <v>29</v>
      </c>
      <c r="D65" s="17" t="s">
        <v>460</v>
      </c>
      <c r="E65" s="17" t="s">
        <v>461</v>
      </c>
      <c r="F65" s="17" t="s">
        <v>462</v>
      </c>
      <c r="G65" s="17" t="s">
        <v>287</v>
      </c>
      <c r="H65" s="17" t="s">
        <v>384</v>
      </c>
      <c r="I65" s="17" t="s">
        <v>3710</v>
      </c>
      <c r="J65" s="16"/>
      <c r="K65" s="16" t="str">
        <f t="shared" si="0"/>
        <v>ไม่ผ่าน</v>
      </c>
      <c r="L65" s="16" t="s">
        <v>28</v>
      </c>
    </row>
    <row r="66" spans="1:12" ht="18" customHeight="1">
      <c r="A66" s="16">
        <v>64</v>
      </c>
      <c r="B66" s="17">
        <v>6510633205</v>
      </c>
      <c r="C66" s="17" t="s">
        <v>22</v>
      </c>
      <c r="D66" s="17" t="s">
        <v>463</v>
      </c>
      <c r="E66" s="17" t="s">
        <v>464</v>
      </c>
      <c r="F66" s="17" t="s">
        <v>465</v>
      </c>
      <c r="G66" s="17" t="s">
        <v>287</v>
      </c>
      <c r="H66" s="17" t="s">
        <v>384</v>
      </c>
      <c r="I66" s="17" t="s">
        <v>3710</v>
      </c>
      <c r="J66" s="16"/>
      <c r="K66" s="16" t="str">
        <f t="shared" si="0"/>
        <v>ไม่ผ่าน</v>
      </c>
      <c r="L66" s="16" t="s">
        <v>28</v>
      </c>
    </row>
    <row r="67" spans="1:12" ht="18" customHeight="1">
      <c r="A67" s="16">
        <v>65</v>
      </c>
      <c r="B67" s="17">
        <v>6510633207</v>
      </c>
      <c r="C67" s="17" t="s">
        <v>22</v>
      </c>
      <c r="D67" s="17" t="s">
        <v>466</v>
      </c>
      <c r="E67" s="17" t="s">
        <v>467</v>
      </c>
      <c r="F67" s="17" t="s">
        <v>468</v>
      </c>
      <c r="G67" s="17" t="s">
        <v>287</v>
      </c>
      <c r="H67" s="17" t="s">
        <v>384</v>
      </c>
      <c r="I67" s="17" t="s">
        <v>3710</v>
      </c>
      <c r="J67" s="16"/>
      <c r="K67" s="16" t="str">
        <f t="shared" si="0"/>
        <v>ไม่ผ่าน</v>
      </c>
      <c r="L67" s="16" t="s">
        <v>28</v>
      </c>
    </row>
    <row r="68" spans="1:12" ht="18" customHeight="1">
      <c r="A68" s="16">
        <v>66</v>
      </c>
      <c r="B68" s="17">
        <v>6510633211</v>
      </c>
      <c r="C68" s="17" t="s">
        <v>29</v>
      </c>
      <c r="D68" s="17" t="s">
        <v>469</v>
      </c>
      <c r="E68" s="17" t="s">
        <v>470</v>
      </c>
      <c r="F68" s="17" t="s">
        <v>193</v>
      </c>
      <c r="G68" s="17" t="s">
        <v>287</v>
      </c>
      <c r="H68" s="17" t="s">
        <v>384</v>
      </c>
      <c r="I68" s="17" t="s">
        <v>3710</v>
      </c>
      <c r="J68" s="16"/>
      <c r="K68" s="16" t="str">
        <f t="shared" si="0"/>
        <v>ไม่ผ่าน</v>
      </c>
      <c r="L68" s="16" t="s">
        <v>28</v>
      </c>
    </row>
    <row r="69" spans="1:12" ht="18" customHeight="1">
      <c r="A69" s="16">
        <v>67</v>
      </c>
      <c r="B69" s="17">
        <v>6510633213</v>
      </c>
      <c r="C69" s="17" t="s">
        <v>29</v>
      </c>
      <c r="D69" s="17" t="s">
        <v>471</v>
      </c>
      <c r="E69" s="17" t="s">
        <v>472</v>
      </c>
      <c r="F69" s="17" t="s">
        <v>473</v>
      </c>
      <c r="G69" s="17" t="s">
        <v>287</v>
      </c>
      <c r="H69" s="17" t="s">
        <v>384</v>
      </c>
      <c r="I69" s="17" t="s">
        <v>3710</v>
      </c>
      <c r="J69" s="16"/>
      <c r="K69" s="16" t="str">
        <f t="shared" si="0"/>
        <v>ไม่ผ่าน</v>
      </c>
      <c r="L69" s="16" t="s">
        <v>28</v>
      </c>
    </row>
    <row r="70" spans="1:12" ht="18" customHeight="1">
      <c r="A70" s="16">
        <v>68</v>
      </c>
      <c r="B70" s="17">
        <v>6510633216</v>
      </c>
      <c r="C70" s="17" t="s">
        <v>29</v>
      </c>
      <c r="D70" s="17" t="s">
        <v>447</v>
      </c>
      <c r="E70" s="17" t="s">
        <v>474</v>
      </c>
      <c r="F70" s="17" t="s">
        <v>475</v>
      </c>
      <c r="G70" s="17" t="s">
        <v>287</v>
      </c>
      <c r="H70" s="17" t="s">
        <v>384</v>
      </c>
      <c r="I70" s="17" t="s">
        <v>3710</v>
      </c>
      <c r="J70" s="16"/>
      <c r="K70" s="16" t="str">
        <f t="shared" si="0"/>
        <v>ไม่ผ่าน</v>
      </c>
      <c r="L70" s="16" t="s">
        <v>28</v>
      </c>
    </row>
    <row r="71" spans="1:12" ht="18" customHeight="1">
      <c r="A71" s="16">
        <v>69</v>
      </c>
      <c r="B71" s="17">
        <v>6510633224</v>
      </c>
      <c r="C71" s="17" t="s">
        <v>29</v>
      </c>
      <c r="D71" s="17" t="s">
        <v>476</v>
      </c>
      <c r="E71" s="17" t="s">
        <v>477</v>
      </c>
      <c r="F71" s="17" t="s">
        <v>179</v>
      </c>
      <c r="G71" s="17" t="s">
        <v>287</v>
      </c>
      <c r="H71" s="17" t="s">
        <v>384</v>
      </c>
      <c r="I71" s="17" t="s">
        <v>3710</v>
      </c>
      <c r="J71" s="16"/>
      <c r="K71" s="16" t="str">
        <f t="shared" si="0"/>
        <v>ไม่ผ่าน</v>
      </c>
      <c r="L71" s="16" t="s">
        <v>28</v>
      </c>
    </row>
    <row r="72" spans="1:12" ht="18" customHeight="1">
      <c r="A72" s="16">
        <v>70</v>
      </c>
      <c r="B72" s="17">
        <v>6510633227</v>
      </c>
      <c r="C72" s="17" t="s">
        <v>29</v>
      </c>
      <c r="D72" s="17" t="s">
        <v>478</v>
      </c>
      <c r="E72" s="17" t="s">
        <v>472</v>
      </c>
      <c r="F72" s="17" t="s">
        <v>479</v>
      </c>
      <c r="G72" s="17" t="s">
        <v>287</v>
      </c>
      <c r="H72" s="17" t="s">
        <v>384</v>
      </c>
      <c r="I72" s="17" t="s">
        <v>3710</v>
      </c>
      <c r="J72" s="16"/>
      <c r="K72" s="16" t="str">
        <f t="shared" si="0"/>
        <v>ไม่ผ่าน</v>
      </c>
      <c r="L72" s="16" t="s">
        <v>28</v>
      </c>
    </row>
    <row r="73" spans="1:12" ht="18" customHeight="1">
      <c r="A73" s="16">
        <v>71</v>
      </c>
      <c r="B73" s="17">
        <v>6510633230</v>
      </c>
      <c r="C73" s="17" t="s">
        <v>29</v>
      </c>
      <c r="D73" s="17" t="s">
        <v>480</v>
      </c>
      <c r="E73" s="17" t="s">
        <v>206</v>
      </c>
      <c r="F73" s="17" t="s">
        <v>391</v>
      </c>
      <c r="G73" s="17" t="s">
        <v>287</v>
      </c>
      <c r="H73" s="17" t="s">
        <v>384</v>
      </c>
      <c r="I73" s="17" t="s">
        <v>3710</v>
      </c>
      <c r="J73" s="16"/>
      <c r="K73" s="16" t="str">
        <f t="shared" si="0"/>
        <v>ไม่ผ่าน</v>
      </c>
      <c r="L73" s="16" t="s">
        <v>28</v>
      </c>
    </row>
    <row r="74" spans="1:12" ht="18" customHeight="1">
      <c r="A74" s="16">
        <v>72</v>
      </c>
      <c r="B74" s="17">
        <v>6410633101</v>
      </c>
      <c r="C74" s="17" t="s">
        <v>22</v>
      </c>
      <c r="D74" s="17" t="s">
        <v>481</v>
      </c>
      <c r="E74" s="17" t="s">
        <v>482</v>
      </c>
      <c r="F74" s="17" t="s">
        <v>483</v>
      </c>
      <c r="G74" s="17" t="s">
        <v>287</v>
      </c>
      <c r="H74" s="17" t="s">
        <v>384</v>
      </c>
      <c r="I74" s="17" t="s">
        <v>3707</v>
      </c>
      <c r="J74" s="16"/>
      <c r="K74" s="16" t="str">
        <f t="shared" si="0"/>
        <v>ไม่ผ่าน</v>
      </c>
      <c r="L74" s="16" t="s">
        <v>28</v>
      </c>
    </row>
    <row r="75" spans="1:12" ht="18" customHeight="1">
      <c r="A75" s="16">
        <v>73</v>
      </c>
      <c r="B75" s="17">
        <v>6410633102</v>
      </c>
      <c r="C75" s="17" t="s">
        <v>22</v>
      </c>
      <c r="D75" s="17" t="s">
        <v>484</v>
      </c>
      <c r="E75" s="17" t="s">
        <v>485</v>
      </c>
      <c r="F75" s="17" t="s">
        <v>486</v>
      </c>
      <c r="G75" s="17" t="s">
        <v>287</v>
      </c>
      <c r="H75" s="17" t="s">
        <v>384</v>
      </c>
      <c r="I75" s="17" t="s">
        <v>3707</v>
      </c>
      <c r="J75" s="16"/>
      <c r="K75" s="16" t="str">
        <f t="shared" si="0"/>
        <v>ไม่ผ่าน</v>
      </c>
      <c r="L75" s="16" t="s">
        <v>28</v>
      </c>
    </row>
    <row r="76" spans="1:12" ht="18" customHeight="1">
      <c r="A76" s="16">
        <v>74</v>
      </c>
      <c r="B76" s="17">
        <v>6410633104</v>
      </c>
      <c r="C76" s="17" t="s">
        <v>22</v>
      </c>
      <c r="D76" s="17" t="s">
        <v>487</v>
      </c>
      <c r="E76" s="17" t="s">
        <v>488</v>
      </c>
      <c r="F76" s="17" t="s">
        <v>489</v>
      </c>
      <c r="G76" s="17" t="s">
        <v>287</v>
      </c>
      <c r="H76" s="17" t="s">
        <v>384</v>
      </c>
      <c r="I76" s="17" t="s">
        <v>3707</v>
      </c>
      <c r="J76" s="16"/>
      <c r="K76" s="16" t="str">
        <f t="shared" si="0"/>
        <v>ไม่ผ่าน</v>
      </c>
      <c r="L76" s="16" t="s">
        <v>28</v>
      </c>
    </row>
    <row r="77" spans="1:12" ht="18" customHeight="1">
      <c r="A77" s="16">
        <v>75</v>
      </c>
      <c r="B77" s="17">
        <v>6410633105</v>
      </c>
      <c r="C77" s="17" t="s">
        <v>22</v>
      </c>
      <c r="D77" s="17" t="s">
        <v>490</v>
      </c>
      <c r="E77" s="17" t="s">
        <v>491</v>
      </c>
      <c r="F77" s="17" t="s">
        <v>492</v>
      </c>
      <c r="G77" s="17" t="s">
        <v>287</v>
      </c>
      <c r="H77" s="17" t="s">
        <v>384</v>
      </c>
      <c r="I77" s="17" t="s">
        <v>3707</v>
      </c>
      <c r="J77" s="16"/>
      <c r="K77" s="16" t="str">
        <f t="shared" si="0"/>
        <v>ไม่ผ่าน</v>
      </c>
      <c r="L77" s="16" t="s">
        <v>28</v>
      </c>
    </row>
    <row r="78" spans="1:12" ht="18" customHeight="1">
      <c r="A78" s="16">
        <v>76</v>
      </c>
      <c r="B78" s="17">
        <v>6410633106</v>
      </c>
      <c r="C78" s="17" t="s">
        <v>22</v>
      </c>
      <c r="D78" s="17" t="s">
        <v>493</v>
      </c>
      <c r="E78" s="17" t="s">
        <v>494</v>
      </c>
      <c r="F78" s="17" t="s">
        <v>495</v>
      </c>
      <c r="G78" s="17" t="s">
        <v>287</v>
      </c>
      <c r="H78" s="17" t="s">
        <v>384</v>
      </c>
      <c r="I78" s="17" t="s">
        <v>3707</v>
      </c>
      <c r="J78" s="16"/>
      <c r="K78" s="16" t="str">
        <f t="shared" si="0"/>
        <v>ไม่ผ่าน</v>
      </c>
      <c r="L78" s="16" t="s">
        <v>28</v>
      </c>
    </row>
    <row r="79" spans="1:12" ht="18" customHeight="1">
      <c r="A79" s="16">
        <v>77</v>
      </c>
      <c r="B79" s="17">
        <v>6410633108</v>
      </c>
      <c r="C79" s="17" t="s">
        <v>22</v>
      </c>
      <c r="D79" s="17" t="s">
        <v>496</v>
      </c>
      <c r="E79" s="17" t="s">
        <v>497</v>
      </c>
      <c r="F79" s="17" t="s">
        <v>498</v>
      </c>
      <c r="G79" s="17" t="s">
        <v>287</v>
      </c>
      <c r="H79" s="17" t="s">
        <v>384</v>
      </c>
      <c r="I79" s="17" t="s">
        <v>3707</v>
      </c>
      <c r="J79" s="16"/>
      <c r="K79" s="16" t="str">
        <f t="shared" si="0"/>
        <v>ไม่ผ่าน</v>
      </c>
      <c r="L79" s="16" t="s">
        <v>28</v>
      </c>
    </row>
    <row r="80" spans="1:12" ht="18" customHeight="1">
      <c r="A80" s="16">
        <v>78</v>
      </c>
      <c r="B80" s="17">
        <v>6410633111</v>
      </c>
      <c r="C80" s="17" t="s">
        <v>22</v>
      </c>
      <c r="D80" s="17" t="s">
        <v>499</v>
      </c>
      <c r="E80" s="17" t="s">
        <v>500</v>
      </c>
      <c r="F80" s="17" t="s">
        <v>501</v>
      </c>
      <c r="G80" s="17" t="s">
        <v>287</v>
      </c>
      <c r="H80" s="17" t="s">
        <v>384</v>
      </c>
      <c r="I80" s="17" t="s">
        <v>3707</v>
      </c>
      <c r="J80" s="16"/>
      <c r="K80" s="16" t="str">
        <f t="shared" si="0"/>
        <v>ไม่ผ่าน</v>
      </c>
      <c r="L80" s="16" t="s">
        <v>28</v>
      </c>
    </row>
    <row r="81" spans="1:12" ht="18" customHeight="1">
      <c r="A81" s="16">
        <v>79</v>
      </c>
      <c r="B81" s="17">
        <v>6410633113</v>
      </c>
      <c r="C81" s="17" t="s">
        <v>29</v>
      </c>
      <c r="D81" s="17" t="s">
        <v>502</v>
      </c>
      <c r="E81" s="17" t="s">
        <v>503</v>
      </c>
      <c r="F81" s="17" t="s">
        <v>504</v>
      </c>
      <c r="G81" s="17" t="s">
        <v>287</v>
      </c>
      <c r="H81" s="17" t="s">
        <v>384</v>
      </c>
      <c r="I81" s="17" t="s">
        <v>3707</v>
      </c>
      <c r="J81" s="16"/>
      <c r="K81" s="16" t="str">
        <f t="shared" si="0"/>
        <v>ไม่ผ่าน</v>
      </c>
      <c r="L81" s="16" t="s">
        <v>28</v>
      </c>
    </row>
    <row r="82" spans="1:12" ht="18" customHeight="1">
      <c r="A82" s="16">
        <v>80</v>
      </c>
      <c r="B82" s="17">
        <v>6410633115</v>
      </c>
      <c r="C82" s="17" t="s">
        <v>29</v>
      </c>
      <c r="D82" s="17" t="s">
        <v>505</v>
      </c>
      <c r="E82" s="17" t="s">
        <v>506</v>
      </c>
      <c r="F82" s="17" t="s">
        <v>507</v>
      </c>
      <c r="G82" s="17" t="s">
        <v>287</v>
      </c>
      <c r="H82" s="17" t="s">
        <v>384</v>
      </c>
      <c r="I82" s="17" t="s">
        <v>3707</v>
      </c>
      <c r="J82" s="16"/>
      <c r="K82" s="16" t="str">
        <f t="shared" si="0"/>
        <v>ไม่ผ่าน</v>
      </c>
      <c r="L82" s="16" t="s">
        <v>28</v>
      </c>
    </row>
    <row r="83" spans="1:12" ht="18" customHeight="1">
      <c r="A83" s="16">
        <v>81</v>
      </c>
      <c r="B83" s="17">
        <v>6410633119</v>
      </c>
      <c r="C83" s="17" t="s">
        <v>29</v>
      </c>
      <c r="D83" s="17" t="s">
        <v>508</v>
      </c>
      <c r="E83" s="17" t="s">
        <v>509</v>
      </c>
      <c r="F83" s="17" t="s">
        <v>510</v>
      </c>
      <c r="G83" s="17" t="s">
        <v>287</v>
      </c>
      <c r="H83" s="17" t="s">
        <v>384</v>
      </c>
      <c r="I83" s="17" t="s">
        <v>3707</v>
      </c>
      <c r="J83" s="16"/>
      <c r="K83" s="16" t="str">
        <f t="shared" si="0"/>
        <v>ไม่ผ่าน</v>
      </c>
      <c r="L83" s="16" t="s">
        <v>28</v>
      </c>
    </row>
    <row r="84" spans="1:12" ht="18" customHeight="1">
      <c r="A84" s="16">
        <v>82</v>
      </c>
      <c r="B84" s="17">
        <v>6410633120</v>
      </c>
      <c r="C84" s="17" t="s">
        <v>29</v>
      </c>
      <c r="D84" s="17" t="s">
        <v>447</v>
      </c>
      <c r="E84" s="17" t="s">
        <v>511</v>
      </c>
      <c r="F84" s="17" t="s">
        <v>512</v>
      </c>
      <c r="G84" s="17" t="s">
        <v>287</v>
      </c>
      <c r="H84" s="17" t="s">
        <v>384</v>
      </c>
      <c r="I84" s="17" t="s">
        <v>3707</v>
      </c>
      <c r="J84" s="16"/>
      <c r="K84" s="16" t="str">
        <f t="shared" si="0"/>
        <v>ไม่ผ่าน</v>
      </c>
      <c r="L84" s="16" t="s">
        <v>28</v>
      </c>
    </row>
    <row r="85" spans="1:12" ht="18" customHeight="1">
      <c r="A85" s="16">
        <v>83</v>
      </c>
      <c r="B85" s="17">
        <v>6410633124</v>
      </c>
      <c r="C85" s="17" t="s">
        <v>29</v>
      </c>
      <c r="D85" s="17" t="s">
        <v>513</v>
      </c>
      <c r="E85" s="17" t="s">
        <v>514</v>
      </c>
      <c r="F85" s="17" t="s">
        <v>515</v>
      </c>
      <c r="G85" s="17" t="s">
        <v>287</v>
      </c>
      <c r="H85" s="17" t="s">
        <v>384</v>
      </c>
      <c r="I85" s="17" t="s">
        <v>3707</v>
      </c>
      <c r="J85" s="16"/>
      <c r="K85" s="16" t="str">
        <f t="shared" si="0"/>
        <v>ไม่ผ่าน</v>
      </c>
      <c r="L85" s="16" t="s">
        <v>28</v>
      </c>
    </row>
    <row r="86" spans="1:12" ht="18" customHeight="1">
      <c r="A86" s="16">
        <v>84</v>
      </c>
      <c r="B86" s="17">
        <v>6410633201</v>
      </c>
      <c r="C86" s="17" t="s">
        <v>22</v>
      </c>
      <c r="D86" s="17" t="s">
        <v>516</v>
      </c>
      <c r="E86" s="17" t="s">
        <v>517</v>
      </c>
      <c r="F86" s="17" t="s">
        <v>518</v>
      </c>
      <c r="G86" s="17" t="s">
        <v>287</v>
      </c>
      <c r="H86" s="17" t="s">
        <v>384</v>
      </c>
      <c r="I86" s="17" t="s">
        <v>3707</v>
      </c>
      <c r="J86" s="16"/>
      <c r="K86" s="16" t="str">
        <f t="shared" si="0"/>
        <v>ไม่ผ่าน</v>
      </c>
      <c r="L86" s="16" t="s">
        <v>28</v>
      </c>
    </row>
    <row r="87" spans="1:12" ht="18" customHeight="1">
      <c r="A87" s="16">
        <v>85</v>
      </c>
      <c r="B87" s="17">
        <v>6410633203</v>
      </c>
      <c r="C87" s="17" t="s">
        <v>22</v>
      </c>
      <c r="D87" s="17" t="s">
        <v>519</v>
      </c>
      <c r="E87" s="17" t="s">
        <v>520</v>
      </c>
      <c r="F87" s="17" t="s">
        <v>479</v>
      </c>
      <c r="G87" s="17" t="s">
        <v>287</v>
      </c>
      <c r="H87" s="17" t="s">
        <v>384</v>
      </c>
      <c r="I87" s="17" t="s">
        <v>3707</v>
      </c>
      <c r="J87" s="16"/>
      <c r="K87" s="16" t="str">
        <f t="shared" si="0"/>
        <v>ไม่ผ่าน</v>
      </c>
      <c r="L87" s="16" t="s">
        <v>28</v>
      </c>
    </row>
    <row r="88" spans="1:12" ht="18" customHeight="1">
      <c r="A88" s="16">
        <v>86</v>
      </c>
      <c r="B88" s="17">
        <v>6410633204</v>
      </c>
      <c r="C88" s="17" t="s">
        <v>22</v>
      </c>
      <c r="D88" s="17" t="s">
        <v>521</v>
      </c>
      <c r="E88" s="17" t="s">
        <v>522</v>
      </c>
      <c r="F88" s="17" t="s">
        <v>401</v>
      </c>
      <c r="G88" s="17" t="s">
        <v>287</v>
      </c>
      <c r="H88" s="17" t="s">
        <v>384</v>
      </c>
      <c r="I88" s="17" t="s">
        <v>3707</v>
      </c>
      <c r="J88" s="16"/>
      <c r="K88" s="16" t="str">
        <f t="shared" si="0"/>
        <v>ไม่ผ่าน</v>
      </c>
      <c r="L88" s="16" t="s">
        <v>28</v>
      </c>
    </row>
    <row r="89" spans="1:12" ht="18" customHeight="1">
      <c r="A89" s="16">
        <v>87</v>
      </c>
      <c r="B89" s="17">
        <v>6410633207</v>
      </c>
      <c r="C89" s="17" t="s">
        <v>22</v>
      </c>
      <c r="D89" s="17" t="s">
        <v>523</v>
      </c>
      <c r="E89" s="17" t="s">
        <v>524</v>
      </c>
      <c r="F89" s="17" t="s">
        <v>525</v>
      </c>
      <c r="G89" s="17" t="s">
        <v>287</v>
      </c>
      <c r="H89" s="17" t="s">
        <v>384</v>
      </c>
      <c r="I89" s="17" t="s">
        <v>3707</v>
      </c>
      <c r="J89" s="16"/>
      <c r="K89" s="16" t="str">
        <f t="shared" si="0"/>
        <v>ไม่ผ่าน</v>
      </c>
      <c r="L89" s="16" t="s">
        <v>28</v>
      </c>
    </row>
    <row r="90" spans="1:12" ht="18" customHeight="1">
      <c r="A90" s="16">
        <v>88</v>
      </c>
      <c r="B90" s="17">
        <v>6410633208</v>
      </c>
      <c r="C90" s="17" t="s">
        <v>22</v>
      </c>
      <c r="D90" s="17" t="s">
        <v>526</v>
      </c>
      <c r="E90" s="17" t="s">
        <v>527</v>
      </c>
      <c r="F90" s="17" t="s">
        <v>528</v>
      </c>
      <c r="G90" s="17" t="s">
        <v>287</v>
      </c>
      <c r="H90" s="17" t="s">
        <v>384</v>
      </c>
      <c r="I90" s="17" t="s">
        <v>3707</v>
      </c>
      <c r="J90" s="16"/>
      <c r="K90" s="16" t="str">
        <f t="shared" si="0"/>
        <v>ไม่ผ่าน</v>
      </c>
      <c r="L90" s="16" t="s">
        <v>28</v>
      </c>
    </row>
    <row r="91" spans="1:12" ht="18" customHeight="1">
      <c r="A91" s="16">
        <v>89</v>
      </c>
      <c r="B91" s="17">
        <v>6410633209</v>
      </c>
      <c r="C91" s="17" t="s">
        <v>22</v>
      </c>
      <c r="D91" s="17" t="s">
        <v>22</v>
      </c>
      <c r="E91" s="17" t="s">
        <v>529</v>
      </c>
      <c r="F91" s="17" t="s">
        <v>530</v>
      </c>
      <c r="G91" s="17" t="s">
        <v>287</v>
      </c>
      <c r="H91" s="17" t="s">
        <v>384</v>
      </c>
      <c r="I91" s="17" t="s">
        <v>3707</v>
      </c>
      <c r="J91" s="16"/>
      <c r="K91" s="16" t="str">
        <f t="shared" si="0"/>
        <v>ไม่ผ่าน</v>
      </c>
      <c r="L91" s="16" t="s">
        <v>28</v>
      </c>
    </row>
    <row r="92" spans="1:12" ht="18" customHeight="1">
      <c r="A92" s="16">
        <v>90</v>
      </c>
      <c r="B92" s="17">
        <v>6410633211</v>
      </c>
      <c r="C92" s="17" t="s">
        <v>22</v>
      </c>
      <c r="D92" s="17" t="s">
        <v>531</v>
      </c>
      <c r="E92" s="17" t="s">
        <v>532</v>
      </c>
      <c r="F92" s="17" t="s">
        <v>270</v>
      </c>
      <c r="G92" s="17" t="s">
        <v>287</v>
      </c>
      <c r="H92" s="17" t="s">
        <v>384</v>
      </c>
      <c r="I92" s="17" t="s">
        <v>3707</v>
      </c>
      <c r="J92" s="16"/>
      <c r="K92" s="16" t="str">
        <f t="shared" si="0"/>
        <v>ไม่ผ่าน</v>
      </c>
      <c r="L92" s="16" t="s">
        <v>28</v>
      </c>
    </row>
    <row r="93" spans="1:12" ht="18" customHeight="1">
      <c r="A93" s="16">
        <v>91</v>
      </c>
      <c r="B93" s="17">
        <v>6410633223</v>
      </c>
      <c r="C93" s="17" t="s">
        <v>29</v>
      </c>
      <c r="D93" s="17" t="s">
        <v>533</v>
      </c>
      <c r="E93" s="17" t="s">
        <v>534</v>
      </c>
      <c r="F93" s="17" t="s">
        <v>535</v>
      </c>
      <c r="G93" s="17" t="s">
        <v>287</v>
      </c>
      <c r="H93" s="17" t="s">
        <v>384</v>
      </c>
      <c r="I93" s="17" t="s">
        <v>3707</v>
      </c>
      <c r="J93" s="16"/>
      <c r="K93" s="16" t="str">
        <f t="shared" si="0"/>
        <v>ไม่ผ่าน</v>
      </c>
      <c r="L93" s="16" t="s">
        <v>28</v>
      </c>
    </row>
    <row r="94" spans="1:12" ht="18" customHeight="1">
      <c r="A94" s="16">
        <v>92</v>
      </c>
      <c r="B94" s="17">
        <v>6410633229</v>
      </c>
      <c r="C94" s="17" t="s">
        <v>29</v>
      </c>
      <c r="D94" s="17" t="s">
        <v>536</v>
      </c>
      <c r="E94" s="17" t="s">
        <v>537</v>
      </c>
      <c r="F94" s="17" t="s">
        <v>179</v>
      </c>
      <c r="G94" s="17" t="s">
        <v>287</v>
      </c>
      <c r="H94" s="17" t="s">
        <v>384</v>
      </c>
      <c r="I94" s="17" t="s">
        <v>3707</v>
      </c>
      <c r="J94" s="16"/>
      <c r="K94" s="16" t="str">
        <f t="shared" si="0"/>
        <v>ไม่ผ่าน</v>
      </c>
      <c r="L94" s="16" t="s">
        <v>28</v>
      </c>
    </row>
    <row r="95" spans="1:12" ht="18" customHeight="1">
      <c r="A95" s="16">
        <v>93</v>
      </c>
      <c r="B95" s="17">
        <v>6410633230</v>
      </c>
      <c r="C95" s="17" t="s">
        <v>29</v>
      </c>
      <c r="D95" s="17" t="s">
        <v>295</v>
      </c>
      <c r="E95" s="17" t="s">
        <v>538</v>
      </c>
      <c r="F95" s="17" t="s">
        <v>38</v>
      </c>
      <c r="G95" s="17" t="s">
        <v>287</v>
      </c>
      <c r="H95" s="17" t="s">
        <v>384</v>
      </c>
      <c r="I95" s="17" t="s">
        <v>3707</v>
      </c>
      <c r="J95" s="16"/>
      <c r="K95" s="16" t="str">
        <f t="shared" si="0"/>
        <v>ไม่ผ่าน</v>
      </c>
      <c r="L95" s="16" t="s">
        <v>28</v>
      </c>
    </row>
    <row r="96" spans="1:12" ht="18" customHeight="1">
      <c r="A96" s="16">
        <v>94</v>
      </c>
      <c r="B96" s="17">
        <v>6410633231</v>
      </c>
      <c r="C96" s="17" t="s">
        <v>29</v>
      </c>
      <c r="D96" s="17" t="s">
        <v>539</v>
      </c>
      <c r="E96" s="17" t="s">
        <v>540</v>
      </c>
      <c r="F96" s="17" t="s">
        <v>391</v>
      </c>
      <c r="G96" s="17" t="s">
        <v>287</v>
      </c>
      <c r="H96" s="17" t="s">
        <v>384</v>
      </c>
      <c r="I96" s="17" t="s">
        <v>3707</v>
      </c>
      <c r="J96" s="16"/>
      <c r="K96" s="16" t="str">
        <f t="shared" si="0"/>
        <v>ไม่ผ่าน</v>
      </c>
      <c r="L96" s="16" t="s">
        <v>28</v>
      </c>
    </row>
    <row r="97" spans="1:12" ht="18" customHeight="1">
      <c r="A97" s="16">
        <v>95</v>
      </c>
      <c r="B97" s="17">
        <v>6310633104</v>
      </c>
      <c r="C97" s="17" t="s">
        <v>22</v>
      </c>
      <c r="D97" s="17" t="s">
        <v>541</v>
      </c>
      <c r="E97" s="17" t="s">
        <v>542</v>
      </c>
      <c r="F97" s="17" t="s">
        <v>543</v>
      </c>
      <c r="G97" s="17" t="s">
        <v>287</v>
      </c>
      <c r="H97" s="17" t="s">
        <v>384</v>
      </c>
      <c r="I97" s="17" t="s">
        <v>3708</v>
      </c>
      <c r="J97" s="16"/>
      <c r="K97" s="16" t="str">
        <f t="shared" si="0"/>
        <v>ไม่ผ่าน</v>
      </c>
      <c r="L97" s="16" t="s">
        <v>28</v>
      </c>
    </row>
    <row r="98" spans="1:12" ht="18" customHeight="1">
      <c r="A98" s="16">
        <v>96</v>
      </c>
      <c r="B98" s="17">
        <v>6310633106</v>
      </c>
      <c r="C98" s="17" t="s">
        <v>22</v>
      </c>
      <c r="D98" s="17" t="s">
        <v>544</v>
      </c>
      <c r="E98" s="17" t="s">
        <v>545</v>
      </c>
      <c r="F98" s="17" t="s">
        <v>546</v>
      </c>
      <c r="G98" s="17" t="s">
        <v>287</v>
      </c>
      <c r="H98" s="17" t="s">
        <v>384</v>
      </c>
      <c r="I98" s="17" t="s">
        <v>3708</v>
      </c>
      <c r="J98" s="16"/>
      <c r="K98" s="16" t="str">
        <f t="shared" si="0"/>
        <v>ไม่ผ่าน</v>
      </c>
      <c r="L98" s="16" t="s">
        <v>28</v>
      </c>
    </row>
    <row r="99" spans="1:12" ht="18" customHeight="1">
      <c r="A99" s="16">
        <v>97</v>
      </c>
      <c r="B99" s="17">
        <v>6310633110</v>
      </c>
      <c r="C99" s="17" t="s">
        <v>22</v>
      </c>
      <c r="D99" s="17" t="s">
        <v>547</v>
      </c>
      <c r="E99" s="17" t="s">
        <v>548</v>
      </c>
      <c r="F99" s="17" t="s">
        <v>549</v>
      </c>
      <c r="G99" s="17" t="s">
        <v>287</v>
      </c>
      <c r="H99" s="17" t="s">
        <v>384</v>
      </c>
      <c r="I99" s="17" t="s">
        <v>3708</v>
      </c>
      <c r="J99" s="16"/>
      <c r="K99" s="16" t="str">
        <f t="shared" si="0"/>
        <v>ไม่ผ่าน</v>
      </c>
      <c r="L99" s="16" t="s">
        <v>28</v>
      </c>
    </row>
    <row r="100" spans="1:12" ht="18" customHeight="1">
      <c r="A100" s="16">
        <v>98</v>
      </c>
      <c r="B100" s="17">
        <v>6310633113</v>
      </c>
      <c r="C100" s="17" t="s">
        <v>29</v>
      </c>
      <c r="D100" s="17" t="s">
        <v>550</v>
      </c>
      <c r="E100" s="17" t="s">
        <v>551</v>
      </c>
      <c r="F100" s="17" t="s">
        <v>552</v>
      </c>
      <c r="G100" s="17" t="s">
        <v>287</v>
      </c>
      <c r="H100" s="17" t="s">
        <v>384</v>
      </c>
      <c r="I100" s="17" t="s">
        <v>3708</v>
      </c>
      <c r="J100" s="16"/>
      <c r="K100" s="16" t="str">
        <f t="shared" si="0"/>
        <v>ไม่ผ่าน</v>
      </c>
      <c r="L100" s="16" t="s">
        <v>28</v>
      </c>
    </row>
    <row r="101" spans="1:12" ht="18" customHeight="1">
      <c r="A101" s="16">
        <v>99</v>
      </c>
      <c r="B101" s="17">
        <v>6310633114</v>
      </c>
      <c r="C101" s="17" t="s">
        <v>29</v>
      </c>
      <c r="D101" s="17" t="s">
        <v>439</v>
      </c>
      <c r="E101" s="17" t="s">
        <v>553</v>
      </c>
      <c r="F101" s="17" t="s">
        <v>554</v>
      </c>
      <c r="G101" s="17" t="s">
        <v>287</v>
      </c>
      <c r="H101" s="17" t="s">
        <v>384</v>
      </c>
      <c r="I101" s="17" t="s">
        <v>3708</v>
      </c>
      <c r="J101" s="16"/>
      <c r="K101" s="16" t="str">
        <f t="shared" si="0"/>
        <v>ไม่ผ่าน</v>
      </c>
      <c r="L101" s="16" t="s">
        <v>28</v>
      </c>
    </row>
    <row r="102" spans="1:12" ht="18" customHeight="1">
      <c r="A102" s="16">
        <v>100</v>
      </c>
      <c r="B102" s="17">
        <v>6310633120</v>
      </c>
      <c r="C102" s="17" t="s">
        <v>29</v>
      </c>
      <c r="D102" s="17" t="s">
        <v>555</v>
      </c>
      <c r="E102" s="17" t="s">
        <v>85</v>
      </c>
      <c r="F102" s="17" t="s">
        <v>556</v>
      </c>
      <c r="G102" s="17" t="s">
        <v>287</v>
      </c>
      <c r="H102" s="17" t="s">
        <v>384</v>
      </c>
      <c r="I102" s="17" t="s">
        <v>3708</v>
      </c>
      <c r="J102" s="16"/>
      <c r="K102" s="16" t="str">
        <f t="shared" si="0"/>
        <v>ไม่ผ่าน</v>
      </c>
      <c r="L102" s="16" t="s">
        <v>28</v>
      </c>
    </row>
    <row r="103" spans="1:12" ht="18" customHeight="1">
      <c r="A103" s="16">
        <v>101</v>
      </c>
      <c r="B103" s="17">
        <v>6310633122</v>
      </c>
      <c r="C103" s="17" t="s">
        <v>29</v>
      </c>
      <c r="D103" s="17" t="s">
        <v>557</v>
      </c>
      <c r="E103" s="17" t="s">
        <v>558</v>
      </c>
      <c r="F103" s="17" t="s">
        <v>559</v>
      </c>
      <c r="G103" s="17" t="s">
        <v>287</v>
      </c>
      <c r="H103" s="17" t="s">
        <v>384</v>
      </c>
      <c r="I103" s="17" t="s">
        <v>3708</v>
      </c>
      <c r="J103" s="16"/>
      <c r="K103" s="16" t="str">
        <f t="shared" si="0"/>
        <v>ไม่ผ่าน</v>
      </c>
      <c r="L103" s="16" t="s">
        <v>28</v>
      </c>
    </row>
    <row r="104" spans="1:12" ht="18" customHeight="1">
      <c r="A104" s="16">
        <v>102</v>
      </c>
      <c r="B104" s="17">
        <v>6310633123</v>
      </c>
      <c r="C104" s="17" t="s">
        <v>29</v>
      </c>
      <c r="D104" s="17" t="s">
        <v>560</v>
      </c>
      <c r="E104" s="17" t="s">
        <v>561</v>
      </c>
      <c r="F104" s="17" t="s">
        <v>562</v>
      </c>
      <c r="G104" s="17" t="s">
        <v>287</v>
      </c>
      <c r="H104" s="17" t="s">
        <v>384</v>
      </c>
      <c r="I104" s="17" t="s">
        <v>3708</v>
      </c>
      <c r="J104" s="16"/>
      <c r="K104" s="16" t="str">
        <f t="shared" si="0"/>
        <v>ไม่ผ่าน</v>
      </c>
      <c r="L104" s="16" t="s">
        <v>28</v>
      </c>
    </row>
    <row r="105" spans="1:12" ht="18" customHeight="1">
      <c r="A105" s="16">
        <v>103</v>
      </c>
      <c r="B105" s="17">
        <v>6310633124</v>
      </c>
      <c r="C105" s="17" t="s">
        <v>29</v>
      </c>
      <c r="D105" s="17" t="s">
        <v>563</v>
      </c>
      <c r="E105" s="17" t="s">
        <v>564</v>
      </c>
      <c r="F105" s="17" t="s">
        <v>565</v>
      </c>
      <c r="G105" s="17" t="s">
        <v>287</v>
      </c>
      <c r="H105" s="17" t="s">
        <v>384</v>
      </c>
      <c r="I105" s="17" t="s">
        <v>3708</v>
      </c>
      <c r="J105" s="16"/>
      <c r="K105" s="16" t="str">
        <f t="shared" si="0"/>
        <v>ไม่ผ่าน</v>
      </c>
      <c r="L105" s="16" t="s">
        <v>28</v>
      </c>
    </row>
    <row r="106" spans="1:12" ht="18" customHeight="1">
      <c r="A106" s="16">
        <v>104</v>
      </c>
      <c r="B106" s="17">
        <v>6310633126</v>
      </c>
      <c r="C106" s="17" t="s">
        <v>29</v>
      </c>
      <c r="D106" s="17" t="s">
        <v>566</v>
      </c>
      <c r="E106" s="17" t="s">
        <v>567</v>
      </c>
      <c r="F106" s="17" t="s">
        <v>568</v>
      </c>
      <c r="G106" s="17" t="s">
        <v>287</v>
      </c>
      <c r="H106" s="17" t="s">
        <v>384</v>
      </c>
      <c r="I106" s="17" t="s">
        <v>3708</v>
      </c>
      <c r="J106" s="16"/>
      <c r="K106" s="16" t="str">
        <f t="shared" si="0"/>
        <v>ไม่ผ่าน</v>
      </c>
      <c r="L106" s="16" t="s">
        <v>28</v>
      </c>
    </row>
    <row r="107" spans="1:12" ht="18" customHeight="1">
      <c r="A107" s="16">
        <v>105</v>
      </c>
      <c r="B107" s="17">
        <v>6310633128</v>
      </c>
      <c r="C107" s="17" t="s">
        <v>29</v>
      </c>
      <c r="D107" s="17" t="s">
        <v>569</v>
      </c>
      <c r="E107" s="17" t="s">
        <v>472</v>
      </c>
      <c r="F107" s="17" t="s">
        <v>570</v>
      </c>
      <c r="G107" s="17" t="s">
        <v>287</v>
      </c>
      <c r="H107" s="17" t="s">
        <v>384</v>
      </c>
      <c r="I107" s="17" t="s">
        <v>3708</v>
      </c>
      <c r="J107" s="16"/>
      <c r="K107" s="16" t="str">
        <f t="shared" si="0"/>
        <v>ไม่ผ่าน</v>
      </c>
      <c r="L107" s="16" t="s">
        <v>28</v>
      </c>
    </row>
    <row r="108" spans="1:12" ht="18" customHeight="1">
      <c r="A108" s="16">
        <v>106</v>
      </c>
      <c r="B108" s="17">
        <v>6310633129</v>
      </c>
      <c r="C108" s="17" t="s">
        <v>29</v>
      </c>
      <c r="D108" s="17" t="s">
        <v>205</v>
      </c>
      <c r="E108" s="17" t="s">
        <v>571</v>
      </c>
      <c r="F108" s="17" t="s">
        <v>572</v>
      </c>
      <c r="G108" s="17" t="s">
        <v>287</v>
      </c>
      <c r="H108" s="17" t="s">
        <v>384</v>
      </c>
      <c r="I108" s="17" t="s">
        <v>3708</v>
      </c>
      <c r="J108" s="16"/>
      <c r="K108" s="16" t="str">
        <f t="shared" si="0"/>
        <v>ไม่ผ่าน</v>
      </c>
      <c r="L108" s="16" t="s">
        <v>28</v>
      </c>
    </row>
    <row r="109" spans="1:12" ht="18" customHeight="1">
      <c r="A109" s="16">
        <v>107</v>
      </c>
      <c r="B109" s="17">
        <v>6310633131</v>
      </c>
      <c r="C109" s="17" t="s">
        <v>29</v>
      </c>
      <c r="D109" s="17" t="s">
        <v>573</v>
      </c>
      <c r="E109" s="17" t="s">
        <v>574</v>
      </c>
      <c r="F109" s="17" t="s">
        <v>575</v>
      </c>
      <c r="G109" s="17" t="s">
        <v>287</v>
      </c>
      <c r="H109" s="17" t="s">
        <v>384</v>
      </c>
      <c r="I109" s="17" t="s">
        <v>3708</v>
      </c>
      <c r="J109" s="16"/>
      <c r="K109" s="16" t="str">
        <f t="shared" si="0"/>
        <v>ไม่ผ่าน</v>
      </c>
      <c r="L109" s="16" t="s">
        <v>28</v>
      </c>
    </row>
    <row r="110" spans="1:12" ht="18" customHeight="1">
      <c r="A110" s="16">
        <v>108</v>
      </c>
      <c r="B110" s="17">
        <v>6310633132</v>
      </c>
      <c r="C110" s="17" t="s">
        <v>29</v>
      </c>
      <c r="D110" s="17" t="s">
        <v>576</v>
      </c>
      <c r="E110" s="17" t="s">
        <v>577</v>
      </c>
      <c r="F110" s="17" t="s">
        <v>65</v>
      </c>
      <c r="G110" s="17" t="s">
        <v>287</v>
      </c>
      <c r="H110" s="17" t="s">
        <v>384</v>
      </c>
      <c r="I110" s="17" t="s">
        <v>3708</v>
      </c>
      <c r="J110" s="16"/>
      <c r="K110" s="16" t="str">
        <f t="shared" si="0"/>
        <v>ไม่ผ่าน</v>
      </c>
      <c r="L110" s="16" t="s">
        <v>28</v>
      </c>
    </row>
    <row r="111" spans="1:12" ht="18" customHeight="1">
      <c r="A111" s="16">
        <v>109</v>
      </c>
      <c r="B111" s="17">
        <v>6310633133</v>
      </c>
      <c r="C111" s="17" t="s">
        <v>29</v>
      </c>
      <c r="D111" s="17" t="s">
        <v>578</v>
      </c>
      <c r="E111" s="17" t="s">
        <v>579</v>
      </c>
      <c r="F111" s="17" t="s">
        <v>164</v>
      </c>
      <c r="G111" s="17" t="s">
        <v>287</v>
      </c>
      <c r="H111" s="17" t="s">
        <v>384</v>
      </c>
      <c r="I111" s="17" t="s">
        <v>3708</v>
      </c>
      <c r="J111" s="16"/>
      <c r="K111" s="16" t="str">
        <f t="shared" si="0"/>
        <v>ไม่ผ่าน</v>
      </c>
      <c r="L111" s="16" t="s">
        <v>28</v>
      </c>
    </row>
    <row r="112" spans="1:12" ht="18" customHeight="1">
      <c r="A112" s="16">
        <v>110</v>
      </c>
      <c r="B112" s="17">
        <v>6310633134</v>
      </c>
      <c r="C112" s="17" t="s">
        <v>29</v>
      </c>
      <c r="D112" s="17" t="s">
        <v>580</v>
      </c>
      <c r="E112" s="17" t="s">
        <v>581</v>
      </c>
      <c r="F112" s="17" t="s">
        <v>473</v>
      </c>
      <c r="G112" s="17" t="s">
        <v>287</v>
      </c>
      <c r="H112" s="17" t="s">
        <v>384</v>
      </c>
      <c r="I112" s="17" t="s">
        <v>3708</v>
      </c>
      <c r="J112" s="16"/>
      <c r="K112" s="16" t="str">
        <f t="shared" si="0"/>
        <v>ไม่ผ่าน</v>
      </c>
      <c r="L112" s="16" t="s">
        <v>28</v>
      </c>
    </row>
    <row r="113" spans="1:12" ht="18" customHeight="1">
      <c r="A113" s="16">
        <v>111</v>
      </c>
      <c r="B113" s="17">
        <v>6310633201</v>
      </c>
      <c r="C113" s="17" t="s">
        <v>22</v>
      </c>
      <c r="D113" s="17" t="s">
        <v>582</v>
      </c>
      <c r="E113" s="17" t="s">
        <v>583</v>
      </c>
      <c r="F113" s="17" t="s">
        <v>584</v>
      </c>
      <c r="G113" s="17" t="s">
        <v>287</v>
      </c>
      <c r="H113" s="17" t="s">
        <v>384</v>
      </c>
      <c r="I113" s="17" t="s">
        <v>3708</v>
      </c>
      <c r="J113" s="16"/>
      <c r="K113" s="16" t="str">
        <f t="shared" si="0"/>
        <v>ไม่ผ่าน</v>
      </c>
      <c r="L113" s="16" t="s">
        <v>28</v>
      </c>
    </row>
    <row r="114" spans="1:12" ht="18" customHeight="1">
      <c r="A114" s="16">
        <v>112</v>
      </c>
      <c r="B114" s="17">
        <v>6310633205</v>
      </c>
      <c r="C114" s="17" t="s">
        <v>22</v>
      </c>
      <c r="D114" s="17" t="s">
        <v>585</v>
      </c>
      <c r="E114" s="17" t="s">
        <v>586</v>
      </c>
      <c r="F114" s="17" t="s">
        <v>546</v>
      </c>
      <c r="G114" s="17" t="s">
        <v>287</v>
      </c>
      <c r="H114" s="17" t="s">
        <v>384</v>
      </c>
      <c r="I114" s="17" t="s">
        <v>3708</v>
      </c>
      <c r="J114" s="16"/>
      <c r="K114" s="16" t="str">
        <f t="shared" si="0"/>
        <v>ไม่ผ่าน</v>
      </c>
      <c r="L114" s="16" t="s">
        <v>28</v>
      </c>
    </row>
    <row r="115" spans="1:12" ht="18" customHeight="1">
      <c r="A115" s="16">
        <v>113</v>
      </c>
      <c r="B115" s="17">
        <v>6310633206</v>
      </c>
      <c r="C115" s="17" t="s">
        <v>22</v>
      </c>
      <c r="D115" s="17" t="s">
        <v>432</v>
      </c>
      <c r="E115" s="17" t="s">
        <v>587</v>
      </c>
      <c r="F115" s="17" t="s">
        <v>588</v>
      </c>
      <c r="G115" s="17" t="s">
        <v>287</v>
      </c>
      <c r="H115" s="17" t="s">
        <v>384</v>
      </c>
      <c r="I115" s="17" t="s">
        <v>3708</v>
      </c>
      <c r="J115" s="16"/>
      <c r="K115" s="16" t="str">
        <f t="shared" si="0"/>
        <v>ไม่ผ่าน</v>
      </c>
      <c r="L115" s="16" t="s">
        <v>28</v>
      </c>
    </row>
    <row r="116" spans="1:12" ht="18" customHeight="1">
      <c r="A116" s="16">
        <v>114</v>
      </c>
      <c r="B116" s="17">
        <v>6310633210</v>
      </c>
      <c r="C116" s="17" t="s">
        <v>22</v>
      </c>
      <c r="D116" s="17" t="s">
        <v>589</v>
      </c>
      <c r="E116" s="17" t="s">
        <v>590</v>
      </c>
      <c r="F116" s="17" t="s">
        <v>591</v>
      </c>
      <c r="G116" s="17" t="s">
        <v>287</v>
      </c>
      <c r="H116" s="17" t="s">
        <v>384</v>
      </c>
      <c r="I116" s="17" t="s">
        <v>3708</v>
      </c>
      <c r="J116" s="16"/>
      <c r="K116" s="16" t="str">
        <f t="shared" si="0"/>
        <v>ไม่ผ่าน</v>
      </c>
      <c r="L116" s="16" t="s">
        <v>28</v>
      </c>
    </row>
    <row r="117" spans="1:12" ht="18" customHeight="1">
      <c r="A117" s="16">
        <v>115</v>
      </c>
      <c r="B117" s="17">
        <v>6310633215</v>
      </c>
      <c r="C117" s="17" t="s">
        <v>29</v>
      </c>
      <c r="D117" s="17" t="s">
        <v>592</v>
      </c>
      <c r="E117" s="17" t="s">
        <v>593</v>
      </c>
      <c r="F117" s="17" t="s">
        <v>594</v>
      </c>
      <c r="G117" s="17" t="s">
        <v>287</v>
      </c>
      <c r="H117" s="17" t="s">
        <v>384</v>
      </c>
      <c r="I117" s="17" t="s">
        <v>3708</v>
      </c>
      <c r="J117" s="16"/>
      <c r="K117" s="16" t="str">
        <f t="shared" si="0"/>
        <v>ไม่ผ่าน</v>
      </c>
      <c r="L117" s="16" t="s">
        <v>28</v>
      </c>
    </row>
    <row r="118" spans="1:12" ht="18" customHeight="1">
      <c r="A118" s="16">
        <v>116</v>
      </c>
      <c r="B118" s="17">
        <v>6310633217</v>
      </c>
      <c r="C118" s="17" t="s">
        <v>29</v>
      </c>
      <c r="D118" s="17" t="s">
        <v>177</v>
      </c>
      <c r="E118" s="17" t="s">
        <v>595</v>
      </c>
      <c r="F118" s="17" t="s">
        <v>596</v>
      </c>
      <c r="G118" s="17" t="s">
        <v>287</v>
      </c>
      <c r="H118" s="17" t="s">
        <v>384</v>
      </c>
      <c r="I118" s="17" t="s">
        <v>3708</v>
      </c>
      <c r="J118" s="16"/>
      <c r="K118" s="16" t="str">
        <f t="shared" si="0"/>
        <v>ไม่ผ่าน</v>
      </c>
      <c r="L118" s="16" t="s">
        <v>28</v>
      </c>
    </row>
    <row r="119" spans="1:12" ht="18" customHeight="1">
      <c r="A119" s="16">
        <v>117</v>
      </c>
      <c r="B119" s="17">
        <v>6310633223</v>
      </c>
      <c r="C119" s="17" t="s">
        <v>29</v>
      </c>
      <c r="D119" s="17" t="s">
        <v>597</v>
      </c>
      <c r="E119" s="17" t="s">
        <v>598</v>
      </c>
      <c r="F119" s="17" t="s">
        <v>599</v>
      </c>
      <c r="G119" s="17" t="s">
        <v>287</v>
      </c>
      <c r="H119" s="17" t="s">
        <v>384</v>
      </c>
      <c r="I119" s="17" t="s">
        <v>3708</v>
      </c>
      <c r="J119" s="16"/>
      <c r="K119" s="16" t="str">
        <f t="shared" si="0"/>
        <v>ไม่ผ่าน</v>
      </c>
      <c r="L119" s="16" t="s">
        <v>28</v>
      </c>
    </row>
    <row r="120" spans="1:12" ht="18" customHeight="1">
      <c r="A120" s="16">
        <v>118</v>
      </c>
      <c r="B120" s="17">
        <v>6310633229</v>
      </c>
      <c r="C120" s="17" t="s">
        <v>29</v>
      </c>
      <c r="D120" s="17" t="s">
        <v>600</v>
      </c>
      <c r="E120" s="17" t="s">
        <v>601</v>
      </c>
      <c r="F120" s="17" t="s">
        <v>602</v>
      </c>
      <c r="G120" s="17" t="s">
        <v>287</v>
      </c>
      <c r="H120" s="17" t="s">
        <v>384</v>
      </c>
      <c r="I120" s="17" t="s">
        <v>3708</v>
      </c>
      <c r="J120" s="16"/>
      <c r="K120" s="16" t="str">
        <f t="shared" si="0"/>
        <v>ไม่ผ่าน</v>
      </c>
      <c r="L120" s="16" t="s">
        <v>28</v>
      </c>
    </row>
    <row r="121" spans="1:12" ht="18" customHeight="1">
      <c r="A121" s="16">
        <v>119</v>
      </c>
      <c r="B121" s="17">
        <v>6310633230</v>
      </c>
      <c r="C121" s="17" t="s">
        <v>29</v>
      </c>
      <c r="D121" s="17" t="s">
        <v>603</v>
      </c>
      <c r="E121" s="17" t="s">
        <v>604</v>
      </c>
      <c r="F121" s="17" t="s">
        <v>605</v>
      </c>
      <c r="G121" s="17" t="s">
        <v>287</v>
      </c>
      <c r="H121" s="17" t="s">
        <v>384</v>
      </c>
      <c r="I121" s="17" t="s">
        <v>3708</v>
      </c>
      <c r="J121" s="16"/>
      <c r="K121" s="16" t="str">
        <f t="shared" si="0"/>
        <v>ไม่ผ่าน</v>
      </c>
      <c r="L121" s="16" t="s">
        <v>28</v>
      </c>
    </row>
    <row r="122" spans="1:12" ht="18" customHeight="1">
      <c r="A122" s="16">
        <v>120</v>
      </c>
      <c r="B122" s="17">
        <v>6310633232</v>
      </c>
      <c r="C122" s="17" t="s">
        <v>29</v>
      </c>
      <c r="D122" s="17" t="s">
        <v>606</v>
      </c>
      <c r="E122" s="17" t="s">
        <v>607</v>
      </c>
      <c r="F122" s="17" t="s">
        <v>608</v>
      </c>
      <c r="G122" s="17" t="s">
        <v>287</v>
      </c>
      <c r="H122" s="17" t="s">
        <v>384</v>
      </c>
      <c r="I122" s="17" t="s">
        <v>3708</v>
      </c>
      <c r="J122" s="16"/>
      <c r="K122" s="16" t="str">
        <f t="shared" si="0"/>
        <v>ไม่ผ่าน</v>
      </c>
      <c r="L122" s="16" t="s">
        <v>28</v>
      </c>
    </row>
    <row r="123" spans="1:12" ht="18" customHeight="1">
      <c r="A123" s="16">
        <v>121</v>
      </c>
      <c r="B123" s="17">
        <v>6610392101</v>
      </c>
      <c r="C123" s="17" t="s">
        <v>22</v>
      </c>
      <c r="D123" s="17" t="s">
        <v>481</v>
      </c>
      <c r="E123" s="17" t="s">
        <v>192</v>
      </c>
      <c r="F123" s="17" t="s">
        <v>609</v>
      </c>
      <c r="G123" s="17" t="s">
        <v>287</v>
      </c>
      <c r="H123" s="17" t="s">
        <v>610</v>
      </c>
      <c r="I123" s="17" t="s">
        <v>3709</v>
      </c>
      <c r="J123" s="16"/>
      <c r="K123" s="16" t="str">
        <f t="shared" si="0"/>
        <v>ไม่ผ่าน</v>
      </c>
      <c r="L123" s="16" t="s">
        <v>28</v>
      </c>
    </row>
    <row r="124" spans="1:12" ht="18" customHeight="1">
      <c r="A124" s="16">
        <v>122</v>
      </c>
      <c r="B124" s="17">
        <v>6610392104</v>
      </c>
      <c r="C124" s="17" t="s">
        <v>22</v>
      </c>
      <c r="D124" s="17" t="s">
        <v>611</v>
      </c>
      <c r="E124" s="17" t="s">
        <v>612</v>
      </c>
      <c r="F124" s="17" t="s">
        <v>613</v>
      </c>
      <c r="G124" s="17" t="s">
        <v>287</v>
      </c>
      <c r="H124" s="17" t="s">
        <v>610</v>
      </c>
      <c r="I124" s="17" t="s">
        <v>3709</v>
      </c>
      <c r="J124" s="16"/>
      <c r="K124" s="16" t="str">
        <f t="shared" si="0"/>
        <v>ไม่ผ่าน</v>
      </c>
      <c r="L124" s="16" t="s">
        <v>28</v>
      </c>
    </row>
    <row r="125" spans="1:12" ht="18" customHeight="1">
      <c r="A125" s="16">
        <v>123</v>
      </c>
      <c r="B125" s="17">
        <v>6610392109</v>
      </c>
      <c r="C125" s="17" t="s">
        <v>22</v>
      </c>
      <c r="D125" s="17" t="s">
        <v>614</v>
      </c>
      <c r="E125" s="17" t="s">
        <v>615</v>
      </c>
      <c r="F125" s="17" t="s">
        <v>616</v>
      </c>
      <c r="G125" s="17" t="s">
        <v>287</v>
      </c>
      <c r="H125" s="17" t="s">
        <v>610</v>
      </c>
      <c r="I125" s="17" t="s">
        <v>3709</v>
      </c>
      <c r="J125" s="16"/>
      <c r="K125" s="16" t="str">
        <f t="shared" si="0"/>
        <v>ไม่ผ่าน</v>
      </c>
      <c r="L125" s="16" t="s">
        <v>28</v>
      </c>
    </row>
    <row r="126" spans="1:12" ht="18" customHeight="1">
      <c r="A126" s="16">
        <v>124</v>
      </c>
      <c r="B126" s="17">
        <v>6610392110</v>
      </c>
      <c r="C126" s="17" t="s">
        <v>22</v>
      </c>
      <c r="D126" s="17" t="s">
        <v>432</v>
      </c>
      <c r="E126" s="17" t="s">
        <v>617</v>
      </c>
      <c r="F126" s="17" t="s">
        <v>618</v>
      </c>
      <c r="G126" s="17" t="s">
        <v>287</v>
      </c>
      <c r="H126" s="17" t="s">
        <v>610</v>
      </c>
      <c r="I126" s="17" t="s">
        <v>3709</v>
      </c>
      <c r="J126" s="16"/>
      <c r="K126" s="16" t="str">
        <f t="shared" si="0"/>
        <v>ไม่ผ่าน</v>
      </c>
      <c r="L126" s="16" t="s">
        <v>28</v>
      </c>
    </row>
    <row r="127" spans="1:12" ht="18" customHeight="1">
      <c r="A127" s="16">
        <v>125</v>
      </c>
      <c r="B127" s="17">
        <v>6610392115</v>
      </c>
      <c r="C127" s="17" t="s">
        <v>29</v>
      </c>
      <c r="D127" s="17" t="s">
        <v>619</v>
      </c>
      <c r="E127" s="17" t="s">
        <v>620</v>
      </c>
      <c r="F127" s="17" t="s">
        <v>621</v>
      </c>
      <c r="G127" s="17" t="s">
        <v>287</v>
      </c>
      <c r="H127" s="17" t="s">
        <v>610</v>
      </c>
      <c r="I127" s="17" t="s">
        <v>3709</v>
      </c>
      <c r="J127" s="16"/>
      <c r="K127" s="16" t="str">
        <f t="shared" si="0"/>
        <v>ไม่ผ่าน</v>
      </c>
      <c r="L127" s="16" t="s">
        <v>28</v>
      </c>
    </row>
    <row r="128" spans="1:12" ht="18" customHeight="1">
      <c r="A128" s="16">
        <v>126</v>
      </c>
      <c r="B128" s="17">
        <v>6610392121</v>
      </c>
      <c r="C128" s="17" t="s">
        <v>29</v>
      </c>
      <c r="D128" s="17" t="s">
        <v>622</v>
      </c>
      <c r="E128" s="17" t="s">
        <v>393</v>
      </c>
      <c r="F128" s="17" t="s">
        <v>623</v>
      </c>
      <c r="G128" s="17" t="s">
        <v>287</v>
      </c>
      <c r="H128" s="17" t="s">
        <v>610</v>
      </c>
      <c r="I128" s="17" t="s">
        <v>3709</v>
      </c>
      <c r="J128" s="16"/>
      <c r="K128" s="16" t="str">
        <f t="shared" si="0"/>
        <v>ไม่ผ่าน</v>
      </c>
      <c r="L128" s="16" t="s">
        <v>28</v>
      </c>
    </row>
    <row r="129" spans="1:12" ht="18" customHeight="1">
      <c r="A129" s="16">
        <v>127</v>
      </c>
      <c r="B129" s="17">
        <v>6610392126</v>
      </c>
      <c r="C129" s="17" t="s">
        <v>29</v>
      </c>
      <c r="D129" s="17" t="s">
        <v>624</v>
      </c>
      <c r="E129" s="17" t="s">
        <v>625</v>
      </c>
      <c r="F129" s="17" t="s">
        <v>626</v>
      </c>
      <c r="G129" s="17" t="s">
        <v>287</v>
      </c>
      <c r="H129" s="17" t="s">
        <v>610</v>
      </c>
      <c r="I129" s="17" t="s">
        <v>3709</v>
      </c>
      <c r="J129" s="16"/>
      <c r="K129" s="16" t="str">
        <f t="shared" si="0"/>
        <v>ไม่ผ่าน</v>
      </c>
      <c r="L129" s="16" t="s">
        <v>28</v>
      </c>
    </row>
    <row r="130" spans="1:12" ht="18" customHeight="1">
      <c r="A130" s="16">
        <v>128</v>
      </c>
      <c r="B130" s="17">
        <v>6610392203</v>
      </c>
      <c r="C130" s="17" t="s">
        <v>22</v>
      </c>
      <c r="D130" s="17" t="s">
        <v>627</v>
      </c>
      <c r="E130" s="17" t="s">
        <v>628</v>
      </c>
      <c r="F130" s="17" t="s">
        <v>629</v>
      </c>
      <c r="G130" s="17" t="s">
        <v>287</v>
      </c>
      <c r="H130" s="17" t="s">
        <v>610</v>
      </c>
      <c r="I130" s="17" t="s">
        <v>3709</v>
      </c>
      <c r="J130" s="16"/>
      <c r="K130" s="16" t="str">
        <f t="shared" si="0"/>
        <v>ไม่ผ่าน</v>
      </c>
      <c r="L130" s="16" t="s">
        <v>28</v>
      </c>
    </row>
    <row r="131" spans="1:12" ht="18" customHeight="1">
      <c r="A131" s="16">
        <v>129</v>
      </c>
      <c r="B131" s="17">
        <v>6610392212</v>
      </c>
      <c r="C131" s="17" t="s">
        <v>22</v>
      </c>
      <c r="D131" s="17" t="s">
        <v>630</v>
      </c>
      <c r="E131" s="17" t="s">
        <v>631</v>
      </c>
      <c r="F131" s="17" t="s">
        <v>486</v>
      </c>
      <c r="G131" s="17" t="s">
        <v>287</v>
      </c>
      <c r="H131" s="17" t="s">
        <v>610</v>
      </c>
      <c r="I131" s="17" t="s">
        <v>3709</v>
      </c>
      <c r="J131" s="16"/>
      <c r="K131" s="16" t="str">
        <f t="shared" si="0"/>
        <v>ไม่ผ่าน</v>
      </c>
      <c r="L131" s="16" t="s">
        <v>28</v>
      </c>
    </row>
    <row r="132" spans="1:12" ht="18" customHeight="1">
      <c r="A132" s="16">
        <v>130</v>
      </c>
      <c r="B132" s="17">
        <v>6610392213</v>
      </c>
      <c r="C132" s="17" t="s">
        <v>22</v>
      </c>
      <c r="D132" s="17" t="s">
        <v>632</v>
      </c>
      <c r="E132" s="17" t="s">
        <v>633</v>
      </c>
      <c r="F132" s="17" t="s">
        <v>634</v>
      </c>
      <c r="G132" s="17" t="s">
        <v>287</v>
      </c>
      <c r="H132" s="17" t="s">
        <v>610</v>
      </c>
      <c r="I132" s="17" t="s">
        <v>3709</v>
      </c>
      <c r="J132" s="16"/>
      <c r="K132" s="16" t="str">
        <f t="shared" si="0"/>
        <v>ไม่ผ่าน</v>
      </c>
      <c r="L132" s="16" t="s">
        <v>28</v>
      </c>
    </row>
    <row r="133" spans="1:12" ht="18" customHeight="1">
      <c r="A133" s="16">
        <v>131</v>
      </c>
      <c r="B133" s="17">
        <v>6610392224</v>
      </c>
      <c r="C133" s="17" t="s">
        <v>29</v>
      </c>
      <c r="D133" s="17" t="s">
        <v>635</v>
      </c>
      <c r="E133" s="17" t="s">
        <v>636</v>
      </c>
      <c r="F133" s="17" t="s">
        <v>409</v>
      </c>
      <c r="G133" s="17" t="s">
        <v>287</v>
      </c>
      <c r="H133" s="17" t="s">
        <v>610</v>
      </c>
      <c r="I133" s="17" t="s">
        <v>3709</v>
      </c>
      <c r="J133" s="16"/>
      <c r="K133" s="16" t="str">
        <f t="shared" si="0"/>
        <v>ไม่ผ่าน</v>
      </c>
      <c r="L133" s="16" t="s">
        <v>28</v>
      </c>
    </row>
    <row r="134" spans="1:12" ht="18" customHeight="1">
      <c r="A134" s="16">
        <v>132</v>
      </c>
      <c r="B134" s="17">
        <v>6610392226</v>
      </c>
      <c r="C134" s="17" t="s">
        <v>29</v>
      </c>
      <c r="D134" s="17" t="s">
        <v>637</v>
      </c>
      <c r="E134" s="17" t="s">
        <v>638</v>
      </c>
      <c r="F134" s="17" t="s">
        <v>453</v>
      </c>
      <c r="G134" s="17" t="s">
        <v>287</v>
      </c>
      <c r="H134" s="17" t="s">
        <v>610</v>
      </c>
      <c r="I134" s="17" t="s">
        <v>3709</v>
      </c>
      <c r="J134" s="16"/>
      <c r="K134" s="16" t="str">
        <f t="shared" si="0"/>
        <v>ไม่ผ่าน</v>
      </c>
      <c r="L134" s="16" t="s">
        <v>28</v>
      </c>
    </row>
    <row r="135" spans="1:12" ht="18" customHeight="1">
      <c r="A135" s="16">
        <v>133</v>
      </c>
      <c r="B135" s="17">
        <v>6510392111</v>
      </c>
      <c r="C135" s="17" t="s">
        <v>29</v>
      </c>
      <c r="D135" s="17" t="s">
        <v>639</v>
      </c>
      <c r="E135" s="17" t="s">
        <v>640</v>
      </c>
      <c r="F135" s="17" t="s">
        <v>641</v>
      </c>
      <c r="G135" s="17" t="s">
        <v>287</v>
      </c>
      <c r="H135" s="17" t="s">
        <v>610</v>
      </c>
      <c r="I135" s="17" t="s">
        <v>3710</v>
      </c>
      <c r="J135" s="16"/>
      <c r="K135" s="16" t="str">
        <f t="shared" si="0"/>
        <v>ไม่ผ่าน</v>
      </c>
      <c r="L135" s="16" t="s">
        <v>28</v>
      </c>
    </row>
    <row r="136" spans="1:12" ht="18" customHeight="1">
      <c r="A136" s="16">
        <v>134</v>
      </c>
      <c r="B136" s="17">
        <v>6510392112</v>
      </c>
      <c r="C136" s="17" t="s">
        <v>29</v>
      </c>
      <c r="D136" s="17" t="s">
        <v>642</v>
      </c>
      <c r="E136" s="17" t="s">
        <v>643</v>
      </c>
      <c r="F136" s="17" t="s">
        <v>644</v>
      </c>
      <c r="G136" s="17" t="s">
        <v>287</v>
      </c>
      <c r="H136" s="17" t="s">
        <v>610</v>
      </c>
      <c r="I136" s="17" t="s">
        <v>3710</v>
      </c>
      <c r="J136" s="16"/>
      <c r="K136" s="16" t="str">
        <f t="shared" si="0"/>
        <v>ไม่ผ่าน</v>
      </c>
      <c r="L136" s="16" t="s">
        <v>28</v>
      </c>
    </row>
    <row r="137" spans="1:12" ht="18" customHeight="1">
      <c r="A137" s="16">
        <v>135</v>
      </c>
      <c r="B137" s="17">
        <v>6510392117</v>
      </c>
      <c r="C137" s="17" t="s">
        <v>29</v>
      </c>
      <c r="D137" s="17" t="s">
        <v>645</v>
      </c>
      <c r="E137" s="17" t="s">
        <v>646</v>
      </c>
      <c r="F137" s="17" t="s">
        <v>647</v>
      </c>
      <c r="G137" s="17" t="s">
        <v>287</v>
      </c>
      <c r="H137" s="17" t="s">
        <v>610</v>
      </c>
      <c r="I137" s="17" t="s">
        <v>3710</v>
      </c>
      <c r="J137" s="16"/>
      <c r="K137" s="16" t="str">
        <f t="shared" si="0"/>
        <v>ไม่ผ่าน</v>
      </c>
      <c r="L137" s="16" t="s">
        <v>28</v>
      </c>
    </row>
    <row r="138" spans="1:12" ht="18" customHeight="1">
      <c r="A138" s="16">
        <v>136</v>
      </c>
      <c r="B138" s="17">
        <v>6510392124</v>
      </c>
      <c r="C138" s="17" t="s">
        <v>29</v>
      </c>
      <c r="D138" s="17" t="s">
        <v>648</v>
      </c>
      <c r="E138" s="17" t="s">
        <v>649</v>
      </c>
      <c r="F138" s="17" t="s">
        <v>196</v>
      </c>
      <c r="G138" s="17" t="s">
        <v>287</v>
      </c>
      <c r="H138" s="17" t="s">
        <v>610</v>
      </c>
      <c r="I138" s="17" t="s">
        <v>3710</v>
      </c>
      <c r="J138" s="16"/>
      <c r="K138" s="16" t="str">
        <f t="shared" si="0"/>
        <v>ไม่ผ่าน</v>
      </c>
      <c r="L138" s="16" t="s">
        <v>28</v>
      </c>
    </row>
    <row r="139" spans="1:12" ht="18" customHeight="1">
      <c r="A139" s="16">
        <v>137</v>
      </c>
      <c r="B139" s="17">
        <v>6510392128</v>
      </c>
      <c r="C139" s="17" t="s">
        <v>29</v>
      </c>
      <c r="D139" s="17" t="s">
        <v>650</v>
      </c>
      <c r="E139" s="17" t="s">
        <v>651</v>
      </c>
      <c r="F139" s="17" t="s">
        <v>652</v>
      </c>
      <c r="G139" s="17" t="s">
        <v>287</v>
      </c>
      <c r="H139" s="17" t="s">
        <v>610</v>
      </c>
      <c r="I139" s="17" t="s">
        <v>3710</v>
      </c>
      <c r="J139" s="16"/>
      <c r="K139" s="16" t="str">
        <f t="shared" si="0"/>
        <v>ไม่ผ่าน</v>
      </c>
      <c r="L139" s="16" t="s">
        <v>28</v>
      </c>
    </row>
    <row r="140" spans="1:12" ht="18" customHeight="1">
      <c r="A140" s="16">
        <v>138</v>
      </c>
      <c r="B140" s="17">
        <v>6510392215</v>
      </c>
      <c r="C140" s="17" t="s">
        <v>29</v>
      </c>
      <c r="D140" s="17" t="s">
        <v>653</v>
      </c>
      <c r="E140" s="17" t="s">
        <v>654</v>
      </c>
      <c r="F140" s="17" t="s">
        <v>41</v>
      </c>
      <c r="G140" s="17" t="s">
        <v>287</v>
      </c>
      <c r="H140" s="17" t="s">
        <v>610</v>
      </c>
      <c r="I140" s="17" t="s">
        <v>3710</v>
      </c>
      <c r="J140" s="16"/>
      <c r="K140" s="16" t="str">
        <f t="shared" si="0"/>
        <v>ไม่ผ่าน</v>
      </c>
      <c r="L140" s="16" t="s">
        <v>28</v>
      </c>
    </row>
    <row r="141" spans="1:12" ht="18" customHeight="1">
      <c r="A141" s="16">
        <v>139</v>
      </c>
      <c r="B141" s="17">
        <v>6410392105</v>
      </c>
      <c r="C141" s="17" t="s">
        <v>22</v>
      </c>
      <c r="D141" s="17" t="s">
        <v>655</v>
      </c>
      <c r="E141" s="17" t="s">
        <v>656</v>
      </c>
      <c r="F141" s="17" t="s">
        <v>657</v>
      </c>
      <c r="G141" s="17" t="s">
        <v>287</v>
      </c>
      <c r="H141" s="17" t="s">
        <v>610</v>
      </c>
      <c r="I141" s="17" t="s">
        <v>3707</v>
      </c>
      <c r="J141" s="16"/>
      <c r="K141" s="16" t="str">
        <f t="shared" si="0"/>
        <v>ไม่ผ่าน</v>
      </c>
      <c r="L141" s="16" t="s">
        <v>28</v>
      </c>
    </row>
    <row r="142" spans="1:12" ht="18" customHeight="1">
      <c r="A142" s="16">
        <v>140</v>
      </c>
      <c r="B142" s="17">
        <v>6410392207</v>
      </c>
      <c r="C142" s="17" t="s">
        <v>22</v>
      </c>
      <c r="D142" s="17" t="s">
        <v>658</v>
      </c>
      <c r="E142" s="17" t="s">
        <v>659</v>
      </c>
      <c r="F142" s="17" t="s">
        <v>660</v>
      </c>
      <c r="G142" s="17" t="s">
        <v>287</v>
      </c>
      <c r="H142" s="17" t="s">
        <v>610</v>
      </c>
      <c r="I142" s="17" t="s">
        <v>3707</v>
      </c>
      <c r="J142" s="16"/>
      <c r="K142" s="16" t="str">
        <f t="shared" si="0"/>
        <v>ไม่ผ่าน</v>
      </c>
      <c r="L142" s="16" t="s">
        <v>28</v>
      </c>
    </row>
    <row r="143" spans="1:12" ht="18" customHeight="1">
      <c r="A143" s="16">
        <v>141</v>
      </c>
      <c r="B143" s="17">
        <v>6310392102</v>
      </c>
      <c r="C143" s="17" t="s">
        <v>22</v>
      </c>
      <c r="D143" s="17" t="s">
        <v>661</v>
      </c>
      <c r="E143" s="17" t="s">
        <v>662</v>
      </c>
      <c r="F143" s="17" t="s">
        <v>663</v>
      </c>
      <c r="G143" s="17" t="s">
        <v>287</v>
      </c>
      <c r="H143" s="17" t="s">
        <v>610</v>
      </c>
      <c r="I143" s="17" t="s">
        <v>3708</v>
      </c>
      <c r="J143" s="16"/>
      <c r="K143" s="16" t="str">
        <f t="shared" si="0"/>
        <v>ไม่ผ่าน</v>
      </c>
      <c r="L143" s="16" t="s">
        <v>28</v>
      </c>
    </row>
    <row r="144" spans="1:12" ht="18" customHeight="1">
      <c r="A144" s="16">
        <v>142</v>
      </c>
      <c r="B144" s="17">
        <v>6310392103</v>
      </c>
      <c r="C144" s="17" t="s">
        <v>22</v>
      </c>
      <c r="D144" s="17" t="s">
        <v>664</v>
      </c>
      <c r="E144" s="17" t="s">
        <v>665</v>
      </c>
      <c r="F144" s="17" t="s">
        <v>666</v>
      </c>
      <c r="G144" s="17" t="s">
        <v>287</v>
      </c>
      <c r="H144" s="17" t="s">
        <v>610</v>
      </c>
      <c r="I144" s="17" t="s">
        <v>3708</v>
      </c>
      <c r="J144" s="16"/>
      <c r="K144" s="16" t="str">
        <f t="shared" si="0"/>
        <v>ไม่ผ่าน</v>
      </c>
      <c r="L144" s="16" t="s">
        <v>28</v>
      </c>
    </row>
    <row r="145" spans="1:12" ht="18" customHeight="1">
      <c r="A145" s="16">
        <v>143</v>
      </c>
      <c r="B145" s="17">
        <v>6310392104</v>
      </c>
      <c r="C145" s="17" t="s">
        <v>22</v>
      </c>
      <c r="D145" s="17" t="s">
        <v>667</v>
      </c>
      <c r="E145" s="17" t="s">
        <v>668</v>
      </c>
      <c r="F145" s="17" t="s">
        <v>669</v>
      </c>
      <c r="G145" s="17" t="s">
        <v>287</v>
      </c>
      <c r="H145" s="17" t="s">
        <v>610</v>
      </c>
      <c r="I145" s="17" t="s">
        <v>3708</v>
      </c>
      <c r="J145" s="16"/>
      <c r="K145" s="16" t="str">
        <f t="shared" si="0"/>
        <v>ไม่ผ่าน</v>
      </c>
      <c r="L145" s="16" t="s">
        <v>28</v>
      </c>
    </row>
    <row r="146" spans="1:12" ht="18" customHeight="1">
      <c r="A146" s="16">
        <v>144</v>
      </c>
      <c r="B146" s="17">
        <v>6310392203</v>
      </c>
      <c r="C146" s="17" t="s">
        <v>22</v>
      </c>
      <c r="D146" s="17" t="s">
        <v>670</v>
      </c>
      <c r="E146" s="17" t="s">
        <v>671</v>
      </c>
      <c r="F146" s="17" t="s">
        <v>672</v>
      </c>
      <c r="G146" s="17" t="s">
        <v>287</v>
      </c>
      <c r="H146" s="17" t="s">
        <v>610</v>
      </c>
      <c r="I146" s="17" t="s">
        <v>3708</v>
      </c>
      <c r="J146" s="16"/>
      <c r="K146" s="16" t="str">
        <f t="shared" si="0"/>
        <v>ไม่ผ่าน</v>
      </c>
      <c r="L146" s="16" t="s">
        <v>28</v>
      </c>
    </row>
    <row r="147" spans="1:12" ht="18" customHeight="1">
      <c r="A147" s="16">
        <v>145</v>
      </c>
      <c r="B147" s="17">
        <v>6310392217</v>
      </c>
      <c r="C147" s="17" t="s">
        <v>22</v>
      </c>
      <c r="D147" s="17" t="s">
        <v>673</v>
      </c>
      <c r="E147" s="17" t="s">
        <v>674</v>
      </c>
      <c r="F147" s="17" t="s">
        <v>675</v>
      </c>
      <c r="G147" s="17" t="s">
        <v>287</v>
      </c>
      <c r="H147" s="17" t="s">
        <v>610</v>
      </c>
      <c r="I147" s="17" t="s">
        <v>3708</v>
      </c>
      <c r="J147" s="16"/>
      <c r="K147" s="16" t="str">
        <f t="shared" si="0"/>
        <v>ไม่ผ่าน</v>
      </c>
      <c r="L147" s="16" t="s">
        <v>28</v>
      </c>
    </row>
    <row r="148" spans="1:12" ht="18" customHeight="1">
      <c r="A148" s="16">
        <v>146</v>
      </c>
      <c r="B148" s="17">
        <v>6310392108</v>
      </c>
      <c r="C148" s="17" t="s">
        <v>22</v>
      </c>
      <c r="D148" s="17" t="s">
        <v>676</v>
      </c>
      <c r="E148" s="17" t="s">
        <v>677</v>
      </c>
      <c r="F148" s="17" t="s">
        <v>588</v>
      </c>
      <c r="G148" s="17" t="s">
        <v>287</v>
      </c>
      <c r="H148" s="17" t="s">
        <v>610</v>
      </c>
      <c r="I148" s="17" t="s">
        <v>3708</v>
      </c>
      <c r="J148" s="16"/>
      <c r="K148" s="16" t="str">
        <f t="shared" si="0"/>
        <v>ไม่ผ่าน</v>
      </c>
      <c r="L148" s="16" t="s">
        <v>28</v>
      </c>
    </row>
    <row r="149" spans="1:12" ht="18" customHeight="1">
      <c r="A149" s="16">
        <v>147</v>
      </c>
      <c r="B149" s="17">
        <v>6610079102</v>
      </c>
      <c r="C149" s="17" t="s">
        <v>22</v>
      </c>
      <c r="D149" s="17" t="s">
        <v>678</v>
      </c>
      <c r="E149" s="17" t="s">
        <v>679</v>
      </c>
      <c r="F149" s="17" t="s">
        <v>680</v>
      </c>
      <c r="G149" s="17" t="s">
        <v>287</v>
      </c>
      <c r="H149" s="17" t="s">
        <v>681</v>
      </c>
      <c r="I149" s="17" t="s">
        <v>3709</v>
      </c>
      <c r="J149" s="16"/>
      <c r="K149" s="16" t="str">
        <f t="shared" si="0"/>
        <v>ไม่ผ่าน</v>
      </c>
      <c r="L149" s="16" t="s">
        <v>28</v>
      </c>
    </row>
    <row r="150" spans="1:12" ht="18" customHeight="1">
      <c r="A150" s="16">
        <v>148</v>
      </c>
      <c r="B150" s="17">
        <v>6610079113</v>
      </c>
      <c r="C150" s="17" t="s">
        <v>22</v>
      </c>
      <c r="D150" s="17" t="s">
        <v>682</v>
      </c>
      <c r="E150" s="17" t="s">
        <v>683</v>
      </c>
      <c r="F150" s="17" t="s">
        <v>684</v>
      </c>
      <c r="G150" s="17" t="s">
        <v>287</v>
      </c>
      <c r="H150" s="17" t="s">
        <v>681</v>
      </c>
      <c r="I150" s="17" t="s">
        <v>3709</v>
      </c>
      <c r="J150" s="16"/>
      <c r="K150" s="16" t="str">
        <f t="shared" si="0"/>
        <v>ไม่ผ่าน</v>
      </c>
      <c r="L150" s="16" t="s">
        <v>28</v>
      </c>
    </row>
    <row r="151" spans="1:12" ht="18" customHeight="1">
      <c r="A151" s="16">
        <v>149</v>
      </c>
      <c r="B151" s="17">
        <v>6510079209</v>
      </c>
      <c r="C151" s="17" t="s">
        <v>22</v>
      </c>
      <c r="D151" s="17" t="s">
        <v>685</v>
      </c>
      <c r="E151" s="17" t="s">
        <v>686</v>
      </c>
      <c r="F151" s="17" t="s">
        <v>687</v>
      </c>
      <c r="G151" s="17" t="s">
        <v>287</v>
      </c>
      <c r="H151" s="17" t="s">
        <v>681</v>
      </c>
      <c r="I151" s="17" t="s">
        <v>3710</v>
      </c>
      <c r="J151" s="16"/>
      <c r="K151" s="16" t="str">
        <f t="shared" si="0"/>
        <v>ไม่ผ่าน</v>
      </c>
      <c r="L151" s="16" t="s">
        <v>28</v>
      </c>
    </row>
    <row r="152" spans="1:12" ht="18" customHeight="1">
      <c r="A152" s="16">
        <v>150</v>
      </c>
      <c r="B152" s="17">
        <v>6510079211</v>
      </c>
      <c r="C152" s="17" t="s">
        <v>22</v>
      </c>
      <c r="D152" s="17" t="s">
        <v>688</v>
      </c>
      <c r="E152" s="17" t="s">
        <v>689</v>
      </c>
      <c r="F152" s="17" t="s">
        <v>690</v>
      </c>
      <c r="G152" s="17" t="s">
        <v>287</v>
      </c>
      <c r="H152" s="17" t="s">
        <v>681</v>
      </c>
      <c r="I152" s="17" t="s">
        <v>3710</v>
      </c>
      <c r="J152" s="16"/>
      <c r="K152" s="16" t="str">
        <f t="shared" si="0"/>
        <v>ไม่ผ่าน</v>
      </c>
      <c r="L152" s="16" t="s">
        <v>28</v>
      </c>
    </row>
    <row r="153" spans="1:12" ht="18" customHeight="1">
      <c r="A153" s="16">
        <v>151</v>
      </c>
      <c r="B153" s="17">
        <v>6410079101</v>
      </c>
      <c r="C153" s="17" t="s">
        <v>22</v>
      </c>
      <c r="D153" s="17" t="s">
        <v>691</v>
      </c>
      <c r="E153" s="17" t="s">
        <v>692</v>
      </c>
      <c r="F153" s="17" t="s">
        <v>693</v>
      </c>
      <c r="G153" s="17" t="s">
        <v>287</v>
      </c>
      <c r="H153" s="17" t="s">
        <v>681</v>
      </c>
      <c r="I153" s="17" t="s">
        <v>3707</v>
      </c>
      <c r="J153" s="16"/>
      <c r="K153" s="16" t="str">
        <f t="shared" si="0"/>
        <v>ไม่ผ่าน</v>
      </c>
      <c r="L153" s="16" t="s">
        <v>28</v>
      </c>
    </row>
    <row r="154" spans="1:12" ht="18" customHeight="1">
      <c r="A154" s="16">
        <v>152</v>
      </c>
      <c r="B154" s="17">
        <v>6410079111</v>
      </c>
      <c r="C154" s="17" t="s">
        <v>22</v>
      </c>
      <c r="D154" s="17" t="s">
        <v>694</v>
      </c>
      <c r="E154" s="17" t="s">
        <v>695</v>
      </c>
      <c r="F154" s="17" t="s">
        <v>696</v>
      </c>
      <c r="G154" s="17" t="s">
        <v>287</v>
      </c>
      <c r="H154" s="17" t="s">
        <v>681</v>
      </c>
      <c r="I154" s="17" t="s">
        <v>3707</v>
      </c>
      <c r="J154" s="16"/>
      <c r="K154" s="16" t="str">
        <f t="shared" si="0"/>
        <v>ไม่ผ่าน</v>
      </c>
      <c r="L154" s="16" t="s">
        <v>28</v>
      </c>
    </row>
    <row r="155" spans="1:12" ht="18" customHeight="1">
      <c r="A155" s="16">
        <v>153</v>
      </c>
      <c r="B155" s="17">
        <v>6410079122</v>
      </c>
      <c r="C155" s="17" t="s">
        <v>22</v>
      </c>
      <c r="D155" s="17" t="s">
        <v>547</v>
      </c>
      <c r="E155" s="17" t="s">
        <v>697</v>
      </c>
      <c r="F155" s="17" t="s">
        <v>698</v>
      </c>
      <c r="G155" s="17" t="s">
        <v>287</v>
      </c>
      <c r="H155" s="17" t="s">
        <v>681</v>
      </c>
      <c r="I155" s="17" t="s">
        <v>3707</v>
      </c>
      <c r="J155" s="16"/>
      <c r="K155" s="16" t="str">
        <f t="shared" si="0"/>
        <v>ไม่ผ่าน</v>
      </c>
      <c r="L155" s="16" t="s">
        <v>28</v>
      </c>
    </row>
    <row r="156" spans="1:12" ht="18" customHeight="1">
      <c r="A156" s="16">
        <v>154</v>
      </c>
      <c r="B156" s="17">
        <v>6410079210</v>
      </c>
      <c r="C156" s="17" t="s">
        <v>22</v>
      </c>
      <c r="D156" s="17" t="s">
        <v>699</v>
      </c>
      <c r="E156" s="17" t="s">
        <v>700</v>
      </c>
      <c r="F156" s="17" t="s">
        <v>701</v>
      </c>
      <c r="G156" s="17" t="s">
        <v>287</v>
      </c>
      <c r="H156" s="17" t="s">
        <v>681</v>
      </c>
      <c r="I156" s="17" t="s">
        <v>3707</v>
      </c>
      <c r="J156" s="16"/>
      <c r="K156" s="16" t="str">
        <f t="shared" si="0"/>
        <v>ไม่ผ่าน</v>
      </c>
      <c r="L156" s="16" t="s">
        <v>28</v>
      </c>
    </row>
    <row r="157" spans="1:12" ht="18" customHeight="1">
      <c r="A157" s="16">
        <v>155</v>
      </c>
      <c r="B157" s="17">
        <v>6610068102</v>
      </c>
      <c r="C157" s="17" t="s">
        <v>22</v>
      </c>
      <c r="D157" s="17" t="s">
        <v>702</v>
      </c>
      <c r="E157" s="17" t="s">
        <v>703</v>
      </c>
      <c r="F157" s="17" t="s">
        <v>704</v>
      </c>
      <c r="G157" s="17" t="s">
        <v>287</v>
      </c>
      <c r="H157" s="17" t="s">
        <v>705</v>
      </c>
      <c r="I157" s="17" t="s">
        <v>3709</v>
      </c>
      <c r="J157" s="16"/>
      <c r="K157" s="16" t="str">
        <f t="shared" si="0"/>
        <v>ไม่ผ่าน</v>
      </c>
      <c r="L157" s="16" t="s">
        <v>28</v>
      </c>
    </row>
    <row r="158" spans="1:12" ht="18" customHeight="1">
      <c r="A158" s="16">
        <v>156</v>
      </c>
      <c r="B158" s="17">
        <v>6610068106</v>
      </c>
      <c r="C158" s="17" t="s">
        <v>22</v>
      </c>
      <c r="D158" s="17" t="s">
        <v>706</v>
      </c>
      <c r="E158" s="17" t="s">
        <v>175</v>
      </c>
      <c r="F158" s="17" t="s">
        <v>707</v>
      </c>
      <c r="G158" s="17" t="s">
        <v>287</v>
      </c>
      <c r="H158" s="17" t="s">
        <v>705</v>
      </c>
      <c r="I158" s="17" t="s">
        <v>3709</v>
      </c>
      <c r="J158" s="16"/>
      <c r="K158" s="16" t="str">
        <f t="shared" si="0"/>
        <v>ไม่ผ่าน</v>
      </c>
      <c r="L158" s="16" t="s">
        <v>28</v>
      </c>
    </row>
    <row r="159" spans="1:12" ht="18" customHeight="1">
      <c r="A159" s="16">
        <v>157</v>
      </c>
      <c r="B159" s="17">
        <v>6610068107</v>
      </c>
      <c r="C159" s="17" t="s">
        <v>22</v>
      </c>
      <c r="D159" s="17" t="s">
        <v>708</v>
      </c>
      <c r="E159" s="17" t="s">
        <v>709</v>
      </c>
      <c r="F159" s="17" t="s">
        <v>710</v>
      </c>
      <c r="G159" s="17" t="s">
        <v>287</v>
      </c>
      <c r="H159" s="17" t="s">
        <v>705</v>
      </c>
      <c r="I159" s="17" t="s">
        <v>3709</v>
      </c>
      <c r="J159" s="16"/>
      <c r="K159" s="16" t="str">
        <f t="shared" si="0"/>
        <v>ไม่ผ่าน</v>
      </c>
      <c r="L159" s="16" t="s">
        <v>28</v>
      </c>
    </row>
    <row r="160" spans="1:12" ht="18" customHeight="1">
      <c r="A160" s="16">
        <v>158</v>
      </c>
      <c r="B160" s="17">
        <v>6610068113</v>
      </c>
      <c r="C160" s="17" t="s">
        <v>22</v>
      </c>
      <c r="D160" s="17" t="s">
        <v>711</v>
      </c>
      <c r="E160" s="17" t="s">
        <v>712</v>
      </c>
      <c r="F160" s="17" t="s">
        <v>270</v>
      </c>
      <c r="G160" s="17" t="s">
        <v>287</v>
      </c>
      <c r="H160" s="17" t="s">
        <v>705</v>
      </c>
      <c r="I160" s="17" t="s">
        <v>3709</v>
      </c>
      <c r="J160" s="16"/>
      <c r="K160" s="16" t="str">
        <f t="shared" si="0"/>
        <v>ไม่ผ่าน</v>
      </c>
      <c r="L160" s="16" t="s">
        <v>28</v>
      </c>
    </row>
    <row r="161" spans="1:12" ht="18" customHeight="1">
      <c r="A161" s="16">
        <v>159</v>
      </c>
      <c r="B161" s="17">
        <v>6610068114</v>
      </c>
      <c r="C161" s="17" t="s">
        <v>22</v>
      </c>
      <c r="D161" s="17" t="s">
        <v>713</v>
      </c>
      <c r="E161" s="17" t="s">
        <v>714</v>
      </c>
      <c r="F161" s="17" t="s">
        <v>715</v>
      </c>
      <c r="G161" s="17" t="s">
        <v>287</v>
      </c>
      <c r="H161" s="17" t="s">
        <v>705</v>
      </c>
      <c r="I161" s="17" t="s">
        <v>3709</v>
      </c>
      <c r="J161" s="16"/>
      <c r="K161" s="16" t="str">
        <f t="shared" si="0"/>
        <v>ไม่ผ่าน</v>
      </c>
      <c r="L161" s="16" t="s">
        <v>28</v>
      </c>
    </row>
    <row r="162" spans="1:12" ht="18" customHeight="1">
      <c r="A162" s="16">
        <v>160</v>
      </c>
      <c r="B162" s="17">
        <v>6610068127</v>
      </c>
      <c r="C162" s="17" t="s">
        <v>22</v>
      </c>
      <c r="D162" s="17" t="s">
        <v>716</v>
      </c>
      <c r="E162" s="17" t="s">
        <v>717</v>
      </c>
      <c r="F162" s="17" t="s">
        <v>718</v>
      </c>
      <c r="G162" s="17" t="s">
        <v>287</v>
      </c>
      <c r="H162" s="17" t="s">
        <v>705</v>
      </c>
      <c r="I162" s="17" t="s">
        <v>3709</v>
      </c>
      <c r="J162" s="16"/>
      <c r="K162" s="16" t="str">
        <f t="shared" si="0"/>
        <v>ไม่ผ่าน</v>
      </c>
      <c r="L162" s="16" t="s">
        <v>28</v>
      </c>
    </row>
    <row r="163" spans="1:12" ht="18" customHeight="1">
      <c r="A163" s="16">
        <v>161</v>
      </c>
      <c r="B163" s="17">
        <v>6610068209</v>
      </c>
      <c r="C163" s="17" t="s">
        <v>22</v>
      </c>
      <c r="D163" s="17" t="s">
        <v>719</v>
      </c>
      <c r="E163" s="17" t="s">
        <v>720</v>
      </c>
      <c r="F163" s="17" t="s">
        <v>721</v>
      </c>
      <c r="G163" s="17" t="s">
        <v>287</v>
      </c>
      <c r="H163" s="17" t="s">
        <v>705</v>
      </c>
      <c r="I163" s="17" t="s">
        <v>3709</v>
      </c>
      <c r="J163" s="16"/>
      <c r="K163" s="16" t="str">
        <f t="shared" si="0"/>
        <v>ไม่ผ่าน</v>
      </c>
      <c r="L163" s="16" t="s">
        <v>28</v>
      </c>
    </row>
    <row r="164" spans="1:12" ht="18" customHeight="1">
      <c r="A164" s="16">
        <v>162</v>
      </c>
      <c r="B164" s="17">
        <v>6610068224</v>
      </c>
      <c r="C164" s="17" t="s">
        <v>22</v>
      </c>
      <c r="D164" s="17" t="s">
        <v>385</v>
      </c>
      <c r="E164" s="17" t="s">
        <v>722</v>
      </c>
      <c r="F164" s="17" t="s">
        <v>383</v>
      </c>
      <c r="G164" s="17" t="s">
        <v>287</v>
      </c>
      <c r="H164" s="17" t="s">
        <v>705</v>
      </c>
      <c r="I164" s="17" t="s">
        <v>3709</v>
      </c>
      <c r="J164" s="16"/>
      <c r="K164" s="16" t="str">
        <f t="shared" si="0"/>
        <v>ไม่ผ่าน</v>
      </c>
      <c r="L164" s="16" t="s">
        <v>28</v>
      </c>
    </row>
    <row r="165" spans="1:12" ht="18" customHeight="1">
      <c r="A165" s="16">
        <v>163</v>
      </c>
      <c r="B165" s="17">
        <v>6610068226</v>
      </c>
      <c r="C165" s="17" t="s">
        <v>22</v>
      </c>
      <c r="D165" s="17" t="s">
        <v>723</v>
      </c>
      <c r="E165" s="17" t="s">
        <v>724</v>
      </c>
      <c r="F165" s="17" t="s">
        <v>725</v>
      </c>
      <c r="G165" s="17" t="s">
        <v>287</v>
      </c>
      <c r="H165" s="17" t="s">
        <v>705</v>
      </c>
      <c r="I165" s="17" t="s">
        <v>3709</v>
      </c>
      <c r="J165" s="16"/>
      <c r="K165" s="16" t="str">
        <f t="shared" si="0"/>
        <v>ไม่ผ่าน</v>
      </c>
      <c r="L165" s="16" t="s">
        <v>28</v>
      </c>
    </row>
    <row r="166" spans="1:12" ht="18" customHeight="1">
      <c r="A166" s="16">
        <v>164</v>
      </c>
      <c r="B166" s="17">
        <v>6410068203</v>
      </c>
      <c r="C166" s="17" t="s">
        <v>22</v>
      </c>
      <c r="D166" s="17" t="s">
        <v>726</v>
      </c>
      <c r="E166" s="17" t="s">
        <v>727</v>
      </c>
      <c r="F166" s="17" t="s">
        <v>728</v>
      </c>
      <c r="G166" s="17" t="s">
        <v>287</v>
      </c>
      <c r="H166" s="17" t="s">
        <v>705</v>
      </c>
      <c r="I166" s="17" t="s">
        <v>3707</v>
      </c>
      <c r="J166" s="16"/>
      <c r="K166" s="16" t="str">
        <f t="shared" si="0"/>
        <v>ไม่ผ่าน</v>
      </c>
      <c r="L166" s="16" t="s">
        <v>28</v>
      </c>
    </row>
    <row r="167" spans="1:12" ht="18" customHeight="1">
      <c r="A167" s="16">
        <v>165</v>
      </c>
      <c r="B167" s="17">
        <v>6410068205</v>
      </c>
      <c r="C167" s="17" t="s">
        <v>22</v>
      </c>
      <c r="D167" s="17" t="s">
        <v>729</v>
      </c>
      <c r="E167" s="17" t="s">
        <v>730</v>
      </c>
      <c r="F167" s="17" t="s">
        <v>731</v>
      </c>
      <c r="G167" s="17" t="s">
        <v>287</v>
      </c>
      <c r="H167" s="17" t="s">
        <v>705</v>
      </c>
      <c r="I167" s="17" t="s">
        <v>3707</v>
      </c>
      <c r="J167" s="16"/>
      <c r="K167" s="16" t="str">
        <f t="shared" si="0"/>
        <v>ไม่ผ่าน</v>
      </c>
      <c r="L167" s="16" t="s">
        <v>28</v>
      </c>
    </row>
    <row r="168" spans="1:12" ht="18" customHeight="1">
      <c r="A168" s="16">
        <v>166</v>
      </c>
      <c r="B168" s="17">
        <v>6410207103</v>
      </c>
      <c r="C168" s="17" t="s">
        <v>29</v>
      </c>
      <c r="D168" s="17" t="s">
        <v>732</v>
      </c>
      <c r="E168" s="17" t="s">
        <v>733</v>
      </c>
      <c r="F168" s="17" t="s">
        <v>734</v>
      </c>
      <c r="G168" s="17" t="s">
        <v>287</v>
      </c>
      <c r="H168" s="17" t="s">
        <v>735</v>
      </c>
      <c r="I168" s="17" t="s">
        <v>3707</v>
      </c>
      <c r="J168" s="16"/>
      <c r="K168" s="16" t="str">
        <f t="shared" si="0"/>
        <v>ไม่ผ่าน</v>
      </c>
      <c r="L168" s="16" t="s">
        <v>28</v>
      </c>
    </row>
    <row r="169" spans="1:12" ht="18" customHeight="1">
      <c r="A169" s="16">
        <v>167</v>
      </c>
      <c r="B169" s="17">
        <v>6512247108</v>
      </c>
      <c r="C169" s="17" t="s">
        <v>29</v>
      </c>
      <c r="D169" s="17" t="s">
        <v>736</v>
      </c>
      <c r="E169" s="17" t="s">
        <v>737</v>
      </c>
      <c r="F169" s="17" t="s">
        <v>738</v>
      </c>
      <c r="G169" s="17" t="s">
        <v>287</v>
      </c>
      <c r="H169" s="17" t="s">
        <v>739</v>
      </c>
      <c r="I169" s="17" t="s">
        <v>3710</v>
      </c>
      <c r="J169" s="16"/>
      <c r="K169" s="16" t="str">
        <f t="shared" si="0"/>
        <v>ไม่ผ่าน</v>
      </c>
      <c r="L169" s="16" t="s">
        <v>28</v>
      </c>
    </row>
    <row r="170" spans="1:12" ht="18" customHeight="1">
      <c r="A170" s="16">
        <v>168</v>
      </c>
      <c r="B170" s="17">
        <v>6512247114</v>
      </c>
      <c r="C170" s="17" t="s">
        <v>29</v>
      </c>
      <c r="D170" s="17" t="s">
        <v>740</v>
      </c>
      <c r="E170" s="17" t="s">
        <v>741</v>
      </c>
      <c r="F170" s="17" t="s">
        <v>742</v>
      </c>
      <c r="G170" s="17" t="s">
        <v>287</v>
      </c>
      <c r="H170" s="17" t="s">
        <v>739</v>
      </c>
      <c r="I170" s="17" t="s">
        <v>3710</v>
      </c>
      <c r="J170" s="16"/>
      <c r="K170" s="16" t="str">
        <f t="shared" si="0"/>
        <v>ไม่ผ่าน</v>
      </c>
      <c r="L170" s="16" t="s">
        <v>28</v>
      </c>
    </row>
    <row r="171" spans="1:12" ht="18" customHeight="1">
      <c r="A171" s="16">
        <v>169</v>
      </c>
      <c r="B171" s="17">
        <v>6512247122</v>
      </c>
      <c r="C171" s="17" t="s">
        <v>29</v>
      </c>
      <c r="D171" s="17" t="s">
        <v>743</v>
      </c>
      <c r="E171" s="17" t="s">
        <v>744</v>
      </c>
      <c r="F171" s="17" t="s">
        <v>745</v>
      </c>
      <c r="G171" s="17" t="s">
        <v>287</v>
      </c>
      <c r="H171" s="17" t="s">
        <v>739</v>
      </c>
      <c r="I171" s="17" t="s">
        <v>3710</v>
      </c>
      <c r="J171" s="16"/>
      <c r="K171" s="16" t="str">
        <f t="shared" si="0"/>
        <v>ไม่ผ่าน</v>
      </c>
      <c r="L171" s="16" t="s">
        <v>28</v>
      </c>
    </row>
    <row r="172" spans="1:12" ht="18" customHeight="1">
      <c r="A172" s="16">
        <v>170</v>
      </c>
      <c r="B172" s="17">
        <v>6512247127</v>
      </c>
      <c r="C172" s="17" t="s">
        <v>29</v>
      </c>
      <c r="D172" s="17" t="s">
        <v>746</v>
      </c>
      <c r="E172" s="17" t="s">
        <v>747</v>
      </c>
      <c r="F172" s="17" t="s">
        <v>242</v>
      </c>
      <c r="G172" s="17" t="s">
        <v>287</v>
      </c>
      <c r="H172" s="17" t="s">
        <v>739</v>
      </c>
      <c r="I172" s="17" t="s">
        <v>3710</v>
      </c>
      <c r="J172" s="16"/>
      <c r="K172" s="16" t="str">
        <f t="shared" si="0"/>
        <v>ไม่ผ่าน</v>
      </c>
      <c r="L172" s="16" t="s">
        <v>28</v>
      </c>
    </row>
    <row r="173" spans="1:12" ht="18" customHeight="1">
      <c r="A173" s="16">
        <v>171</v>
      </c>
      <c r="B173" s="17">
        <v>6512247130</v>
      </c>
      <c r="C173" s="17" t="s">
        <v>29</v>
      </c>
      <c r="D173" s="17" t="s">
        <v>748</v>
      </c>
      <c r="E173" s="17" t="s">
        <v>749</v>
      </c>
      <c r="F173" s="17" t="s">
        <v>750</v>
      </c>
      <c r="G173" s="17" t="s">
        <v>287</v>
      </c>
      <c r="H173" s="17" t="s">
        <v>739</v>
      </c>
      <c r="I173" s="17" t="s">
        <v>3710</v>
      </c>
      <c r="J173" s="16"/>
      <c r="K173" s="16" t="str">
        <f t="shared" si="0"/>
        <v>ไม่ผ่าน</v>
      </c>
      <c r="L173" s="16" t="s">
        <v>28</v>
      </c>
    </row>
    <row r="174" spans="1:12" ht="18" customHeight="1">
      <c r="A174" s="16">
        <v>172</v>
      </c>
      <c r="B174" s="17">
        <v>6512247211</v>
      </c>
      <c r="C174" s="17" t="s">
        <v>29</v>
      </c>
      <c r="D174" s="17" t="s">
        <v>751</v>
      </c>
      <c r="E174" s="17" t="s">
        <v>654</v>
      </c>
      <c r="F174" s="17" t="s">
        <v>752</v>
      </c>
      <c r="G174" s="17" t="s">
        <v>287</v>
      </c>
      <c r="H174" s="17" t="s">
        <v>739</v>
      </c>
      <c r="I174" s="17" t="s">
        <v>3710</v>
      </c>
      <c r="J174" s="16"/>
      <c r="K174" s="16" t="str">
        <f t="shared" si="0"/>
        <v>ไม่ผ่าน</v>
      </c>
      <c r="L174" s="16" t="s">
        <v>28</v>
      </c>
    </row>
    <row r="175" spans="1:12" ht="18" customHeight="1">
      <c r="A175" s="16">
        <v>173</v>
      </c>
      <c r="B175" s="17">
        <v>6512247224</v>
      </c>
      <c r="C175" s="17" t="s">
        <v>29</v>
      </c>
      <c r="D175" s="17" t="s">
        <v>753</v>
      </c>
      <c r="E175" s="17" t="s">
        <v>754</v>
      </c>
      <c r="F175" s="17" t="s">
        <v>755</v>
      </c>
      <c r="G175" s="17" t="s">
        <v>287</v>
      </c>
      <c r="H175" s="17" t="s">
        <v>739</v>
      </c>
      <c r="I175" s="17" t="s">
        <v>3710</v>
      </c>
      <c r="J175" s="16"/>
      <c r="K175" s="16" t="str">
        <f t="shared" si="0"/>
        <v>ไม่ผ่าน</v>
      </c>
      <c r="L175" s="16" t="s">
        <v>28</v>
      </c>
    </row>
    <row r="176" spans="1:12" ht="18" customHeight="1">
      <c r="A176" s="16">
        <v>174</v>
      </c>
      <c r="B176" s="17">
        <v>6312247109</v>
      </c>
      <c r="C176" s="17" t="s">
        <v>29</v>
      </c>
      <c r="D176" s="17" t="s">
        <v>469</v>
      </c>
      <c r="E176" s="17" t="s">
        <v>321</v>
      </c>
      <c r="F176" s="17" t="s">
        <v>756</v>
      </c>
      <c r="G176" s="17" t="s">
        <v>287</v>
      </c>
      <c r="H176" s="17" t="s">
        <v>739</v>
      </c>
      <c r="I176" s="17" t="s">
        <v>3708</v>
      </c>
      <c r="J176" s="16"/>
      <c r="K176" s="16" t="str">
        <f t="shared" si="0"/>
        <v>ไม่ผ่าน</v>
      </c>
      <c r="L176" s="16" t="s">
        <v>28</v>
      </c>
    </row>
    <row r="177" spans="1:12" ht="18" customHeight="1">
      <c r="A177" s="16">
        <v>175</v>
      </c>
      <c r="B177" s="17">
        <v>6312247122</v>
      </c>
      <c r="C177" s="17" t="s">
        <v>29</v>
      </c>
      <c r="D177" s="17" t="s">
        <v>246</v>
      </c>
      <c r="E177" s="17" t="s">
        <v>757</v>
      </c>
      <c r="F177" s="17" t="s">
        <v>104</v>
      </c>
      <c r="G177" s="17" t="s">
        <v>287</v>
      </c>
      <c r="H177" s="17" t="s">
        <v>739</v>
      </c>
      <c r="I177" s="17" t="s">
        <v>3708</v>
      </c>
      <c r="J177" s="16"/>
      <c r="K177" s="16" t="str">
        <f t="shared" si="0"/>
        <v>ไม่ผ่าน</v>
      </c>
      <c r="L177" s="16" t="s">
        <v>28</v>
      </c>
    </row>
    <row r="178" spans="1:12" ht="18" customHeight="1">
      <c r="A178" s="16">
        <v>176</v>
      </c>
      <c r="B178" s="17">
        <v>6610488101</v>
      </c>
      <c r="C178" s="17" t="s">
        <v>22</v>
      </c>
      <c r="D178" s="17" t="s">
        <v>758</v>
      </c>
      <c r="E178" s="17" t="s">
        <v>759</v>
      </c>
      <c r="F178" s="17" t="s">
        <v>760</v>
      </c>
      <c r="G178" s="17" t="s">
        <v>287</v>
      </c>
      <c r="H178" s="17" t="s">
        <v>761</v>
      </c>
      <c r="I178" s="17" t="s">
        <v>3709</v>
      </c>
      <c r="J178" s="16"/>
      <c r="K178" s="16" t="str">
        <f t="shared" si="0"/>
        <v>ไม่ผ่าน</v>
      </c>
      <c r="L178" s="16" t="s">
        <v>28</v>
      </c>
    </row>
    <row r="179" spans="1:12" ht="18" customHeight="1">
      <c r="A179" s="16">
        <v>177</v>
      </c>
      <c r="B179" s="17">
        <v>6610488109</v>
      </c>
      <c r="C179" s="17" t="s">
        <v>22</v>
      </c>
      <c r="D179" s="17" t="s">
        <v>762</v>
      </c>
      <c r="E179" s="17" t="s">
        <v>763</v>
      </c>
      <c r="F179" s="17" t="s">
        <v>764</v>
      </c>
      <c r="G179" s="17" t="s">
        <v>287</v>
      </c>
      <c r="H179" s="17" t="s">
        <v>761</v>
      </c>
      <c r="I179" s="17" t="s">
        <v>3709</v>
      </c>
      <c r="J179" s="16"/>
      <c r="K179" s="16" t="str">
        <f t="shared" si="0"/>
        <v>ไม่ผ่าน</v>
      </c>
      <c r="L179" s="16" t="s">
        <v>28</v>
      </c>
    </row>
    <row r="180" spans="1:12" ht="18" customHeight="1">
      <c r="A180" s="16">
        <v>178</v>
      </c>
      <c r="B180" s="17">
        <v>6610488111</v>
      </c>
      <c r="C180" s="17" t="s">
        <v>22</v>
      </c>
      <c r="D180" s="17" t="s">
        <v>765</v>
      </c>
      <c r="E180" s="17" t="s">
        <v>766</v>
      </c>
      <c r="F180" s="17" t="s">
        <v>767</v>
      </c>
      <c r="G180" s="17" t="s">
        <v>287</v>
      </c>
      <c r="H180" s="17" t="s">
        <v>761</v>
      </c>
      <c r="I180" s="17" t="s">
        <v>3709</v>
      </c>
      <c r="J180" s="16"/>
      <c r="K180" s="16" t="str">
        <f t="shared" si="0"/>
        <v>ไม่ผ่าน</v>
      </c>
      <c r="L180" s="16" t="s">
        <v>28</v>
      </c>
    </row>
    <row r="181" spans="1:12" ht="18" customHeight="1">
      <c r="A181" s="16">
        <v>179</v>
      </c>
      <c r="B181" s="17">
        <v>6610488114</v>
      </c>
      <c r="C181" s="17" t="s">
        <v>29</v>
      </c>
      <c r="D181" s="17" t="s">
        <v>768</v>
      </c>
      <c r="E181" s="17" t="s">
        <v>769</v>
      </c>
      <c r="F181" s="17" t="s">
        <v>770</v>
      </c>
      <c r="G181" s="17" t="s">
        <v>287</v>
      </c>
      <c r="H181" s="17" t="s">
        <v>761</v>
      </c>
      <c r="I181" s="17" t="s">
        <v>3709</v>
      </c>
      <c r="J181" s="16"/>
      <c r="K181" s="16" t="str">
        <f t="shared" si="0"/>
        <v>ไม่ผ่าน</v>
      </c>
      <c r="L181" s="16" t="s">
        <v>28</v>
      </c>
    </row>
    <row r="182" spans="1:12" ht="18" customHeight="1">
      <c r="A182" s="16">
        <v>180</v>
      </c>
      <c r="B182" s="17">
        <v>6610488116</v>
      </c>
      <c r="C182" s="17" t="s">
        <v>29</v>
      </c>
      <c r="D182" s="17" t="s">
        <v>771</v>
      </c>
      <c r="E182" s="17" t="s">
        <v>772</v>
      </c>
      <c r="F182" s="17" t="s">
        <v>773</v>
      </c>
      <c r="G182" s="17" t="s">
        <v>287</v>
      </c>
      <c r="H182" s="17" t="s">
        <v>761</v>
      </c>
      <c r="I182" s="17" t="s">
        <v>3709</v>
      </c>
      <c r="J182" s="16"/>
      <c r="K182" s="16" t="str">
        <f t="shared" si="0"/>
        <v>ไม่ผ่าน</v>
      </c>
      <c r="L182" s="16" t="s">
        <v>28</v>
      </c>
    </row>
    <row r="183" spans="1:12" ht="18" customHeight="1">
      <c r="A183" s="16">
        <v>181</v>
      </c>
      <c r="B183" s="17">
        <v>6610488117</v>
      </c>
      <c r="C183" s="17" t="s">
        <v>29</v>
      </c>
      <c r="D183" s="17" t="s">
        <v>774</v>
      </c>
      <c r="E183" s="17" t="s">
        <v>775</v>
      </c>
      <c r="F183" s="17" t="s">
        <v>776</v>
      </c>
      <c r="G183" s="17" t="s">
        <v>287</v>
      </c>
      <c r="H183" s="17" t="s">
        <v>761</v>
      </c>
      <c r="I183" s="17" t="s">
        <v>3709</v>
      </c>
      <c r="J183" s="16"/>
      <c r="K183" s="16" t="str">
        <f t="shared" si="0"/>
        <v>ไม่ผ่าน</v>
      </c>
      <c r="L183" s="16" t="s">
        <v>28</v>
      </c>
    </row>
    <row r="184" spans="1:12" ht="18" customHeight="1">
      <c r="A184" s="16">
        <v>182</v>
      </c>
      <c r="B184" s="17">
        <v>6610488118</v>
      </c>
      <c r="C184" s="17" t="s">
        <v>29</v>
      </c>
      <c r="D184" s="17" t="s">
        <v>777</v>
      </c>
      <c r="E184" s="17" t="s">
        <v>778</v>
      </c>
      <c r="F184" s="17" t="s">
        <v>779</v>
      </c>
      <c r="G184" s="17" t="s">
        <v>287</v>
      </c>
      <c r="H184" s="17" t="s">
        <v>761</v>
      </c>
      <c r="I184" s="17" t="s">
        <v>3709</v>
      </c>
      <c r="J184" s="16"/>
      <c r="K184" s="16" t="str">
        <f t="shared" si="0"/>
        <v>ไม่ผ่าน</v>
      </c>
      <c r="L184" s="16" t="s">
        <v>28</v>
      </c>
    </row>
    <row r="185" spans="1:12" ht="18" customHeight="1">
      <c r="A185" s="16">
        <v>183</v>
      </c>
      <c r="B185" s="17">
        <v>6610488125</v>
      </c>
      <c r="C185" s="17" t="s">
        <v>29</v>
      </c>
      <c r="D185" s="17" t="s">
        <v>780</v>
      </c>
      <c r="E185" s="17" t="s">
        <v>593</v>
      </c>
      <c r="F185" s="17" t="s">
        <v>781</v>
      </c>
      <c r="G185" s="17" t="s">
        <v>287</v>
      </c>
      <c r="H185" s="17" t="s">
        <v>761</v>
      </c>
      <c r="I185" s="17" t="s">
        <v>3709</v>
      </c>
      <c r="J185" s="16"/>
      <c r="K185" s="16" t="str">
        <f t="shared" si="0"/>
        <v>ไม่ผ่าน</v>
      </c>
      <c r="L185" s="16" t="s">
        <v>28</v>
      </c>
    </row>
    <row r="186" spans="1:12" ht="18" customHeight="1">
      <c r="A186" s="16">
        <v>184</v>
      </c>
      <c r="B186" s="17">
        <v>6610488126</v>
      </c>
      <c r="C186" s="17" t="s">
        <v>29</v>
      </c>
      <c r="D186" s="17" t="s">
        <v>782</v>
      </c>
      <c r="E186" s="17" t="s">
        <v>783</v>
      </c>
      <c r="F186" s="17" t="s">
        <v>784</v>
      </c>
      <c r="G186" s="17" t="s">
        <v>287</v>
      </c>
      <c r="H186" s="17" t="s">
        <v>761</v>
      </c>
      <c r="I186" s="17" t="s">
        <v>3709</v>
      </c>
      <c r="J186" s="16"/>
      <c r="K186" s="16" t="str">
        <f t="shared" si="0"/>
        <v>ไม่ผ่าน</v>
      </c>
      <c r="L186" s="16" t="s">
        <v>28</v>
      </c>
    </row>
    <row r="187" spans="1:12" ht="18" customHeight="1">
      <c r="A187" s="16">
        <v>185</v>
      </c>
      <c r="B187" s="17">
        <v>6610488127</v>
      </c>
      <c r="C187" s="17" t="s">
        <v>29</v>
      </c>
      <c r="D187" s="17" t="s">
        <v>785</v>
      </c>
      <c r="E187" s="17" t="s">
        <v>786</v>
      </c>
      <c r="F187" s="17" t="s">
        <v>787</v>
      </c>
      <c r="G187" s="17" t="s">
        <v>287</v>
      </c>
      <c r="H187" s="17" t="s">
        <v>761</v>
      </c>
      <c r="I187" s="17" t="s">
        <v>3709</v>
      </c>
      <c r="J187" s="16"/>
      <c r="K187" s="16" t="str">
        <f t="shared" si="0"/>
        <v>ไม่ผ่าน</v>
      </c>
      <c r="L187" s="16" t="s">
        <v>28</v>
      </c>
    </row>
    <row r="188" spans="1:12" ht="18" customHeight="1">
      <c r="A188" s="16">
        <v>186</v>
      </c>
      <c r="B188" s="17">
        <v>6610488129</v>
      </c>
      <c r="C188" s="17" t="s">
        <v>29</v>
      </c>
      <c r="D188" s="17" t="s">
        <v>788</v>
      </c>
      <c r="E188" s="17" t="s">
        <v>789</v>
      </c>
      <c r="F188" s="17" t="s">
        <v>216</v>
      </c>
      <c r="G188" s="17" t="s">
        <v>287</v>
      </c>
      <c r="H188" s="17" t="s">
        <v>761</v>
      </c>
      <c r="I188" s="17" t="s">
        <v>3709</v>
      </c>
      <c r="J188" s="16"/>
      <c r="K188" s="16" t="str">
        <f t="shared" si="0"/>
        <v>ไม่ผ่าน</v>
      </c>
      <c r="L188" s="16" t="s">
        <v>28</v>
      </c>
    </row>
    <row r="189" spans="1:12" ht="18" customHeight="1">
      <c r="A189" s="16">
        <v>187</v>
      </c>
      <c r="B189" s="17">
        <v>6610488202</v>
      </c>
      <c r="C189" s="17" t="s">
        <v>22</v>
      </c>
      <c r="D189" s="17" t="s">
        <v>790</v>
      </c>
      <c r="E189" s="17" t="s">
        <v>791</v>
      </c>
      <c r="F189" s="17" t="s">
        <v>792</v>
      </c>
      <c r="G189" s="17" t="s">
        <v>287</v>
      </c>
      <c r="H189" s="17" t="s">
        <v>761</v>
      </c>
      <c r="I189" s="17" t="s">
        <v>3709</v>
      </c>
      <c r="J189" s="16"/>
      <c r="K189" s="16" t="str">
        <f t="shared" si="0"/>
        <v>ไม่ผ่าน</v>
      </c>
      <c r="L189" s="16" t="s">
        <v>28</v>
      </c>
    </row>
    <row r="190" spans="1:12" ht="18" customHeight="1">
      <c r="A190" s="16">
        <v>188</v>
      </c>
      <c r="B190" s="17">
        <v>6610488210</v>
      </c>
      <c r="C190" s="17" t="s">
        <v>22</v>
      </c>
      <c r="D190" s="17" t="s">
        <v>793</v>
      </c>
      <c r="E190" s="17" t="s">
        <v>794</v>
      </c>
      <c r="F190" s="17" t="s">
        <v>795</v>
      </c>
      <c r="G190" s="17" t="s">
        <v>287</v>
      </c>
      <c r="H190" s="17" t="s">
        <v>761</v>
      </c>
      <c r="I190" s="17" t="s">
        <v>3709</v>
      </c>
      <c r="J190" s="16"/>
      <c r="K190" s="16" t="str">
        <f t="shared" si="0"/>
        <v>ไม่ผ่าน</v>
      </c>
      <c r="L190" s="16" t="s">
        <v>28</v>
      </c>
    </row>
    <row r="191" spans="1:12" ht="18" customHeight="1">
      <c r="A191" s="16">
        <v>189</v>
      </c>
      <c r="B191" s="17">
        <v>6610488214</v>
      </c>
      <c r="C191" s="17" t="s">
        <v>29</v>
      </c>
      <c r="D191" s="17" t="s">
        <v>165</v>
      </c>
      <c r="E191" s="17" t="s">
        <v>796</v>
      </c>
      <c r="F191" s="17" t="s">
        <v>797</v>
      </c>
      <c r="G191" s="17" t="s">
        <v>287</v>
      </c>
      <c r="H191" s="17" t="s">
        <v>761</v>
      </c>
      <c r="I191" s="17" t="s">
        <v>3709</v>
      </c>
      <c r="J191" s="16"/>
      <c r="K191" s="16" t="str">
        <f t="shared" si="0"/>
        <v>ไม่ผ่าน</v>
      </c>
      <c r="L191" s="16" t="s">
        <v>28</v>
      </c>
    </row>
    <row r="192" spans="1:12" ht="18" customHeight="1">
      <c r="A192" s="16">
        <v>190</v>
      </c>
      <c r="B192" s="17">
        <v>6610488216</v>
      </c>
      <c r="C192" s="17" t="s">
        <v>29</v>
      </c>
      <c r="D192" s="17" t="s">
        <v>798</v>
      </c>
      <c r="E192" s="17" t="s">
        <v>799</v>
      </c>
      <c r="F192" s="17" t="s">
        <v>124</v>
      </c>
      <c r="G192" s="17" t="s">
        <v>287</v>
      </c>
      <c r="H192" s="17" t="s">
        <v>761</v>
      </c>
      <c r="I192" s="17" t="s">
        <v>3709</v>
      </c>
      <c r="J192" s="16"/>
      <c r="K192" s="16" t="str">
        <f t="shared" si="0"/>
        <v>ไม่ผ่าน</v>
      </c>
      <c r="L192" s="16" t="s">
        <v>28</v>
      </c>
    </row>
    <row r="193" spans="1:12" ht="18" customHeight="1">
      <c r="A193" s="16">
        <v>191</v>
      </c>
      <c r="B193" s="17">
        <v>6610488220</v>
      </c>
      <c r="C193" s="17" t="s">
        <v>29</v>
      </c>
      <c r="D193" s="17" t="s">
        <v>800</v>
      </c>
      <c r="E193" s="17" t="s">
        <v>801</v>
      </c>
      <c r="F193" s="17" t="s">
        <v>170</v>
      </c>
      <c r="G193" s="17" t="s">
        <v>287</v>
      </c>
      <c r="H193" s="17" t="s">
        <v>761</v>
      </c>
      <c r="I193" s="17" t="s">
        <v>3709</v>
      </c>
      <c r="J193" s="16"/>
      <c r="K193" s="16" t="str">
        <f t="shared" si="0"/>
        <v>ไม่ผ่าน</v>
      </c>
      <c r="L193" s="16" t="s">
        <v>28</v>
      </c>
    </row>
    <row r="194" spans="1:12" ht="18" customHeight="1">
      <c r="A194" s="16">
        <v>192</v>
      </c>
      <c r="B194" s="17">
        <v>6610488221</v>
      </c>
      <c r="C194" s="17" t="s">
        <v>29</v>
      </c>
      <c r="D194" s="17" t="s">
        <v>802</v>
      </c>
      <c r="E194" s="17" t="s">
        <v>803</v>
      </c>
      <c r="F194" s="17" t="s">
        <v>804</v>
      </c>
      <c r="G194" s="17" t="s">
        <v>287</v>
      </c>
      <c r="H194" s="17" t="s">
        <v>761</v>
      </c>
      <c r="I194" s="17" t="s">
        <v>3709</v>
      </c>
      <c r="J194" s="16"/>
      <c r="K194" s="16" t="str">
        <f t="shared" si="0"/>
        <v>ไม่ผ่าน</v>
      </c>
      <c r="L194" s="16" t="s">
        <v>28</v>
      </c>
    </row>
    <row r="195" spans="1:12" ht="18" customHeight="1">
      <c r="A195" s="16">
        <v>193</v>
      </c>
      <c r="B195" s="17">
        <v>6610488225</v>
      </c>
      <c r="C195" s="17" t="s">
        <v>29</v>
      </c>
      <c r="D195" s="17" t="s">
        <v>805</v>
      </c>
      <c r="E195" s="17" t="s">
        <v>806</v>
      </c>
      <c r="F195" s="17" t="s">
        <v>807</v>
      </c>
      <c r="G195" s="17" t="s">
        <v>287</v>
      </c>
      <c r="H195" s="17" t="s">
        <v>761</v>
      </c>
      <c r="I195" s="17" t="s">
        <v>3709</v>
      </c>
      <c r="J195" s="16"/>
      <c r="K195" s="16" t="str">
        <f t="shared" si="0"/>
        <v>ไม่ผ่าน</v>
      </c>
      <c r="L195" s="16" t="s">
        <v>28</v>
      </c>
    </row>
    <row r="196" spans="1:12" ht="18" customHeight="1">
      <c r="A196" s="16">
        <v>194</v>
      </c>
      <c r="B196" s="17">
        <v>6510488103</v>
      </c>
      <c r="C196" s="17" t="s">
        <v>22</v>
      </c>
      <c r="D196" s="17" t="s">
        <v>808</v>
      </c>
      <c r="E196" s="17" t="s">
        <v>809</v>
      </c>
      <c r="F196" s="17" t="s">
        <v>810</v>
      </c>
      <c r="G196" s="17" t="s">
        <v>287</v>
      </c>
      <c r="H196" s="17" t="s">
        <v>761</v>
      </c>
      <c r="I196" s="17" t="s">
        <v>3710</v>
      </c>
      <c r="J196" s="16"/>
      <c r="K196" s="16" t="str">
        <f t="shared" si="0"/>
        <v>ไม่ผ่าน</v>
      </c>
      <c r="L196" s="16" t="s">
        <v>28</v>
      </c>
    </row>
    <row r="197" spans="1:12" ht="18" customHeight="1">
      <c r="A197" s="16">
        <v>195</v>
      </c>
      <c r="B197" s="17">
        <v>6510488106</v>
      </c>
      <c r="C197" s="17" t="s">
        <v>22</v>
      </c>
      <c r="D197" s="17" t="s">
        <v>811</v>
      </c>
      <c r="E197" s="17" t="s">
        <v>209</v>
      </c>
      <c r="F197" s="17" t="s">
        <v>812</v>
      </c>
      <c r="G197" s="17" t="s">
        <v>287</v>
      </c>
      <c r="H197" s="17" t="s">
        <v>761</v>
      </c>
      <c r="I197" s="17" t="s">
        <v>3710</v>
      </c>
      <c r="J197" s="16"/>
      <c r="K197" s="16" t="str">
        <f t="shared" si="0"/>
        <v>ไม่ผ่าน</v>
      </c>
      <c r="L197" s="16" t="s">
        <v>28</v>
      </c>
    </row>
    <row r="198" spans="1:12" ht="18" customHeight="1">
      <c r="A198" s="16">
        <v>196</v>
      </c>
      <c r="B198" s="17">
        <v>6510488204</v>
      </c>
      <c r="C198" s="17" t="s">
        <v>22</v>
      </c>
      <c r="D198" s="17" t="s">
        <v>813</v>
      </c>
      <c r="E198" s="17" t="s">
        <v>814</v>
      </c>
      <c r="F198" s="17" t="s">
        <v>609</v>
      </c>
      <c r="G198" s="17" t="s">
        <v>287</v>
      </c>
      <c r="H198" s="17" t="s">
        <v>761</v>
      </c>
      <c r="I198" s="17" t="s">
        <v>3710</v>
      </c>
      <c r="J198" s="16"/>
      <c r="K198" s="16" t="str">
        <f t="shared" si="0"/>
        <v>ไม่ผ่าน</v>
      </c>
      <c r="L198" s="16" t="s">
        <v>28</v>
      </c>
    </row>
    <row r="199" spans="1:12" ht="18" customHeight="1">
      <c r="A199" s="16">
        <v>197</v>
      </c>
      <c r="B199" s="17">
        <v>6510488225</v>
      </c>
      <c r="C199" s="17" t="s">
        <v>29</v>
      </c>
      <c r="D199" s="17" t="s">
        <v>815</v>
      </c>
      <c r="E199" s="17" t="s">
        <v>470</v>
      </c>
      <c r="F199" s="17" t="s">
        <v>816</v>
      </c>
      <c r="G199" s="17" t="s">
        <v>287</v>
      </c>
      <c r="H199" s="17" t="s">
        <v>761</v>
      </c>
      <c r="I199" s="17" t="s">
        <v>3710</v>
      </c>
      <c r="J199" s="16"/>
      <c r="K199" s="16" t="str">
        <f t="shared" si="0"/>
        <v>ไม่ผ่าน</v>
      </c>
      <c r="L199" s="16" t="s">
        <v>28</v>
      </c>
    </row>
    <row r="200" spans="1:12" ht="18" customHeight="1">
      <c r="A200" s="16">
        <v>198</v>
      </c>
      <c r="B200" s="17">
        <v>6410488102</v>
      </c>
      <c r="C200" s="17" t="s">
        <v>22</v>
      </c>
      <c r="D200" s="17" t="s">
        <v>817</v>
      </c>
      <c r="E200" s="17" t="s">
        <v>818</v>
      </c>
      <c r="F200" s="17" t="s">
        <v>65</v>
      </c>
      <c r="G200" s="17" t="s">
        <v>287</v>
      </c>
      <c r="H200" s="17" t="s">
        <v>761</v>
      </c>
      <c r="I200" s="17" t="s">
        <v>3707</v>
      </c>
      <c r="J200" s="16"/>
      <c r="K200" s="16" t="str">
        <f t="shared" si="0"/>
        <v>ไม่ผ่าน</v>
      </c>
      <c r="L200" s="16" t="s">
        <v>28</v>
      </c>
    </row>
    <row r="201" spans="1:12" ht="18" customHeight="1">
      <c r="A201" s="16">
        <v>199</v>
      </c>
      <c r="B201" s="17">
        <v>6410488103</v>
      </c>
      <c r="C201" s="17" t="s">
        <v>22</v>
      </c>
      <c r="D201" s="17" t="s">
        <v>819</v>
      </c>
      <c r="E201" s="17" t="s">
        <v>37</v>
      </c>
      <c r="F201" s="17" t="s">
        <v>820</v>
      </c>
      <c r="G201" s="17" t="s">
        <v>287</v>
      </c>
      <c r="H201" s="17" t="s">
        <v>761</v>
      </c>
      <c r="I201" s="17" t="s">
        <v>3707</v>
      </c>
      <c r="J201" s="16"/>
      <c r="K201" s="16" t="str">
        <f t="shared" si="0"/>
        <v>ไม่ผ่าน</v>
      </c>
      <c r="L201" s="16" t="s">
        <v>28</v>
      </c>
    </row>
    <row r="202" spans="1:12" ht="18" customHeight="1">
      <c r="A202" s="16">
        <v>200</v>
      </c>
      <c r="B202" s="17">
        <v>6410488104</v>
      </c>
      <c r="C202" s="17" t="s">
        <v>22</v>
      </c>
      <c r="D202" s="17" t="s">
        <v>821</v>
      </c>
      <c r="E202" s="17" t="s">
        <v>822</v>
      </c>
      <c r="F202" s="17" t="s">
        <v>823</v>
      </c>
      <c r="G202" s="17" t="s">
        <v>287</v>
      </c>
      <c r="H202" s="17" t="s">
        <v>761</v>
      </c>
      <c r="I202" s="17" t="s">
        <v>3707</v>
      </c>
      <c r="J202" s="16"/>
      <c r="K202" s="16" t="str">
        <f t="shared" si="0"/>
        <v>ไม่ผ่าน</v>
      </c>
      <c r="L202" s="16" t="s">
        <v>28</v>
      </c>
    </row>
    <row r="203" spans="1:12" ht="18" customHeight="1">
      <c r="A203" s="16">
        <v>201</v>
      </c>
      <c r="B203" s="17">
        <v>6410488105</v>
      </c>
      <c r="C203" s="17" t="s">
        <v>22</v>
      </c>
      <c r="D203" s="17" t="s">
        <v>824</v>
      </c>
      <c r="E203" s="17" t="s">
        <v>825</v>
      </c>
      <c r="F203" s="17" t="s">
        <v>826</v>
      </c>
      <c r="G203" s="17" t="s">
        <v>287</v>
      </c>
      <c r="H203" s="17" t="s">
        <v>761</v>
      </c>
      <c r="I203" s="17" t="s">
        <v>3707</v>
      </c>
      <c r="J203" s="16"/>
      <c r="K203" s="16" t="str">
        <f t="shared" si="0"/>
        <v>ไม่ผ่าน</v>
      </c>
      <c r="L203" s="16" t="s">
        <v>28</v>
      </c>
    </row>
    <row r="204" spans="1:12" ht="18" customHeight="1">
      <c r="A204" s="16">
        <v>202</v>
      </c>
      <c r="B204" s="17">
        <v>6410488106</v>
      </c>
      <c r="C204" s="17" t="s">
        <v>22</v>
      </c>
      <c r="D204" s="17" t="s">
        <v>827</v>
      </c>
      <c r="E204" s="17" t="s">
        <v>828</v>
      </c>
      <c r="F204" s="17" t="s">
        <v>829</v>
      </c>
      <c r="G204" s="17" t="s">
        <v>287</v>
      </c>
      <c r="H204" s="17" t="s">
        <v>761</v>
      </c>
      <c r="I204" s="17" t="s">
        <v>3707</v>
      </c>
      <c r="J204" s="16"/>
      <c r="K204" s="16" t="str">
        <f t="shared" si="0"/>
        <v>ไม่ผ่าน</v>
      </c>
      <c r="L204" s="16" t="s">
        <v>28</v>
      </c>
    </row>
    <row r="205" spans="1:12" ht="18" customHeight="1">
      <c r="A205" s="16">
        <v>203</v>
      </c>
      <c r="B205" s="17">
        <v>6410488107</v>
      </c>
      <c r="C205" s="17" t="s">
        <v>22</v>
      </c>
      <c r="D205" s="17" t="s">
        <v>762</v>
      </c>
      <c r="E205" s="17" t="s">
        <v>830</v>
      </c>
      <c r="F205" s="17" t="s">
        <v>831</v>
      </c>
      <c r="G205" s="17" t="s">
        <v>287</v>
      </c>
      <c r="H205" s="17" t="s">
        <v>761</v>
      </c>
      <c r="I205" s="17" t="s">
        <v>3707</v>
      </c>
      <c r="J205" s="16"/>
      <c r="K205" s="16" t="str">
        <f t="shared" si="0"/>
        <v>ไม่ผ่าน</v>
      </c>
      <c r="L205" s="16" t="s">
        <v>28</v>
      </c>
    </row>
    <row r="206" spans="1:12" ht="18" customHeight="1">
      <c r="A206" s="16">
        <v>204</v>
      </c>
      <c r="B206" s="17">
        <v>6410488118</v>
      </c>
      <c r="C206" s="17" t="s">
        <v>29</v>
      </c>
      <c r="D206" s="17" t="s">
        <v>832</v>
      </c>
      <c r="E206" s="17" t="s">
        <v>833</v>
      </c>
      <c r="F206" s="17" t="s">
        <v>834</v>
      </c>
      <c r="G206" s="17" t="s">
        <v>287</v>
      </c>
      <c r="H206" s="17" t="s">
        <v>761</v>
      </c>
      <c r="I206" s="17" t="s">
        <v>3707</v>
      </c>
      <c r="J206" s="16"/>
      <c r="K206" s="16" t="str">
        <f t="shared" si="0"/>
        <v>ไม่ผ่าน</v>
      </c>
      <c r="L206" s="16" t="s">
        <v>28</v>
      </c>
    </row>
    <row r="207" spans="1:12" ht="18" customHeight="1">
      <c r="A207" s="16">
        <v>205</v>
      </c>
      <c r="B207" s="17">
        <v>6410488123</v>
      </c>
      <c r="C207" s="17" t="s">
        <v>29</v>
      </c>
      <c r="D207" s="17" t="s">
        <v>835</v>
      </c>
      <c r="E207" s="17" t="s">
        <v>836</v>
      </c>
      <c r="F207" s="17" t="s">
        <v>143</v>
      </c>
      <c r="G207" s="17" t="s">
        <v>287</v>
      </c>
      <c r="H207" s="17" t="s">
        <v>761</v>
      </c>
      <c r="I207" s="17" t="s">
        <v>3707</v>
      </c>
      <c r="J207" s="16"/>
      <c r="K207" s="16" t="str">
        <f t="shared" si="0"/>
        <v>ไม่ผ่าน</v>
      </c>
      <c r="L207" s="16" t="s">
        <v>28</v>
      </c>
    </row>
    <row r="208" spans="1:12" ht="18" customHeight="1">
      <c r="A208" s="16">
        <v>206</v>
      </c>
      <c r="B208" s="17">
        <v>6410488124</v>
      </c>
      <c r="C208" s="17" t="s">
        <v>29</v>
      </c>
      <c r="D208" s="17" t="s">
        <v>837</v>
      </c>
      <c r="E208" s="17" t="s">
        <v>838</v>
      </c>
      <c r="F208" s="17" t="s">
        <v>839</v>
      </c>
      <c r="G208" s="17" t="s">
        <v>287</v>
      </c>
      <c r="H208" s="17" t="s">
        <v>761</v>
      </c>
      <c r="I208" s="17" t="s">
        <v>3707</v>
      </c>
      <c r="J208" s="16"/>
      <c r="K208" s="16" t="str">
        <f t="shared" si="0"/>
        <v>ไม่ผ่าน</v>
      </c>
      <c r="L208" s="16" t="s">
        <v>28</v>
      </c>
    </row>
    <row r="209" spans="1:12" ht="18" customHeight="1">
      <c r="A209" s="16">
        <v>207</v>
      </c>
      <c r="B209" s="17">
        <v>6410488125</v>
      </c>
      <c r="C209" s="17" t="s">
        <v>29</v>
      </c>
      <c r="D209" s="17" t="s">
        <v>840</v>
      </c>
      <c r="E209" s="17" t="s">
        <v>841</v>
      </c>
      <c r="F209" s="17" t="s">
        <v>507</v>
      </c>
      <c r="G209" s="17" t="s">
        <v>287</v>
      </c>
      <c r="H209" s="17" t="s">
        <v>761</v>
      </c>
      <c r="I209" s="17" t="s">
        <v>3707</v>
      </c>
      <c r="J209" s="16"/>
      <c r="K209" s="16" t="str">
        <f t="shared" si="0"/>
        <v>ไม่ผ่าน</v>
      </c>
      <c r="L209" s="16" t="s">
        <v>28</v>
      </c>
    </row>
    <row r="210" spans="1:12" ht="18" customHeight="1">
      <c r="A210" s="16">
        <v>208</v>
      </c>
      <c r="B210" s="17">
        <v>6410488201</v>
      </c>
      <c r="C210" s="17" t="s">
        <v>22</v>
      </c>
      <c r="D210" s="17" t="s">
        <v>842</v>
      </c>
      <c r="E210" s="17" t="s">
        <v>843</v>
      </c>
      <c r="F210" s="17" t="s">
        <v>844</v>
      </c>
      <c r="G210" s="17" t="s">
        <v>287</v>
      </c>
      <c r="H210" s="17" t="s">
        <v>761</v>
      </c>
      <c r="I210" s="17" t="s">
        <v>3707</v>
      </c>
      <c r="J210" s="16"/>
      <c r="K210" s="16" t="str">
        <f t="shared" si="0"/>
        <v>ไม่ผ่าน</v>
      </c>
      <c r="L210" s="16" t="s">
        <v>28</v>
      </c>
    </row>
    <row r="211" spans="1:12" ht="18" customHeight="1">
      <c r="A211" s="16">
        <v>209</v>
      </c>
      <c r="B211" s="17">
        <v>6410488203</v>
      </c>
      <c r="C211" s="17" t="s">
        <v>22</v>
      </c>
      <c r="D211" s="17" t="s">
        <v>845</v>
      </c>
      <c r="E211" s="17" t="s">
        <v>846</v>
      </c>
      <c r="F211" s="17" t="s">
        <v>847</v>
      </c>
      <c r="G211" s="17" t="s">
        <v>287</v>
      </c>
      <c r="H211" s="17" t="s">
        <v>761</v>
      </c>
      <c r="I211" s="17" t="s">
        <v>3707</v>
      </c>
      <c r="J211" s="16"/>
      <c r="K211" s="16" t="str">
        <f t="shared" si="0"/>
        <v>ไม่ผ่าน</v>
      </c>
      <c r="L211" s="16" t="s">
        <v>28</v>
      </c>
    </row>
    <row r="212" spans="1:12" ht="18" customHeight="1">
      <c r="A212" s="16">
        <v>210</v>
      </c>
      <c r="B212" s="17">
        <v>6410488204</v>
      </c>
      <c r="C212" s="17" t="s">
        <v>22</v>
      </c>
      <c r="D212" s="17" t="s">
        <v>848</v>
      </c>
      <c r="E212" s="17" t="s">
        <v>849</v>
      </c>
      <c r="F212" s="17" t="s">
        <v>850</v>
      </c>
      <c r="G212" s="17" t="s">
        <v>287</v>
      </c>
      <c r="H212" s="17" t="s">
        <v>761</v>
      </c>
      <c r="I212" s="17" t="s">
        <v>3707</v>
      </c>
      <c r="J212" s="16"/>
      <c r="K212" s="16" t="str">
        <f t="shared" si="0"/>
        <v>ไม่ผ่าน</v>
      </c>
      <c r="L212" s="16" t="s">
        <v>28</v>
      </c>
    </row>
    <row r="213" spans="1:12" ht="18" customHeight="1">
      <c r="A213" s="16">
        <v>211</v>
      </c>
      <c r="B213" s="17">
        <v>6410488205</v>
      </c>
      <c r="C213" s="17" t="s">
        <v>22</v>
      </c>
      <c r="D213" s="17" t="s">
        <v>851</v>
      </c>
      <c r="E213" s="17" t="s">
        <v>852</v>
      </c>
      <c r="F213" s="17" t="s">
        <v>568</v>
      </c>
      <c r="G213" s="17" t="s">
        <v>287</v>
      </c>
      <c r="H213" s="17" t="s">
        <v>761</v>
      </c>
      <c r="I213" s="17" t="s">
        <v>3707</v>
      </c>
      <c r="J213" s="16"/>
      <c r="K213" s="16" t="str">
        <f t="shared" si="0"/>
        <v>ไม่ผ่าน</v>
      </c>
      <c r="L213" s="16" t="s">
        <v>28</v>
      </c>
    </row>
    <row r="214" spans="1:12" ht="18" customHeight="1">
      <c r="A214" s="16">
        <v>212</v>
      </c>
      <c r="B214" s="17">
        <v>6410488206</v>
      </c>
      <c r="C214" s="17" t="s">
        <v>22</v>
      </c>
      <c r="D214" s="17" t="s">
        <v>853</v>
      </c>
      <c r="E214" s="17" t="s">
        <v>854</v>
      </c>
      <c r="F214" s="17" t="s">
        <v>855</v>
      </c>
      <c r="G214" s="17" t="s">
        <v>287</v>
      </c>
      <c r="H214" s="17" t="s">
        <v>761</v>
      </c>
      <c r="I214" s="17" t="s">
        <v>3707</v>
      </c>
      <c r="J214" s="16"/>
      <c r="K214" s="16" t="str">
        <f t="shared" si="0"/>
        <v>ไม่ผ่าน</v>
      </c>
      <c r="L214" s="16" t="s">
        <v>28</v>
      </c>
    </row>
    <row r="215" spans="1:12" ht="18" customHeight="1">
      <c r="A215" s="16">
        <v>213</v>
      </c>
      <c r="B215" s="17">
        <v>6410488208</v>
      </c>
      <c r="C215" s="17" t="s">
        <v>22</v>
      </c>
      <c r="D215" s="17" t="s">
        <v>856</v>
      </c>
      <c r="E215" s="17" t="s">
        <v>857</v>
      </c>
      <c r="F215" s="17" t="s">
        <v>858</v>
      </c>
      <c r="G215" s="17" t="s">
        <v>287</v>
      </c>
      <c r="H215" s="17" t="s">
        <v>761</v>
      </c>
      <c r="I215" s="17" t="s">
        <v>3707</v>
      </c>
      <c r="J215" s="16"/>
      <c r="K215" s="16" t="str">
        <f t="shared" si="0"/>
        <v>ไม่ผ่าน</v>
      </c>
      <c r="L215" s="16" t="s">
        <v>28</v>
      </c>
    </row>
    <row r="216" spans="1:12" ht="18" customHeight="1">
      <c r="A216" s="16">
        <v>214</v>
      </c>
      <c r="B216" s="17">
        <v>6410488212</v>
      </c>
      <c r="C216" s="17" t="s">
        <v>29</v>
      </c>
      <c r="D216" s="17" t="s">
        <v>859</v>
      </c>
      <c r="E216" s="17" t="s">
        <v>860</v>
      </c>
      <c r="F216" s="17" t="s">
        <v>861</v>
      </c>
      <c r="G216" s="17" t="s">
        <v>287</v>
      </c>
      <c r="H216" s="17" t="s">
        <v>761</v>
      </c>
      <c r="I216" s="17" t="s">
        <v>3707</v>
      </c>
      <c r="J216" s="16"/>
      <c r="K216" s="16" t="str">
        <f t="shared" si="0"/>
        <v>ไม่ผ่าน</v>
      </c>
      <c r="L216" s="16" t="s">
        <v>28</v>
      </c>
    </row>
    <row r="217" spans="1:12" ht="18" customHeight="1">
      <c r="A217" s="16">
        <v>215</v>
      </c>
      <c r="B217" s="17">
        <v>6410488216</v>
      </c>
      <c r="C217" s="17" t="s">
        <v>29</v>
      </c>
      <c r="D217" s="17" t="s">
        <v>862</v>
      </c>
      <c r="E217" s="17" t="s">
        <v>863</v>
      </c>
      <c r="F217" s="17" t="s">
        <v>864</v>
      </c>
      <c r="G217" s="17" t="s">
        <v>287</v>
      </c>
      <c r="H217" s="17" t="s">
        <v>761</v>
      </c>
      <c r="I217" s="17" t="s">
        <v>3707</v>
      </c>
      <c r="J217" s="16"/>
      <c r="K217" s="16" t="str">
        <f t="shared" si="0"/>
        <v>ไม่ผ่าน</v>
      </c>
      <c r="L217" s="16" t="s">
        <v>28</v>
      </c>
    </row>
    <row r="218" spans="1:12" ht="18" customHeight="1">
      <c r="A218" s="16">
        <v>216</v>
      </c>
      <c r="B218" s="17">
        <v>6410488219</v>
      </c>
      <c r="C218" s="17" t="s">
        <v>29</v>
      </c>
      <c r="D218" s="17" t="s">
        <v>234</v>
      </c>
      <c r="E218" s="17" t="s">
        <v>865</v>
      </c>
      <c r="F218" s="17" t="s">
        <v>866</v>
      </c>
      <c r="G218" s="17" t="s">
        <v>287</v>
      </c>
      <c r="H218" s="17" t="s">
        <v>761</v>
      </c>
      <c r="I218" s="17" t="s">
        <v>3707</v>
      </c>
      <c r="J218" s="16"/>
      <c r="K218" s="16" t="str">
        <f t="shared" si="0"/>
        <v>ไม่ผ่าน</v>
      </c>
      <c r="L218" s="16" t="s">
        <v>28</v>
      </c>
    </row>
    <row r="219" spans="1:12" ht="18" customHeight="1">
      <c r="A219" s="16">
        <v>217</v>
      </c>
      <c r="B219" s="17">
        <v>6410488221</v>
      </c>
      <c r="C219" s="17" t="s">
        <v>29</v>
      </c>
      <c r="D219" s="17" t="s">
        <v>867</v>
      </c>
      <c r="E219" s="17" t="s">
        <v>868</v>
      </c>
      <c r="F219" s="17" t="s">
        <v>869</v>
      </c>
      <c r="G219" s="17" t="s">
        <v>287</v>
      </c>
      <c r="H219" s="17" t="s">
        <v>761</v>
      </c>
      <c r="I219" s="17" t="s">
        <v>3707</v>
      </c>
      <c r="J219" s="16"/>
      <c r="K219" s="16" t="str">
        <f t="shared" si="0"/>
        <v>ไม่ผ่าน</v>
      </c>
      <c r="L219" s="16" t="s">
        <v>28</v>
      </c>
    </row>
    <row r="220" spans="1:12" ht="18" customHeight="1">
      <c r="A220" s="16">
        <v>218</v>
      </c>
      <c r="B220" s="17">
        <v>6410488224</v>
      </c>
      <c r="C220" s="17" t="s">
        <v>29</v>
      </c>
      <c r="D220" s="17" t="s">
        <v>870</v>
      </c>
      <c r="E220" s="17" t="s">
        <v>871</v>
      </c>
      <c r="F220" s="17" t="s">
        <v>872</v>
      </c>
      <c r="G220" s="17" t="s">
        <v>287</v>
      </c>
      <c r="H220" s="17" t="s">
        <v>761</v>
      </c>
      <c r="I220" s="17" t="s">
        <v>3707</v>
      </c>
      <c r="J220" s="16"/>
      <c r="K220" s="16" t="str">
        <f t="shared" si="0"/>
        <v>ไม่ผ่าน</v>
      </c>
      <c r="L220" s="16" t="s">
        <v>28</v>
      </c>
    </row>
    <row r="221" spans="1:12" ht="18" customHeight="1">
      <c r="A221" s="16">
        <v>219</v>
      </c>
      <c r="B221" s="17">
        <v>6310488101</v>
      </c>
      <c r="C221" s="17" t="s">
        <v>22</v>
      </c>
      <c r="D221" s="17" t="s">
        <v>873</v>
      </c>
      <c r="E221" s="17" t="s">
        <v>874</v>
      </c>
      <c r="F221" s="17" t="s">
        <v>875</v>
      </c>
      <c r="G221" s="17" t="s">
        <v>287</v>
      </c>
      <c r="H221" s="17" t="s">
        <v>761</v>
      </c>
      <c r="I221" s="17" t="s">
        <v>3708</v>
      </c>
      <c r="J221" s="16"/>
      <c r="K221" s="16" t="str">
        <f t="shared" si="0"/>
        <v>ไม่ผ่าน</v>
      </c>
      <c r="L221" s="16" t="s">
        <v>28</v>
      </c>
    </row>
    <row r="222" spans="1:12" ht="18" customHeight="1">
      <c r="A222" s="16">
        <v>220</v>
      </c>
      <c r="B222" s="17">
        <v>6310488102</v>
      </c>
      <c r="C222" s="17" t="s">
        <v>22</v>
      </c>
      <c r="D222" s="17" t="s">
        <v>876</v>
      </c>
      <c r="E222" s="17" t="s">
        <v>877</v>
      </c>
      <c r="F222" s="17" t="s">
        <v>878</v>
      </c>
      <c r="G222" s="17" t="s">
        <v>287</v>
      </c>
      <c r="H222" s="17" t="s">
        <v>761</v>
      </c>
      <c r="I222" s="17" t="s">
        <v>3708</v>
      </c>
      <c r="J222" s="16"/>
      <c r="K222" s="16" t="str">
        <f t="shared" si="0"/>
        <v>ไม่ผ่าน</v>
      </c>
      <c r="L222" s="16" t="s">
        <v>28</v>
      </c>
    </row>
    <row r="223" spans="1:12" ht="18" customHeight="1">
      <c r="A223" s="16">
        <v>221</v>
      </c>
      <c r="B223" s="17">
        <v>6310488106</v>
      </c>
      <c r="C223" s="17" t="s">
        <v>22</v>
      </c>
      <c r="D223" s="17" t="s">
        <v>879</v>
      </c>
      <c r="E223" s="17" t="s">
        <v>880</v>
      </c>
      <c r="F223" s="17" t="s">
        <v>881</v>
      </c>
      <c r="G223" s="17" t="s">
        <v>287</v>
      </c>
      <c r="H223" s="17" t="s">
        <v>761</v>
      </c>
      <c r="I223" s="17" t="s">
        <v>3708</v>
      </c>
      <c r="J223" s="16"/>
      <c r="K223" s="16" t="str">
        <f t="shared" si="0"/>
        <v>ไม่ผ่าน</v>
      </c>
      <c r="L223" s="16" t="s">
        <v>28</v>
      </c>
    </row>
    <row r="224" spans="1:12" ht="18" customHeight="1">
      <c r="A224" s="16">
        <v>222</v>
      </c>
      <c r="B224" s="17">
        <v>6310488113</v>
      </c>
      <c r="C224" s="17" t="s">
        <v>29</v>
      </c>
      <c r="D224" s="17" t="s">
        <v>642</v>
      </c>
      <c r="E224" s="17" t="s">
        <v>882</v>
      </c>
      <c r="F224" s="17" t="s">
        <v>883</v>
      </c>
      <c r="G224" s="17" t="s">
        <v>287</v>
      </c>
      <c r="H224" s="17" t="s">
        <v>761</v>
      </c>
      <c r="I224" s="17" t="s">
        <v>3708</v>
      </c>
      <c r="J224" s="16"/>
      <c r="K224" s="16" t="str">
        <f t="shared" si="0"/>
        <v>ไม่ผ่าน</v>
      </c>
      <c r="L224" s="16" t="s">
        <v>28</v>
      </c>
    </row>
    <row r="225" spans="1:12" ht="18" customHeight="1">
      <c r="A225" s="16">
        <v>223</v>
      </c>
      <c r="B225" s="17">
        <v>6310488117</v>
      </c>
      <c r="C225" s="17" t="s">
        <v>599</v>
      </c>
      <c r="D225" s="17" t="s">
        <v>884</v>
      </c>
      <c r="E225" s="17" t="s">
        <v>885</v>
      </c>
      <c r="F225" s="17" t="s">
        <v>784</v>
      </c>
      <c r="G225" s="17" t="s">
        <v>287</v>
      </c>
      <c r="H225" s="17" t="s">
        <v>761</v>
      </c>
      <c r="I225" s="17" t="s">
        <v>3708</v>
      </c>
      <c r="J225" s="16"/>
      <c r="K225" s="16" t="str">
        <f t="shared" si="0"/>
        <v>ไม่ผ่าน</v>
      </c>
      <c r="L225" s="16" t="s">
        <v>28</v>
      </c>
    </row>
    <row r="226" spans="1:12" ht="18" customHeight="1">
      <c r="A226" s="16">
        <v>224</v>
      </c>
      <c r="B226" s="17">
        <v>6310488118</v>
      </c>
      <c r="C226" s="17" t="s">
        <v>29</v>
      </c>
      <c r="D226" s="17" t="s">
        <v>886</v>
      </c>
      <c r="E226" s="17" t="s">
        <v>887</v>
      </c>
      <c r="F226" s="17" t="s">
        <v>888</v>
      </c>
      <c r="G226" s="17" t="s">
        <v>287</v>
      </c>
      <c r="H226" s="17" t="s">
        <v>761</v>
      </c>
      <c r="I226" s="17" t="s">
        <v>3708</v>
      </c>
      <c r="J226" s="16"/>
      <c r="K226" s="16" t="str">
        <f t="shared" si="0"/>
        <v>ไม่ผ่าน</v>
      </c>
      <c r="L226" s="16" t="s">
        <v>28</v>
      </c>
    </row>
    <row r="227" spans="1:12" ht="18" customHeight="1">
      <c r="A227" s="16">
        <v>225</v>
      </c>
      <c r="B227" s="22">
        <v>6310488118</v>
      </c>
      <c r="C227" s="22" t="s">
        <v>29</v>
      </c>
      <c r="D227" s="22" t="s">
        <v>886</v>
      </c>
      <c r="E227" s="17" t="s">
        <v>887</v>
      </c>
      <c r="F227" s="22" t="s">
        <v>888</v>
      </c>
      <c r="G227" s="22" t="s">
        <v>287</v>
      </c>
      <c r="H227" s="22" t="s">
        <v>761</v>
      </c>
      <c r="I227" s="22" t="s">
        <v>3708</v>
      </c>
      <c r="J227" s="16"/>
      <c r="K227" s="16" t="str">
        <f t="shared" si="0"/>
        <v>ไม่ผ่าน</v>
      </c>
      <c r="L227" s="16" t="s">
        <v>28</v>
      </c>
    </row>
    <row r="228" spans="1:12" ht="18" customHeight="1">
      <c r="A228" s="16">
        <v>226</v>
      </c>
      <c r="B228" s="17">
        <v>6310488120</v>
      </c>
      <c r="C228" s="17" t="s">
        <v>29</v>
      </c>
      <c r="D228" s="17" t="s">
        <v>889</v>
      </c>
      <c r="E228" s="17" t="s">
        <v>890</v>
      </c>
      <c r="F228" s="17" t="s">
        <v>891</v>
      </c>
      <c r="G228" s="17" t="s">
        <v>287</v>
      </c>
      <c r="H228" s="17" t="s">
        <v>761</v>
      </c>
      <c r="I228" s="17" t="s">
        <v>3708</v>
      </c>
      <c r="J228" s="16"/>
      <c r="K228" s="16" t="str">
        <f t="shared" si="0"/>
        <v>ไม่ผ่าน</v>
      </c>
      <c r="L228" s="16" t="s">
        <v>28</v>
      </c>
    </row>
    <row r="229" spans="1:12" ht="18" customHeight="1">
      <c r="A229" s="16">
        <v>227</v>
      </c>
      <c r="B229" s="17">
        <v>6310488122</v>
      </c>
      <c r="C229" s="17" t="s">
        <v>29</v>
      </c>
      <c r="D229" s="17" t="s">
        <v>892</v>
      </c>
      <c r="E229" s="17" t="s">
        <v>893</v>
      </c>
      <c r="F229" s="17" t="s">
        <v>894</v>
      </c>
      <c r="G229" s="17" t="s">
        <v>287</v>
      </c>
      <c r="H229" s="17" t="s">
        <v>761</v>
      </c>
      <c r="I229" s="17" t="s">
        <v>3708</v>
      </c>
      <c r="J229" s="16"/>
      <c r="K229" s="16" t="str">
        <f t="shared" si="0"/>
        <v>ไม่ผ่าน</v>
      </c>
      <c r="L229" s="16" t="s">
        <v>28</v>
      </c>
    </row>
    <row r="230" spans="1:12" ht="18" customHeight="1">
      <c r="A230" s="16">
        <v>228</v>
      </c>
      <c r="B230" s="17">
        <v>6310488128</v>
      </c>
      <c r="C230" s="17" t="s">
        <v>29</v>
      </c>
      <c r="D230" s="17" t="s">
        <v>149</v>
      </c>
      <c r="E230" s="17" t="s">
        <v>895</v>
      </c>
      <c r="F230" s="17" t="s">
        <v>300</v>
      </c>
      <c r="G230" s="17" t="s">
        <v>287</v>
      </c>
      <c r="H230" s="17" t="s">
        <v>761</v>
      </c>
      <c r="I230" s="17" t="s">
        <v>3708</v>
      </c>
      <c r="J230" s="16"/>
      <c r="K230" s="16" t="str">
        <f t="shared" si="0"/>
        <v>ไม่ผ่าน</v>
      </c>
      <c r="L230" s="16" t="s">
        <v>28</v>
      </c>
    </row>
    <row r="231" spans="1:12" ht="18" customHeight="1">
      <c r="A231" s="16">
        <v>229</v>
      </c>
      <c r="B231" s="17">
        <v>6310488133</v>
      </c>
      <c r="C231" s="17" t="s">
        <v>29</v>
      </c>
      <c r="D231" s="17" t="s">
        <v>896</v>
      </c>
      <c r="E231" s="17" t="s">
        <v>897</v>
      </c>
      <c r="F231" s="17" t="s">
        <v>898</v>
      </c>
      <c r="G231" s="17" t="s">
        <v>287</v>
      </c>
      <c r="H231" s="17" t="s">
        <v>761</v>
      </c>
      <c r="I231" s="17" t="s">
        <v>3708</v>
      </c>
      <c r="J231" s="16"/>
      <c r="K231" s="16" t="str">
        <f t="shared" si="0"/>
        <v>ไม่ผ่าน</v>
      </c>
      <c r="L231" s="16" t="s">
        <v>28</v>
      </c>
    </row>
    <row r="232" spans="1:12" ht="18" customHeight="1">
      <c r="A232" s="16">
        <v>230</v>
      </c>
      <c r="B232" s="17">
        <v>6310488136</v>
      </c>
      <c r="C232" s="17" t="s">
        <v>29</v>
      </c>
      <c r="D232" s="17" t="s">
        <v>899</v>
      </c>
      <c r="E232" s="17" t="s">
        <v>900</v>
      </c>
      <c r="F232" s="17" t="s">
        <v>59</v>
      </c>
      <c r="G232" s="17" t="s">
        <v>287</v>
      </c>
      <c r="H232" s="17" t="s">
        <v>761</v>
      </c>
      <c r="I232" s="17" t="s">
        <v>3708</v>
      </c>
      <c r="J232" s="16"/>
      <c r="K232" s="16" t="str">
        <f t="shared" si="0"/>
        <v>ไม่ผ่าน</v>
      </c>
      <c r="L232" s="16" t="s">
        <v>28</v>
      </c>
    </row>
    <row r="233" spans="1:12" ht="18" customHeight="1">
      <c r="A233" s="16">
        <v>231</v>
      </c>
      <c r="B233" s="17">
        <v>6310488204</v>
      </c>
      <c r="C233" s="17" t="s">
        <v>22</v>
      </c>
      <c r="D233" s="17" t="s">
        <v>901</v>
      </c>
      <c r="E233" s="17" t="s">
        <v>902</v>
      </c>
      <c r="F233" s="17" t="s">
        <v>903</v>
      </c>
      <c r="G233" s="17" t="s">
        <v>287</v>
      </c>
      <c r="H233" s="17" t="s">
        <v>761</v>
      </c>
      <c r="I233" s="17" t="s">
        <v>3708</v>
      </c>
      <c r="J233" s="16"/>
      <c r="K233" s="16" t="str">
        <f t="shared" si="0"/>
        <v>ไม่ผ่าน</v>
      </c>
      <c r="L233" s="16" t="s">
        <v>28</v>
      </c>
    </row>
    <row r="234" spans="1:12" ht="18" customHeight="1">
      <c r="A234" s="16">
        <v>232</v>
      </c>
      <c r="B234" s="17">
        <v>6310488205</v>
      </c>
      <c r="C234" s="17" t="s">
        <v>22</v>
      </c>
      <c r="D234" s="17" t="s">
        <v>904</v>
      </c>
      <c r="E234" s="17" t="s">
        <v>905</v>
      </c>
      <c r="F234" s="17" t="s">
        <v>906</v>
      </c>
      <c r="G234" s="17" t="s">
        <v>287</v>
      </c>
      <c r="H234" s="17" t="s">
        <v>761</v>
      </c>
      <c r="I234" s="17" t="s">
        <v>3708</v>
      </c>
      <c r="J234" s="16"/>
      <c r="K234" s="16" t="str">
        <f t="shared" si="0"/>
        <v>ไม่ผ่าน</v>
      </c>
      <c r="L234" s="16" t="s">
        <v>28</v>
      </c>
    </row>
    <row r="235" spans="1:12" ht="18" customHeight="1">
      <c r="A235" s="16">
        <v>233</v>
      </c>
      <c r="B235" s="17">
        <v>6310488214</v>
      </c>
      <c r="C235" s="17" t="s">
        <v>29</v>
      </c>
      <c r="D235" s="17" t="s">
        <v>907</v>
      </c>
      <c r="E235" s="17" t="s">
        <v>908</v>
      </c>
      <c r="F235" s="17" t="s">
        <v>909</v>
      </c>
      <c r="G235" s="17" t="s">
        <v>287</v>
      </c>
      <c r="H235" s="17" t="s">
        <v>761</v>
      </c>
      <c r="I235" s="17" t="s">
        <v>3708</v>
      </c>
      <c r="J235" s="16"/>
      <c r="K235" s="16" t="str">
        <f t="shared" si="0"/>
        <v>ไม่ผ่าน</v>
      </c>
      <c r="L235" s="16" t="s">
        <v>28</v>
      </c>
    </row>
    <row r="236" spans="1:12" ht="18" customHeight="1">
      <c r="A236" s="16">
        <v>234</v>
      </c>
      <c r="B236" s="17">
        <v>6310488215</v>
      </c>
      <c r="C236" s="17" t="s">
        <v>29</v>
      </c>
      <c r="D236" s="17" t="s">
        <v>910</v>
      </c>
      <c r="E236" s="17" t="s">
        <v>911</v>
      </c>
      <c r="F236" s="17" t="s">
        <v>912</v>
      </c>
      <c r="G236" s="17" t="s">
        <v>287</v>
      </c>
      <c r="H236" s="17" t="s">
        <v>761</v>
      </c>
      <c r="I236" s="17" t="s">
        <v>3708</v>
      </c>
      <c r="J236" s="16"/>
      <c r="K236" s="16" t="str">
        <f t="shared" si="0"/>
        <v>ไม่ผ่าน</v>
      </c>
      <c r="L236" s="16" t="s">
        <v>28</v>
      </c>
    </row>
    <row r="237" spans="1:12" ht="18" customHeight="1">
      <c r="A237" s="16">
        <v>235</v>
      </c>
      <c r="B237" s="17">
        <v>6310488219</v>
      </c>
      <c r="C237" s="17" t="s">
        <v>29</v>
      </c>
      <c r="D237" s="17" t="s">
        <v>913</v>
      </c>
      <c r="E237" s="17" t="s">
        <v>914</v>
      </c>
      <c r="F237" s="17" t="s">
        <v>915</v>
      </c>
      <c r="G237" s="17" t="s">
        <v>287</v>
      </c>
      <c r="H237" s="17" t="s">
        <v>761</v>
      </c>
      <c r="I237" s="17" t="s">
        <v>3708</v>
      </c>
      <c r="J237" s="16"/>
      <c r="K237" s="16" t="str">
        <f t="shared" si="0"/>
        <v>ไม่ผ่าน</v>
      </c>
      <c r="L237" s="16" t="s">
        <v>28</v>
      </c>
    </row>
    <row r="238" spans="1:12" ht="18" customHeight="1">
      <c r="A238" s="16">
        <v>236</v>
      </c>
      <c r="B238" s="17">
        <v>6310488220</v>
      </c>
      <c r="C238" s="17" t="s">
        <v>29</v>
      </c>
      <c r="D238" s="17" t="s">
        <v>916</v>
      </c>
      <c r="E238" s="17" t="s">
        <v>917</v>
      </c>
      <c r="F238" s="17" t="s">
        <v>918</v>
      </c>
      <c r="G238" s="17" t="s">
        <v>287</v>
      </c>
      <c r="H238" s="17" t="s">
        <v>761</v>
      </c>
      <c r="I238" s="17" t="s">
        <v>3708</v>
      </c>
      <c r="J238" s="16"/>
      <c r="K238" s="16" t="str">
        <f t="shared" si="0"/>
        <v>ไม่ผ่าน</v>
      </c>
      <c r="L238" s="16" t="s">
        <v>28</v>
      </c>
    </row>
    <row r="239" spans="1:12" ht="18" customHeight="1">
      <c r="A239" s="16">
        <v>237</v>
      </c>
      <c r="B239" s="17">
        <v>6310488222</v>
      </c>
      <c r="C239" s="17" t="s">
        <v>29</v>
      </c>
      <c r="D239" s="17" t="s">
        <v>919</v>
      </c>
      <c r="E239" s="17" t="s">
        <v>920</v>
      </c>
      <c r="F239" s="17" t="s">
        <v>921</v>
      </c>
      <c r="G239" s="17" t="s">
        <v>287</v>
      </c>
      <c r="H239" s="17" t="s">
        <v>761</v>
      </c>
      <c r="I239" s="17" t="s">
        <v>3708</v>
      </c>
      <c r="J239" s="16"/>
      <c r="K239" s="16" t="str">
        <f t="shared" si="0"/>
        <v>ไม่ผ่าน</v>
      </c>
      <c r="L239" s="16" t="s">
        <v>28</v>
      </c>
    </row>
    <row r="240" spans="1:12" ht="18" customHeight="1">
      <c r="A240" s="16">
        <v>238</v>
      </c>
      <c r="B240" s="17">
        <v>6310488227</v>
      </c>
      <c r="C240" s="17" t="s">
        <v>29</v>
      </c>
      <c r="D240" s="17" t="s">
        <v>922</v>
      </c>
      <c r="E240" s="17" t="s">
        <v>923</v>
      </c>
      <c r="F240" s="17" t="s">
        <v>924</v>
      </c>
      <c r="G240" s="17" t="s">
        <v>287</v>
      </c>
      <c r="H240" s="17" t="s">
        <v>761</v>
      </c>
      <c r="I240" s="17" t="s">
        <v>3708</v>
      </c>
      <c r="J240" s="16"/>
      <c r="K240" s="16" t="str">
        <f t="shared" si="0"/>
        <v>ไม่ผ่าน</v>
      </c>
      <c r="L240" s="16" t="s">
        <v>28</v>
      </c>
    </row>
    <row r="241" spans="1:12" ht="18" customHeight="1">
      <c r="A241" s="16">
        <v>239</v>
      </c>
      <c r="B241" s="17">
        <v>6310488231</v>
      </c>
      <c r="C241" s="17" t="s">
        <v>29</v>
      </c>
      <c r="D241" s="17" t="s">
        <v>925</v>
      </c>
      <c r="E241" s="17" t="s">
        <v>926</v>
      </c>
      <c r="F241" s="17" t="s">
        <v>927</v>
      </c>
      <c r="G241" s="17" t="s">
        <v>287</v>
      </c>
      <c r="H241" s="17" t="s">
        <v>761</v>
      </c>
      <c r="I241" s="17" t="s">
        <v>3708</v>
      </c>
      <c r="J241" s="16"/>
      <c r="K241" s="16" t="str">
        <f t="shared" si="0"/>
        <v>ไม่ผ่าน</v>
      </c>
      <c r="L241" s="16" t="s">
        <v>28</v>
      </c>
    </row>
    <row r="242" spans="1:12" ht="18" customHeight="1">
      <c r="A242" s="16">
        <v>240</v>
      </c>
      <c r="B242" s="17">
        <v>6610414115</v>
      </c>
      <c r="C242" s="17" t="s">
        <v>29</v>
      </c>
      <c r="D242" s="17" t="s">
        <v>928</v>
      </c>
      <c r="E242" s="17" t="s">
        <v>929</v>
      </c>
      <c r="F242" s="17" t="s">
        <v>154</v>
      </c>
      <c r="G242" s="17" t="s">
        <v>287</v>
      </c>
      <c r="H242" s="17" t="s">
        <v>930</v>
      </c>
      <c r="I242" s="17" t="s">
        <v>3709</v>
      </c>
      <c r="J242" s="16"/>
      <c r="K242" s="16" t="str">
        <f t="shared" si="0"/>
        <v>ไม่ผ่าน</v>
      </c>
      <c r="L242" s="16" t="s">
        <v>28</v>
      </c>
    </row>
    <row r="243" spans="1:12" ht="18" customHeight="1">
      <c r="A243" s="16">
        <v>241</v>
      </c>
      <c r="B243" s="17">
        <v>6610414128</v>
      </c>
      <c r="C243" s="17" t="s">
        <v>29</v>
      </c>
      <c r="D243" s="17" t="s">
        <v>378</v>
      </c>
      <c r="E243" s="17" t="s">
        <v>931</v>
      </c>
      <c r="F243" s="17" t="s">
        <v>672</v>
      </c>
      <c r="G243" s="17" t="s">
        <v>287</v>
      </c>
      <c r="H243" s="17" t="s">
        <v>930</v>
      </c>
      <c r="I243" s="17" t="s">
        <v>3709</v>
      </c>
      <c r="J243" s="16"/>
      <c r="K243" s="16" t="str">
        <f t="shared" si="0"/>
        <v>ไม่ผ่าน</v>
      </c>
      <c r="L243" s="16" t="s">
        <v>28</v>
      </c>
    </row>
    <row r="244" spans="1:12" ht="18" customHeight="1">
      <c r="A244" s="16">
        <v>242</v>
      </c>
      <c r="B244" s="17">
        <v>6610414201</v>
      </c>
      <c r="C244" s="17" t="s">
        <v>22</v>
      </c>
      <c r="D244" s="17" t="s">
        <v>932</v>
      </c>
      <c r="E244" s="17" t="s">
        <v>933</v>
      </c>
      <c r="F244" s="17" t="s">
        <v>934</v>
      </c>
      <c r="G244" s="17" t="s">
        <v>287</v>
      </c>
      <c r="H244" s="17" t="s">
        <v>930</v>
      </c>
      <c r="I244" s="17" t="s">
        <v>3709</v>
      </c>
      <c r="J244" s="16"/>
      <c r="K244" s="16" t="str">
        <f t="shared" si="0"/>
        <v>ไม่ผ่าน</v>
      </c>
      <c r="L244" s="16" t="s">
        <v>28</v>
      </c>
    </row>
    <row r="245" spans="1:12" ht="18" customHeight="1">
      <c r="A245" s="16">
        <v>243</v>
      </c>
      <c r="B245" s="17">
        <v>6610414208</v>
      </c>
      <c r="C245" s="17" t="s">
        <v>29</v>
      </c>
      <c r="D245" s="17" t="s">
        <v>48</v>
      </c>
      <c r="E245" s="17" t="s">
        <v>935</v>
      </c>
      <c r="F245" s="17" t="s">
        <v>936</v>
      </c>
      <c r="G245" s="17" t="s">
        <v>287</v>
      </c>
      <c r="H245" s="17" t="s">
        <v>930</v>
      </c>
      <c r="I245" s="17" t="s">
        <v>3709</v>
      </c>
      <c r="J245" s="16"/>
      <c r="K245" s="16" t="str">
        <f t="shared" si="0"/>
        <v>ไม่ผ่าน</v>
      </c>
      <c r="L245" s="16" t="s">
        <v>28</v>
      </c>
    </row>
    <row r="246" spans="1:12" ht="18" customHeight="1">
      <c r="A246" s="16">
        <v>244</v>
      </c>
      <c r="B246" s="17">
        <v>6610414217</v>
      </c>
      <c r="C246" s="17" t="s">
        <v>29</v>
      </c>
      <c r="D246" s="17" t="s">
        <v>234</v>
      </c>
      <c r="E246" s="17" t="s">
        <v>937</v>
      </c>
      <c r="F246" s="17" t="s">
        <v>938</v>
      </c>
      <c r="G246" s="17" t="s">
        <v>287</v>
      </c>
      <c r="H246" s="17" t="s">
        <v>930</v>
      </c>
      <c r="I246" s="17" t="s">
        <v>3709</v>
      </c>
      <c r="J246" s="16"/>
      <c r="K246" s="16" t="str">
        <f t="shared" si="0"/>
        <v>ไม่ผ่าน</v>
      </c>
      <c r="L246" s="16" t="s">
        <v>28</v>
      </c>
    </row>
    <row r="247" spans="1:12" ht="18" customHeight="1">
      <c r="A247" s="16">
        <v>245</v>
      </c>
      <c r="B247" s="17">
        <v>6610414221</v>
      </c>
      <c r="C247" s="17" t="s">
        <v>29</v>
      </c>
      <c r="D247" s="17" t="s">
        <v>939</v>
      </c>
      <c r="E247" s="17" t="s">
        <v>940</v>
      </c>
      <c r="F247" s="17" t="s">
        <v>941</v>
      </c>
      <c r="G247" s="17" t="s">
        <v>287</v>
      </c>
      <c r="H247" s="17" t="s">
        <v>930</v>
      </c>
      <c r="I247" s="17" t="s">
        <v>3709</v>
      </c>
      <c r="J247" s="16"/>
      <c r="K247" s="16" t="str">
        <f t="shared" si="0"/>
        <v>ไม่ผ่าน</v>
      </c>
      <c r="L247" s="16" t="s">
        <v>28</v>
      </c>
    </row>
    <row r="248" spans="1:12" ht="18" customHeight="1">
      <c r="A248" s="16">
        <v>246</v>
      </c>
      <c r="B248" s="17">
        <v>6610414229</v>
      </c>
      <c r="C248" s="17" t="s">
        <v>29</v>
      </c>
      <c r="D248" s="17" t="s">
        <v>363</v>
      </c>
      <c r="E248" s="17" t="s">
        <v>942</v>
      </c>
      <c r="F248" s="17" t="s">
        <v>943</v>
      </c>
      <c r="G248" s="17" t="s">
        <v>287</v>
      </c>
      <c r="H248" s="17" t="s">
        <v>930</v>
      </c>
      <c r="I248" s="17" t="s">
        <v>3709</v>
      </c>
      <c r="J248" s="16"/>
      <c r="K248" s="16" t="str">
        <f t="shared" si="0"/>
        <v>ไม่ผ่าน</v>
      </c>
      <c r="L248" s="16" t="s">
        <v>28</v>
      </c>
    </row>
    <row r="249" spans="1:12" ht="18" customHeight="1">
      <c r="A249" s="16">
        <v>247</v>
      </c>
      <c r="B249" s="17">
        <v>6410414107</v>
      </c>
      <c r="C249" s="17" t="s">
        <v>29</v>
      </c>
      <c r="D249" s="17" t="s">
        <v>944</v>
      </c>
      <c r="E249" s="17" t="s">
        <v>945</v>
      </c>
      <c r="F249" s="17" t="s">
        <v>946</v>
      </c>
      <c r="G249" s="17" t="s">
        <v>287</v>
      </c>
      <c r="H249" s="17" t="s">
        <v>930</v>
      </c>
      <c r="I249" s="17" t="s">
        <v>3707</v>
      </c>
      <c r="J249" s="16"/>
      <c r="K249" s="16" t="str">
        <f t="shared" si="0"/>
        <v>ไม่ผ่าน</v>
      </c>
      <c r="L249" s="16" t="s">
        <v>28</v>
      </c>
    </row>
    <row r="250" spans="1:12" ht="18" customHeight="1">
      <c r="A250" s="16">
        <v>248</v>
      </c>
      <c r="B250" s="17">
        <v>6410414122</v>
      </c>
      <c r="C250" s="17" t="s">
        <v>29</v>
      </c>
      <c r="D250" s="17" t="s">
        <v>947</v>
      </c>
      <c r="E250" s="17" t="s">
        <v>948</v>
      </c>
      <c r="F250" s="17" t="s">
        <v>949</v>
      </c>
      <c r="G250" s="17" t="s">
        <v>287</v>
      </c>
      <c r="H250" s="17" t="s">
        <v>930</v>
      </c>
      <c r="I250" s="17" t="s">
        <v>3707</v>
      </c>
      <c r="J250" s="16"/>
      <c r="K250" s="16" t="str">
        <f t="shared" si="0"/>
        <v>ไม่ผ่าน</v>
      </c>
      <c r="L250" s="16" t="s">
        <v>28</v>
      </c>
    </row>
    <row r="251" spans="1:12" ht="18" customHeight="1">
      <c r="A251" s="16">
        <v>249</v>
      </c>
      <c r="B251" s="17">
        <v>6410414203</v>
      </c>
      <c r="C251" s="17" t="s">
        <v>22</v>
      </c>
      <c r="D251" s="17" t="s">
        <v>950</v>
      </c>
      <c r="E251" s="17" t="s">
        <v>951</v>
      </c>
      <c r="F251" s="17" t="s">
        <v>952</v>
      </c>
      <c r="G251" s="17" t="s">
        <v>287</v>
      </c>
      <c r="H251" s="17" t="s">
        <v>930</v>
      </c>
      <c r="I251" s="17" t="s">
        <v>3707</v>
      </c>
      <c r="J251" s="16"/>
      <c r="K251" s="16" t="str">
        <f t="shared" si="0"/>
        <v>ไม่ผ่าน</v>
      </c>
      <c r="L251" s="16" t="s">
        <v>28</v>
      </c>
    </row>
    <row r="252" spans="1:12" ht="18" customHeight="1">
      <c r="A252" s="16">
        <v>250</v>
      </c>
      <c r="B252" s="17">
        <v>6410414204</v>
      </c>
      <c r="C252" s="17" t="s">
        <v>29</v>
      </c>
      <c r="D252" s="17" t="s">
        <v>953</v>
      </c>
      <c r="E252" s="17" t="s">
        <v>954</v>
      </c>
      <c r="F252" s="17" t="s">
        <v>955</v>
      </c>
      <c r="G252" s="17" t="s">
        <v>287</v>
      </c>
      <c r="H252" s="17" t="s">
        <v>930</v>
      </c>
      <c r="I252" s="17" t="s">
        <v>3707</v>
      </c>
      <c r="J252" s="16"/>
      <c r="K252" s="16" t="str">
        <f t="shared" si="0"/>
        <v>ไม่ผ่าน</v>
      </c>
      <c r="L252" s="16" t="s">
        <v>28</v>
      </c>
    </row>
    <row r="253" spans="1:12" ht="18" customHeight="1">
      <c r="A253" s="16">
        <v>251</v>
      </c>
      <c r="B253" s="17">
        <v>6410414211</v>
      </c>
      <c r="C253" s="17" t="s">
        <v>29</v>
      </c>
      <c r="D253" s="17" t="s">
        <v>956</v>
      </c>
      <c r="E253" s="17" t="s">
        <v>494</v>
      </c>
      <c r="F253" s="17" t="s">
        <v>898</v>
      </c>
      <c r="G253" s="17" t="s">
        <v>287</v>
      </c>
      <c r="H253" s="17" t="s">
        <v>930</v>
      </c>
      <c r="I253" s="17" t="s">
        <v>3707</v>
      </c>
      <c r="J253" s="16"/>
      <c r="K253" s="16" t="str">
        <f t="shared" si="0"/>
        <v>ไม่ผ่าน</v>
      </c>
      <c r="L253" s="16" t="s">
        <v>28</v>
      </c>
    </row>
    <row r="254" spans="1:12" ht="18" customHeight="1">
      <c r="A254" s="16">
        <v>252</v>
      </c>
      <c r="B254" s="17">
        <v>6410414213</v>
      </c>
      <c r="C254" s="17" t="s">
        <v>29</v>
      </c>
      <c r="D254" s="17" t="s">
        <v>957</v>
      </c>
      <c r="E254" s="17" t="s">
        <v>958</v>
      </c>
      <c r="F254" s="17" t="s">
        <v>959</v>
      </c>
      <c r="G254" s="17" t="s">
        <v>287</v>
      </c>
      <c r="H254" s="17" t="s">
        <v>930</v>
      </c>
      <c r="I254" s="17" t="s">
        <v>3707</v>
      </c>
      <c r="J254" s="16"/>
      <c r="K254" s="16" t="str">
        <f t="shared" si="0"/>
        <v>ไม่ผ่าน</v>
      </c>
      <c r="L254" s="16" t="s">
        <v>28</v>
      </c>
    </row>
    <row r="255" spans="1:12" ht="18" customHeight="1">
      <c r="A255" s="16">
        <v>253</v>
      </c>
      <c r="B255" s="17">
        <v>6410414224</v>
      </c>
      <c r="C255" s="17" t="s">
        <v>29</v>
      </c>
      <c r="D255" s="17" t="s">
        <v>960</v>
      </c>
      <c r="E255" s="17" t="s">
        <v>212</v>
      </c>
      <c r="F255" s="17" t="s">
        <v>210</v>
      </c>
      <c r="G255" s="17" t="s">
        <v>287</v>
      </c>
      <c r="H255" s="17" t="s">
        <v>930</v>
      </c>
      <c r="I255" s="17" t="s">
        <v>3707</v>
      </c>
      <c r="J255" s="16"/>
      <c r="K255" s="16" t="str">
        <f t="shared" si="0"/>
        <v>ไม่ผ่าน</v>
      </c>
      <c r="L255" s="16" t="s">
        <v>28</v>
      </c>
    </row>
    <row r="256" spans="1:12" ht="18" customHeight="1">
      <c r="A256" s="16">
        <v>254</v>
      </c>
      <c r="B256" s="17">
        <v>6410414227</v>
      </c>
      <c r="C256" s="17" t="s">
        <v>29</v>
      </c>
      <c r="D256" s="17" t="s">
        <v>306</v>
      </c>
      <c r="E256" s="17" t="s">
        <v>961</v>
      </c>
      <c r="F256" s="17" t="s">
        <v>962</v>
      </c>
      <c r="G256" s="17" t="s">
        <v>287</v>
      </c>
      <c r="H256" s="17" t="s">
        <v>930</v>
      </c>
      <c r="I256" s="17" t="s">
        <v>3707</v>
      </c>
      <c r="J256" s="16"/>
      <c r="K256" s="16" t="str">
        <f t="shared" si="0"/>
        <v>ไม่ผ่าน</v>
      </c>
      <c r="L256" s="16" t="s">
        <v>28</v>
      </c>
    </row>
    <row r="257" spans="1:12" ht="18" customHeight="1">
      <c r="A257" s="16">
        <v>255</v>
      </c>
      <c r="B257" s="17">
        <v>6310414113</v>
      </c>
      <c r="C257" s="17" t="s">
        <v>29</v>
      </c>
      <c r="D257" s="17" t="s">
        <v>963</v>
      </c>
      <c r="E257" s="17" t="s">
        <v>964</v>
      </c>
      <c r="F257" s="17" t="s">
        <v>322</v>
      </c>
      <c r="G257" s="17" t="s">
        <v>287</v>
      </c>
      <c r="H257" s="17" t="s">
        <v>930</v>
      </c>
      <c r="I257" s="17" t="s">
        <v>3708</v>
      </c>
      <c r="J257" s="16"/>
      <c r="K257" s="16" t="str">
        <f t="shared" si="0"/>
        <v>ไม่ผ่าน</v>
      </c>
      <c r="L257" s="16" t="s">
        <v>28</v>
      </c>
    </row>
    <row r="258" spans="1:12" ht="18" customHeight="1">
      <c r="A258" s="16">
        <v>256</v>
      </c>
      <c r="B258" s="17">
        <v>6310414116</v>
      </c>
      <c r="C258" s="17" t="s">
        <v>29</v>
      </c>
      <c r="D258" s="17" t="s">
        <v>965</v>
      </c>
      <c r="E258" s="17" t="s">
        <v>966</v>
      </c>
      <c r="F258" s="17" t="s">
        <v>967</v>
      </c>
      <c r="G258" s="17" t="s">
        <v>287</v>
      </c>
      <c r="H258" s="17" t="s">
        <v>930</v>
      </c>
      <c r="I258" s="17" t="s">
        <v>3708</v>
      </c>
      <c r="J258" s="16"/>
      <c r="K258" s="16" t="str">
        <f t="shared" ref="K258:K269" si="1">IF(J258&gt;=2,"ผ่าน",IF(J258&lt;2,"ไม่ผ่าน"))</f>
        <v>ไม่ผ่าน</v>
      </c>
      <c r="L258" s="16" t="s">
        <v>28</v>
      </c>
    </row>
    <row r="259" spans="1:12" ht="18" customHeight="1">
      <c r="A259" s="16">
        <v>257</v>
      </c>
      <c r="B259" s="17">
        <v>6310414119</v>
      </c>
      <c r="C259" s="17" t="s">
        <v>29</v>
      </c>
      <c r="D259" s="17" t="s">
        <v>968</v>
      </c>
      <c r="E259" s="17" t="s">
        <v>969</v>
      </c>
      <c r="F259" s="17" t="s">
        <v>970</v>
      </c>
      <c r="G259" s="17" t="s">
        <v>287</v>
      </c>
      <c r="H259" s="17" t="s">
        <v>930</v>
      </c>
      <c r="I259" s="17" t="s">
        <v>3708</v>
      </c>
      <c r="J259" s="16"/>
      <c r="K259" s="16" t="str">
        <f t="shared" si="1"/>
        <v>ไม่ผ่าน</v>
      </c>
      <c r="L259" s="16" t="s">
        <v>28</v>
      </c>
    </row>
    <row r="260" spans="1:12" ht="18" customHeight="1">
      <c r="A260" s="16">
        <v>258</v>
      </c>
      <c r="B260" s="17">
        <v>6310414120</v>
      </c>
      <c r="C260" s="17" t="s">
        <v>29</v>
      </c>
      <c r="D260" s="17" t="s">
        <v>971</v>
      </c>
      <c r="E260" s="17" t="s">
        <v>972</v>
      </c>
      <c r="F260" s="17" t="s">
        <v>62</v>
      </c>
      <c r="G260" s="17" t="s">
        <v>287</v>
      </c>
      <c r="H260" s="17" t="s">
        <v>930</v>
      </c>
      <c r="I260" s="17" t="s">
        <v>3708</v>
      </c>
      <c r="J260" s="16"/>
      <c r="K260" s="16" t="str">
        <f t="shared" si="1"/>
        <v>ไม่ผ่าน</v>
      </c>
      <c r="L260" s="16" t="s">
        <v>28</v>
      </c>
    </row>
    <row r="261" spans="1:12" ht="18" customHeight="1">
      <c r="A261" s="16">
        <v>259</v>
      </c>
      <c r="B261" s="17">
        <v>6310414122</v>
      </c>
      <c r="C261" s="17" t="s">
        <v>29</v>
      </c>
      <c r="D261" s="17" t="s">
        <v>79</v>
      </c>
      <c r="E261" s="17" t="s">
        <v>973</v>
      </c>
      <c r="F261" s="17" t="s">
        <v>974</v>
      </c>
      <c r="G261" s="17" t="s">
        <v>287</v>
      </c>
      <c r="H261" s="17" t="s">
        <v>930</v>
      </c>
      <c r="I261" s="17" t="s">
        <v>3708</v>
      </c>
      <c r="J261" s="16"/>
      <c r="K261" s="16" t="str">
        <f t="shared" si="1"/>
        <v>ไม่ผ่าน</v>
      </c>
      <c r="L261" s="16" t="s">
        <v>28</v>
      </c>
    </row>
    <row r="262" spans="1:12" ht="18" customHeight="1">
      <c r="A262" s="16">
        <v>260</v>
      </c>
      <c r="B262" s="17">
        <v>6310414212</v>
      </c>
      <c r="C262" s="17" t="s">
        <v>29</v>
      </c>
      <c r="D262" s="17" t="s">
        <v>975</v>
      </c>
      <c r="E262" s="17" t="s">
        <v>976</v>
      </c>
      <c r="F262" s="17" t="s">
        <v>977</v>
      </c>
      <c r="G262" s="17" t="s">
        <v>287</v>
      </c>
      <c r="H262" s="17" t="s">
        <v>930</v>
      </c>
      <c r="I262" s="17" t="s">
        <v>3708</v>
      </c>
      <c r="J262" s="16"/>
      <c r="K262" s="16" t="str">
        <f t="shared" si="1"/>
        <v>ไม่ผ่าน</v>
      </c>
      <c r="L262" s="16" t="s">
        <v>28</v>
      </c>
    </row>
    <row r="263" spans="1:12" ht="18" customHeight="1">
      <c r="A263" s="16">
        <v>261</v>
      </c>
      <c r="B263" s="17">
        <v>6310414217</v>
      </c>
      <c r="C263" s="17" t="s">
        <v>29</v>
      </c>
      <c r="D263" s="17" t="s">
        <v>978</v>
      </c>
      <c r="E263" s="17" t="s">
        <v>607</v>
      </c>
      <c r="F263" s="17" t="s">
        <v>979</v>
      </c>
      <c r="G263" s="17" t="s">
        <v>287</v>
      </c>
      <c r="H263" s="17" t="s">
        <v>930</v>
      </c>
      <c r="I263" s="17" t="s">
        <v>3708</v>
      </c>
      <c r="J263" s="16"/>
      <c r="K263" s="16" t="str">
        <f t="shared" si="1"/>
        <v>ไม่ผ่าน</v>
      </c>
      <c r="L263" s="16" t="s">
        <v>28</v>
      </c>
    </row>
    <row r="264" spans="1:12" ht="18" customHeight="1">
      <c r="A264" s="16">
        <v>262</v>
      </c>
      <c r="B264" s="17">
        <v>6612258203</v>
      </c>
      <c r="C264" s="17" t="s">
        <v>22</v>
      </c>
      <c r="D264" s="17" t="s">
        <v>980</v>
      </c>
      <c r="E264" s="17" t="s">
        <v>981</v>
      </c>
      <c r="F264" s="17" t="s">
        <v>982</v>
      </c>
      <c r="G264" s="17" t="s">
        <v>287</v>
      </c>
      <c r="H264" s="17" t="s">
        <v>983</v>
      </c>
      <c r="I264" s="17" t="s">
        <v>3709</v>
      </c>
      <c r="J264" s="16"/>
      <c r="K264" s="16" t="str">
        <f t="shared" si="1"/>
        <v>ไม่ผ่าน</v>
      </c>
      <c r="L264" s="16" t="s">
        <v>28</v>
      </c>
    </row>
    <row r="265" spans="1:12" ht="18" customHeight="1">
      <c r="A265" s="16">
        <v>263</v>
      </c>
      <c r="B265" s="17">
        <v>6612258212</v>
      </c>
      <c r="C265" s="17" t="s">
        <v>22</v>
      </c>
      <c r="D265" s="17" t="s">
        <v>280</v>
      </c>
      <c r="E265" s="17" t="s">
        <v>984</v>
      </c>
      <c r="F265" s="17" t="s">
        <v>22</v>
      </c>
      <c r="G265" s="17" t="s">
        <v>287</v>
      </c>
      <c r="H265" s="17" t="s">
        <v>983</v>
      </c>
      <c r="I265" s="17" t="s">
        <v>3709</v>
      </c>
      <c r="J265" s="16"/>
      <c r="K265" s="16" t="str">
        <f t="shared" si="1"/>
        <v>ไม่ผ่าน</v>
      </c>
      <c r="L265" s="16" t="s">
        <v>28</v>
      </c>
    </row>
    <row r="266" spans="1:12" ht="18" customHeight="1">
      <c r="A266" s="16">
        <v>264</v>
      </c>
      <c r="B266" s="17">
        <v>6612258213</v>
      </c>
      <c r="C266" s="17" t="s">
        <v>22</v>
      </c>
      <c r="D266" s="17" t="s">
        <v>985</v>
      </c>
      <c r="E266" s="17" t="s">
        <v>986</v>
      </c>
      <c r="F266" s="17" t="s">
        <v>987</v>
      </c>
      <c r="G266" s="17" t="s">
        <v>287</v>
      </c>
      <c r="H266" s="17" t="s">
        <v>983</v>
      </c>
      <c r="I266" s="17" t="s">
        <v>3709</v>
      </c>
      <c r="J266" s="16"/>
      <c r="K266" s="16" t="str">
        <f t="shared" si="1"/>
        <v>ไม่ผ่าน</v>
      </c>
      <c r="L266" s="16" t="s">
        <v>28</v>
      </c>
    </row>
    <row r="267" spans="1:12" ht="18" customHeight="1">
      <c r="A267" s="16">
        <v>265</v>
      </c>
      <c r="B267" s="17">
        <v>6512258120</v>
      </c>
      <c r="C267" s="17" t="s">
        <v>29</v>
      </c>
      <c r="D267" s="17" t="s">
        <v>988</v>
      </c>
      <c r="E267" s="17" t="s">
        <v>989</v>
      </c>
      <c r="F267" s="17" t="s">
        <v>990</v>
      </c>
      <c r="G267" s="17" t="s">
        <v>287</v>
      </c>
      <c r="H267" s="17" t="s">
        <v>983</v>
      </c>
      <c r="I267" s="17" t="s">
        <v>3710</v>
      </c>
      <c r="J267" s="16"/>
      <c r="K267" s="16" t="str">
        <f t="shared" si="1"/>
        <v>ไม่ผ่าน</v>
      </c>
      <c r="L267" s="16" t="s">
        <v>28</v>
      </c>
    </row>
    <row r="268" spans="1:12" ht="18" customHeight="1">
      <c r="A268" s="16">
        <v>266</v>
      </c>
      <c r="B268" s="17">
        <v>6412258116</v>
      </c>
      <c r="C268" s="17" t="s">
        <v>29</v>
      </c>
      <c r="D268" s="17" t="s">
        <v>991</v>
      </c>
      <c r="E268" s="17" t="s">
        <v>992</v>
      </c>
      <c r="F268" s="17" t="s">
        <v>993</v>
      </c>
      <c r="G268" s="17" t="s">
        <v>287</v>
      </c>
      <c r="H268" s="17" t="s">
        <v>983</v>
      </c>
      <c r="I268" s="17" t="s">
        <v>3707</v>
      </c>
      <c r="J268" s="16"/>
      <c r="K268" s="16" t="str">
        <f t="shared" si="1"/>
        <v>ไม่ผ่าน</v>
      </c>
      <c r="L268" s="16" t="s">
        <v>28</v>
      </c>
    </row>
    <row r="269" spans="1:12" ht="18" customHeight="1">
      <c r="A269" s="16">
        <v>267</v>
      </c>
      <c r="B269" s="17">
        <v>6412258129</v>
      </c>
      <c r="C269" s="17" t="s">
        <v>29</v>
      </c>
      <c r="D269" s="17" t="s">
        <v>994</v>
      </c>
      <c r="E269" s="17" t="s">
        <v>995</v>
      </c>
      <c r="F269" s="17" t="s">
        <v>996</v>
      </c>
      <c r="G269" s="17" t="s">
        <v>287</v>
      </c>
      <c r="H269" s="17" t="s">
        <v>983</v>
      </c>
      <c r="I269" s="17" t="s">
        <v>3707</v>
      </c>
      <c r="J269" s="16"/>
      <c r="K269" s="16" t="str">
        <f t="shared" si="1"/>
        <v>ไม่ผ่าน</v>
      </c>
      <c r="L269" s="16" t="s">
        <v>28</v>
      </c>
    </row>
    <row r="270" spans="1:12" ht="18" customHeight="1">
      <c r="A270" s="23"/>
      <c r="H270" s="99" t="s">
        <v>1711</v>
      </c>
      <c r="I270" s="110"/>
      <c r="J270" s="16">
        <f>COUNT(A3:A269)</f>
        <v>267</v>
      </c>
      <c r="K270" s="18" t="s">
        <v>1712</v>
      </c>
      <c r="L270" s="13"/>
    </row>
    <row r="271" spans="1:12" ht="18" customHeight="1">
      <c r="A271" s="23"/>
      <c r="H271" s="100" t="s">
        <v>1713</v>
      </c>
      <c r="I271" s="110"/>
      <c r="J271" s="16"/>
      <c r="K271" s="19" t="s">
        <v>1712</v>
      </c>
      <c r="L271" s="13"/>
    </row>
    <row r="272" spans="1:12" ht="18" customHeight="1">
      <c r="A272" s="23"/>
      <c r="H272" s="101" t="s">
        <v>1714</v>
      </c>
      <c r="I272" s="110"/>
      <c r="J272" s="16"/>
      <c r="K272" s="20" t="s">
        <v>1712</v>
      </c>
      <c r="L272" s="13"/>
    </row>
    <row r="273" spans="1:12" ht="18" customHeight="1">
      <c r="A273" s="23"/>
      <c r="J273" s="14"/>
      <c r="K273" s="14"/>
      <c r="L273" s="13"/>
    </row>
    <row r="274" spans="1:12" ht="18" customHeight="1">
      <c r="A274" s="23"/>
      <c r="J274" s="14"/>
      <c r="K274" s="14"/>
      <c r="L274" s="13"/>
    </row>
    <row r="275" spans="1:12" ht="18" customHeight="1">
      <c r="A275" s="23"/>
      <c r="J275" s="14"/>
      <c r="K275" s="14"/>
      <c r="L275" s="13"/>
    </row>
    <row r="276" spans="1:12" ht="18" customHeight="1">
      <c r="A276" s="23"/>
      <c r="J276" s="14"/>
      <c r="K276" s="14"/>
      <c r="L276" s="13"/>
    </row>
    <row r="277" spans="1:12" ht="18" customHeight="1">
      <c r="A277" s="23"/>
      <c r="J277" s="14"/>
      <c r="K277" s="14"/>
      <c r="L277" s="13"/>
    </row>
    <row r="278" spans="1:12" ht="18" customHeight="1">
      <c r="A278" s="23"/>
      <c r="J278" s="14"/>
      <c r="K278" s="14"/>
      <c r="L278" s="13"/>
    </row>
    <row r="279" spans="1:12" ht="18" customHeight="1">
      <c r="A279" s="23"/>
      <c r="J279" s="14"/>
      <c r="K279" s="14"/>
      <c r="L279" s="13"/>
    </row>
    <row r="280" spans="1:12" ht="18" customHeight="1">
      <c r="A280" s="23"/>
      <c r="J280" s="14"/>
      <c r="K280" s="14"/>
      <c r="L280" s="13"/>
    </row>
    <row r="281" spans="1:12" ht="18" customHeight="1">
      <c r="A281" s="23"/>
      <c r="J281" s="14"/>
      <c r="K281" s="14"/>
      <c r="L281" s="13"/>
    </row>
    <row r="282" spans="1:12" ht="18" customHeight="1">
      <c r="A282" s="23"/>
      <c r="J282" s="14"/>
      <c r="K282" s="14"/>
      <c r="L282" s="13"/>
    </row>
    <row r="283" spans="1:12" ht="18" customHeight="1">
      <c r="A283" s="23"/>
      <c r="J283" s="14"/>
      <c r="K283" s="14"/>
      <c r="L283" s="13"/>
    </row>
    <row r="284" spans="1:12" ht="18" customHeight="1">
      <c r="A284" s="23"/>
      <c r="J284" s="14"/>
      <c r="K284" s="14"/>
      <c r="L284" s="13"/>
    </row>
    <row r="285" spans="1:12" ht="18" customHeight="1">
      <c r="A285" s="23"/>
      <c r="J285" s="14"/>
      <c r="K285" s="14"/>
      <c r="L285" s="13"/>
    </row>
    <row r="286" spans="1:12" ht="18" customHeight="1">
      <c r="A286" s="23"/>
      <c r="J286" s="14"/>
      <c r="K286" s="14"/>
      <c r="L286" s="13"/>
    </row>
    <row r="287" spans="1:12" ht="18" customHeight="1">
      <c r="A287" s="23"/>
      <c r="J287" s="14"/>
      <c r="K287" s="14"/>
      <c r="L287" s="13"/>
    </row>
    <row r="288" spans="1:12" ht="18" customHeight="1">
      <c r="A288" s="23"/>
      <c r="J288" s="14"/>
      <c r="K288" s="14"/>
      <c r="L288" s="13"/>
    </row>
    <row r="289" spans="1:12" ht="18" customHeight="1">
      <c r="A289" s="23"/>
      <c r="J289" s="14"/>
      <c r="K289" s="14"/>
      <c r="L289" s="13"/>
    </row>
    <row r="290" spans="1:12" ht="18" customHeight="1">
      <c r="A290" s="23"/>
      <c r="J290" s="14"/>
      <c r="K290" s="14"/>
      <c r="L290" s="13"/>
    </row>
    <row r="291" spans="1:12" ht="18" customHeight="1">
      <c r="A291" s="23"/>
      <c r="J291" s="14"/>
      <c r="K291" s="14"/>
      <c r="L291" s="13"/>
    </row>
    <row r="292" spans="1:12" ht="18" customHeight="1">
      <c r="A292" s="23"/>
      <c r="J292" s="14"/>
      <c r="K292" s="14"/>
      <c r="L292" s="13"/>
    </row>
    <row r="293" spans="1:12" ht="18" customHeight="1">
      <c r="A293" s="23"/>
      <c r="J293" s="14"/>
      <c r="K293" s="14"/>
      <c r="L293" s="13"/>
    </row>
    <row r="294" spans="1:12" ht="18" customHeight="1">
      <c r="A294" s="23"/>
      <c r="J294" s="14"/>
      <c r="K294" s="14"/>
      <c r="L294" s="13"/>
    </row>
    <row r="295" spans="1:12" ht="18" customHeight="1">
      <c r="A295" s="23"/>
      <c r="J295" s="14"/>
      <c r="K295" s="14"/>
      <c r="L295" s="13"/>
    </row>
    <row r="296" spans="1:12" ht="18" customHeight="1">
      <c r="A296" s="23"/>
      <c r="J296" s="14"/>
      <c r="K296" s="14"/>
      <c r="L296" s="13"/>
    </row>
    <row r="297" spans="1:12" ht="18" customHeight="1">
      <c r="A297" s="23"/>
      <c r="J297" s="14"/>
      <c r="K297" s="14"/>
      <c r="L297" s="13"/>
    </row>
    <row r="298" spans="1:12" ht="18" customHeight="1">
      <c r="A298" s="23"/>
      <c r="J298" s="14"/>
      <c r="K298" s="14"/>
      <c r="L298" s="13"/>
    </row>
    <row r="299" spans="1:12" ht="18" customHeight="1">
      <c r="A299" s="23"/>
      <c r="J299" s="14"/>
      <c r="K299" s="14"/>
      <c r="L299" s="13"/>
    </row>
    <row r="300" spans="1:12" ht="18" customHeight="1">
      <c r="A300" s="23"/>
      <c r="J300" s="14"/>
      <c r="K300" s="14"/>
      <c r="L300" s="13"/>
    </row>
    <row r="301" spans="1:12" ht="18" customHeight="1">
      <c r="A301" s="23"/>
      <c r="J301" s="14"/>
      <c r="K301" s="14"/>
      <c r="L301" s="13"/>
    </row>
    <row r="302" spans="1:12" ht="18" customHeight="1">
      <c r="A302" s="23"/>
      <c r="J302" s="14"/>
      <c r="K302" s="14"/>
      <c r="L302" s="13"/>
    </row>
    <row r="303" spans="1:12" ht="18" customHeight="1">
      <c r="A303" s="23"/>
      <c r="J303" s="14"/>
      <c r="K303" s="14"/>
      <c r="L303" s="13"/>
    </row>
    <row r="304" spans="1:12" ht="18" customHeight="1">
      <c r="A304" s="23"/>
      <c r="J304" s="14"/>
      <c r="K304" s="14"/>
      <c r="L304" s="13"/>
    </row>
    <row r="305" spans="1:12" ht="18" customHeight="1">
      <c r="A305" s="23"/>
      <c r="J305" s="14"/>
      <c r="K305" s="14"/>
      <c r="L305" s="13"/>
    </row>
    <row r="306" spans="1:12" ht="18" customHeight="1">
      <c r="A306" s="23"/>
      <c r="J306" s="14"/>
      <c r="K306" s="14"/>
      <c r="L306" s="13"/>
    </row>
    <row r="307" spans="1:12" ht="18" customHeight="1">
      <c r="A307" s="23"/>
      <c r="J307" s="14"/>
      <c r="K307" s="14"/>
      <c r="L307" s="13"/>
    </row>
    <row r="308" spans="1:12" ht="18" customHeight="1">
      <c r="A308" s="23"/>
      <c r="J308" s="14"/>
      <c r="K308" s="14"/>
      <c r="L308" s="13"/>
    </row>
    <row r="309" spans="1:12" ht="18" customHeight="1">
      <c r="A309" s="23"/>
      <c r="J309" s="14"/>
      <c r="K309" s="14"/>
      <c r="L309" s="13"/>
    </row>
    <row r="310" spans="1:12" ht="18" customHeight="1">
      <c r="A310" s="23"/>
      <c r="J310" s="14"/>
      <c r="K310" s="14"/>
      <c r="L310" s="13"/>
    </row>
    <row r="311" spans="1:12" ht="18" customHeight="1">
      <c r="A311" s="23"/>
      <c r="J311" s="14"/>
      <c r="K311" s="14"/>
      <c r="L311" s="13"/>
    </row>
    <row r="312" spans="1:12" ht="18" customHeight="1">
      <c r="A312" s="23"/>
      <c r="J312" s="14"/>
      <c r="K312" s="14"/>
      <c r="L312" s="13"/>
    </row>
    <row r="313" spans="1:12" ht="18" customHeight="1">
      <c r="A313" s="23"/>
      <c r="J313" s="14"/>
      <c r="K313" s="14"/>
      <c r="L313" s="13"/>
    </row>
    <row r="314" spans="1:12" ht="18" customHeight="1">
      <c r="A314" s="23"/>
      <c r="J314" s="14"/>
      <c r="K314" s="14"/>
      <c r="L314" s="13"/>
    </row>
    <row r="315" spans="1:12" ht="18" customHeight="1">
      <c r="A315" s="23"/>
      <c r="J315" s="14"/>
      <c r="K315" s="14"/>
      <c r="L315" s="13"/>
    </row>
    <row r="316" spans="1:12" ht="18" customHeight="1">
      <c r="A316" s="23"/>
      <c r="J316" s="14"/>
      <c r="K316" s="14"/>
      <c r="L316" s="13"/>
    </row>
    <row r="317" spans="1:12" ht="18" customHeight="1">
      <c r="A317" s="23"/>
      <c r="J317" s="14"/>
      <c r="K317" s="14"/>
      <c r="L317" s="13"/>
    </row>
    <row r="318" spans="1:12" ht="18" customHeight="1">
      <c r="A318" s="23"/>
      <c r="J318" s="14"/>
      <c r="K318" s="14"/>
      <c r="L318" s="13"/>
    </row>
    <row r="319" spans="1:12" ht="18" customHeight="1">
      <c r="A319" s="23"/>
      <c r="J319" s="14"/>
      <c r="K319" s="14"/>
      <c r="L319" s="13"/>
    </row>
    <row r="320" spans="1:12" ht="18" customHeight="1">
      <c r="A320" s="23"/>
      <c r="J320" s="14"/>
      <c r="K320" s="14"/>
      <c r="L320" s="13"/>
    </row>
    <row r="321" spans="1:12" ht="18" customHeight="1">
      <c r="A321" s="23"/>
      <c r="J321" s="14"/>
      <c r="K321" s="14"/>
      <c r="L321" s="13"/>
    </row>
    <row r="322" spans="1:12" ht="18" customHeight="1">
      <c r="A322" s="23"/>
      <c r="J322" s="14"/>
      <c r="K322" s="14"/>
      <c r="L322" s="13"/>
    </row>
    <row r="323" spans="1:12" ht="18" customHeight="1">
      <c r="A323" s="23"/>
      <c r="J323" s="14"/>
      <c r="K323" s="14"/>
      <c r="L323" s="13"/>
    </row>
    <row r="324" spans="1:12" ht="18" customHeight="1">
      <c r="A324" s="23"/>
      <c r="J324" s="14"/>
      <c r="K324" s="14"/>
      <c r="L324" s="13"/>
    </row>
    <row r="325" spans="1:12" ht="18" customHeight="1">
      <c r="A325" s="23"/>
      <c r="J325" s="14"/>
      <c r="K325" s="14"/>
      <c r="L325" s="13"/>
    </row>
    <row r="326" spans="1:12" ht="18" customHeight="1">
      <c r="A326" s="23"/>
      <c r="J326" s="14"/>
      <c r="K326" s="14"/>
      <c r="L326" s="13"/>
    </row>
    <row r="327" spans="1:12" ht="18" customHeight="1">
      <c r="A327" s="23"/>
      <c r="J327" s="14"/>
      <c r="K327" s="14"/>
      <c r="L327" s="13"/>
    </row>
    <row r="328" spans="1:12" ht="18" customHeight="1">
      <c r="A328" s="23"/>
      <c r="J328" s="14"/>
      <c r="K328" s="14"/>
      <c r="L328" s="13"/>
    </row>
    <row r="329" spans="1:12" ht="18" customHeight="1">
      <c r="A329" s="23"/>
      <c r="J329" s="14"/>
      <c r="K329" s="14"/>
      <c r="L329" s="13"/>
    </row>
    <row r="330" spans="1:12" ht="18" customHeight="1">
      <c r="A330" s="23"/>
      <c r="J330" s="14"/>
      <c r="K330" s="14"/>
      <c r="L330" s="13"/>
    </row>
    <row r="331" spans="1:12" ht="18" customHeight="1">
      <c r="A331" s="23"/>
      <c r="J331" s="14"/>
      <c r="K331" s="14"/>
      <c r="L331" s="13"/>
    </row>
    <row r="332" spans="1:12" ht="18" customHeight="1">
      <c r="A332" s="23"/>
      <c r="J332" s="14"/>
      <c r="K332" s="14"/>
      <c r="L332" s="13"/>
    </row>
    <row r="333" spans="1:12" ht="18" customHeight="1">
      <c r="A333" s="23"/>
      <c r="J333" s="14"/>
      <c r="K333" s="14"/>
      <c r="L333" s="13"/>
    </row>
    <row r="334" spans="1:12" ht="18" customHeight="1">
      <c r="A334" s="23"/>
      <c r="J334" s="14"/>
      <c r="K334" s="14"/>
      <c r="L334" s="13"/>
    </row>
    <row r="335" spans="1:12" ht="18" customHeight="1">
      <c r="A335" s="23"/>
      <c r="J335" s="14"/>
      <c r="K335" s="14"/>
      <c r="L335" s="13"/>
    </row>
    <row r="336" spans="1:12" ht="18" customHeight="1">
      <c r="A336" s="23"/>
      <c r="J336" s="14"/>
      <c r="K336" s="14"/>
      <c r="L336" s="13"/>
    </row>
    <row r="337" spans="1:12" ht="18" customHeight="1">
      <c r="A337" s="23"/>
      <c r="J337" s="14"/>
      <c r="K337" s="14"/>
      <c r="L337" s="13"/>
    </row>
    <row r="338" spans="1:12" ht="18" customHeight="1">
      <c r="A338" s="23"/>
      <c r="J338" s="14"/>
      <c r="K338" s="14"/>
      <c r="L338" s="13"/>
    </row>
    <row r="339" spans="1:12" ht="18" customHeight="1">
      <c r="A339" s="23"/>
      <c r="J339" s="14"/>
      <c r="K339" s="14"/>
      <c r="L339" s="13"/>
    </row>
    <row r="340" spans="1:12" ht="18" customHeight="1">
      <c r="A340" s="23"/>
      <c r="J340" s="14"/>
      <c r="K340" s="14"/>
      <c r="L340" s="13"/>
    </row>
    <row r="341" spans="1:12" ht="18" customHeight="1">
      <c r="A341" s="23"/>
      <c r="J341" s="14"/>
      <c r="K341" s="14"/>
      <c r="L341" s="13"/>
    </row>
    <row r="342" spans="1:12" ht="18" customHeight="1">
      <c r="A342" s="23"/>
      <c r="J342" s="14"/>
      <c r="K342" s="14"/>
      <c r="L342" s="13"/>
    </row>
    <row r="343" spans="1:12" ht="18" customHeight="1">
      <c r="A343" s="23"/>
      <c r="J343" s="14"/>
      <c r="K343" s="14"/>
      <c r="L343" s="13"/>
    </row>
    <row r="344" spans="1:12" ht="18" customHeight="1">
      <c r="A344" s="23"/>
      <c r="J344" s="14"/>
      <c r="K344" s="14"/>
      <c r="L344" s="13"/>
    </row>
    <row r="345" spans="1:12" ht="18" customHeight="1">
      <c r="A345" s="23"/>
      <c r="J345" s="14"/>
      <c r="K345" s="14"/>
      <c r="L345" s="13"/>
    </row>
    <row r="346" spans="1:12" ht="18" customHeight="1">
      <c r="A346" s="23"/>
      <c r="J346" s="14"/>
      <c r="K346" s="14"/>
      <c r="L346" s="13"/>
    </row>
    <row r="347" spans="1:12" ht="18" customHeight="1">
      <c r="A347" s="23"/>
      <c r="J347" s="14"/>
      <c r="K347" s="14"/>
      <c r="L347" s="13"/>
    </row>
    <row r="348" spans="1:12" ht="18" customHeight="1">
      <c r="A348" s="23"/>
      <c r="J348" s="14"/>
      <c r="K348" s="14"/>
      <c r="L348" s="13"/>
    </row>
    <row r="349" spans="1:12" ht="18" customHeight="1">
      <c r="A349" s="23"/>
      <c r="J349" s="14"/>
      <c r="K349" s="14"/>
      <c r="L349" s="13"/>
    </row>
    <row r="350" spans="1:12" ht="18" customHeight="1">
      <c r="A350" s="23"/>
      <c r="J350" s="14"/>
      <c r="K350" s="14"/>
      <c r="L350" s="13"/>
    </row>
    <row r="351" spans="1:12" ht="18" customHeight="1">
      <c r="A351" s="23"/>
      <c r="J351" s="14"/>
      <c r="K351" s="14"/>
      <c r="L351" s="13"/>
    </row>
    <row r="352" spans="1:12" ht="18" customHeight="1">
      <c r="A352" s="23"/>
      <c r="J352" s="14"/>
      <c r="K352" s="14"/>
      <c r="L352" s="13"/>
    </row>
    <row r="353" spans="1:12" ht="18" customHeight="1">
      <c r="A353" s="23"/>
      <c r="J353" s="14"/>
      <c r="K353" s="14"/>
      <c r="L353" s="13"/>
    </row>
    <row r="354" spans="1:12" ht="18" customHeight="1">
      <c r="A354" s="23"/>
      <c r="J354" s="14"/>
      <c r="K354" s="14"/>
      <c r="L354" s="13"/>
    </row>
    <row r="355" spans="1:12" ht="18" customHeight="1">
      <c r="A355" s="23"/>
      <c r="J355" s="14"/>
      <c r="K355" s="14"/>
      <c r="L355" s="13"/>
    </row>
    <row r="356" spans="1:12" ht="18" customHeight="1">
      <c r="A356" s="23"/>
      <c r="J356" s="14"/>
      <c r="K356" s="14"/>
      <c r="L356" s="13"/>
    </row>
    <row r="357" spans="1:12" ht="18" customHeight="1">
      <c r="A357" s="23"/>
      <c r="J357" s="14"/>
      <c r="K357" s="14"/>
      <c r="L357" s="13"/>
    </row>
    <row r="358" spans="1:12" ht="18" customHeight="1">
      <c r="A358" s="23"/>
      <c r="J358" s="14"/>
      <c r="K358" s="14"/>
      <c r="L358" s="13"/>
    </row>
    <row r="359" spans="1:12" ht="18" customHeight="1">
      <c r="A359" s="23"/>
      <c r="J359" s="14"/>
      <c r="K359" s="14"/>
      <c r="L359" s="13"/>
    </row>
    <row r="360" spans="1:12" ht="18" customHeight="1">
      <c r="A360" s="23"/>
      <c r="J360" s="14"/>
      <c r="K360" s="14"/>
      <c r="L360" s="13"/>
    </row>
    <row r="361" spans="1:12" ht="18" customHeight="1">
      <c r="A361" s="23"/>
      <c r="J361" s="14"/>
      <c r="K361" s="14"/>
      <c r="L361" s="13"/>
    </row>
    <row r="362" spans="1:12" ht="18" customHeight="1">
      <c r="A362" s="23"/>
      <c r="J362" s="14"/>
      <c r="K362" s="14"/>
      <c r="L362" s="13"/>
    </row>
    <row r="363" spans="1:12" ht="18" customHeight="1">
      <c r="A363" s="23"/>
      <c r="J363" s="14"/>
      <c r="K363" s="14"/>
      <c r="L363" s="13"/>
    </row>
    <row r="364" spans="1:12" ht="18" customHeight="1">
      <c r="A364" s="23"/>
      <c r="J364" s="14"/>
      <c r="K364" s="14"/>
      <c r="L364" s="13"/>
    </row>
    <row r="365" spans="1:12" ht="18" customHeight="1">
      <c r="A365" s="23"/>
      <c r="J365" s="14"/>
      <c r="K365" s="14"/>
      <c r="L365" s="13"/>
    </row>
    <row r="366" spans="1:12" ht="18" customHeight="1">
      <c r="A366" s="23"/>
      <c r="J366" s="14"/>
      <c r="K366" s="14"/>
      <c r="L366" s="13"/>
    </row>
    <row r="367" spans="1:12" ht="18" customHeight="1">
      <c r="A367" s="23"/>
      <c r="J367" s="14"/>
      <c r="K367" s="14"/>
      <c r="L367" s="13"/>
    </row>
    <row r="368" spans="1:12" ht="18" customHeight="1">
      <c r="A368" s="23"/>
      <c r="J368" s="14"/>
      <c r="K368" s="14"/>
      <c r="L368" s="13"/>
    </row>
    <row r="369" spans="1:12" ht="18" customHeight="1">
      <c r="A369" s="23"/>
      <c r="J369" s="14"/>
      <c r="K369" s="14"/>
      <c r="L369" s="13"/>
    </row>
    <row r="370" spans="1:12" ht="18" customHeight="1">
      <c r="A370" s="23"/>
      <c r="J370" s="14"/>
      <c r="K370" s="14"/>
      <c r="L370" s="13"/>
    </row>
    <row r="371" spans="1:12" ht="18" customHeight="1">
      <c r="A371" s="23"/>
      <c r="J371" s="14"/>
      <c r="K371" s="14"/>
      <c r="L371" s="13"/>
    </row>
    <row r="372" spans="1:12" ht="18" customHeight="1">
      <c r="A372" s="23"/>
      <c r="J372" s="14"/>
      <c r="K372" s="14"/>
      <c r="L372" s="13"/>
    </row>
    <row r="373" spans="1:12" ht="18" customHeight="1">
      <c r="A373" s="23"/>
      <c r="J373" s="14"/>
      <c r="K373" s="14"/>
      <c r="L373" s="13"/>
    </row>
    <row r="374" spans="1:12" ht="18" customHeight="1">
      <c r="A374" s="23"/>
      <c r="J374" s="14"/>
      <c r="K374" s="14"/>
      <c r="L374" s="13"/>
    </row>
    <row r="375" spans="1:12" ht="18" customHeight="1">
      <c r="A375" s="23"/>
      <c r="J375" s="14"/>
      <c r="K375" s="14"/>
      <c r="L375" s="13"/>
    </row>
    <row r="376" spans="1:12" ht="18" customHeight="1">
      <c r="A376" s="23"/>
      <c r="J376" s="14"/>
      <c r="K376" s="14"/>
      <c r="L376" s="13"/>
    </row>
    <row r="377" spans="1:12" ht="18" customHeight="1">
      <c r="A377" s="23"/>
      <c r="J377" s="14"/>
      <c r="K377" s="14"/>
      <c r="L377" s="13"/>
    </row>
    <row r="378" spans="1:12" ht="18" customHeight="1">
      <c r="A378" s="23"/>
      <c r="J378" s="14"/>
      <c r="K378" s="14"/>
      <c r="L378" s="13"/>
    </row>
    <row r="379" spans="1:12" ht="18" customHeight="1">
      <c r="A379" s="23"/>
      <c r="J379" s="14"/>
      <c r="K379" s="14"/>
      <c r="L379" s="13"/>
    </row>
    <row r="380" spans="1:12" ht="18" customHeight="1">
      <c r="A380" s="23"/>
      <c r="J380" s="14"/>
      <c r="K380" s="14"/>
      <c r="L380" s="13"/>
    </row>
    <row r="381" spans="1:12" ht="18" customHeight="1">
      <c r="A381" s="23"/>
      <c r="J381" s="14"/>
      <c r="K381" s="14"/>
      <c r="L381" s="13"/>
    </row>
    <row r="382" spans="1:12" ht="18" customHeight="1">
      <c r="A382" s="23"/>
      <c r="J382" s="14"/>
      <c r="K382" s="14"/>
      <c r="L382" s="13"/>
    </row>
    <row r="383" spans="1:12" ht="18" customHeight="1">
      <c r="A383" s="23"/>
      <c r="J383" s="14"/>
      <c r="K383" s="14"/>
      <c r="L383" s="13"/>
    </row>
    <row r="384" spans="1:12" ht="18" customHeight="1">
      <c r="A384" s="23"/>
      <c r="J384" s="14"/>
      <c r="K384" s="14"/>
      <c r="L384" s="13"/>
    </row>
    <row r="385" spans="1:12" ht="18" customHeight="1">
      <c r="A385" s="23"/>
      <c r="J385" s="14"/>
      <c r="K385" s="14"/>
      <c r="L385" s="13"/>
    </row>
    <row r="386" spans="1:12" ht="18" customHeight="1">
      <c r="A386" s="23"/>
      <c r="J386" s="14"/>
      <c r="K386" s="14"/>
      <c r="L386" s="13"/>
    </row>
    <row r="387" spans="1:12" ht="18" customHeight="1">
      <c r="A387" s="23"/>
      <c r="J387" s="14"/>
      <c r="K387" s="14"/>
      <c r="L387" s="13"/>
    </row>
    <row r="388" spans="1:12" ht="18" customHeight="1">
      <c r="A388" s="23"/>
      <c r="J388" s="14"/>
      <c r="K388" s="14"/>
      <c r="L388" s="13"/>
    </row>
    <row r="389" spans="1:12" ht="18" customHeight="1">
      <c r="A389" s="23"/>
      <c r="J389" s="14"/>
      <c r="K389" s="14"/>
      <c r="L389" s="13"/>
    </row>
    <row r="390" spans="1:12" ht="18" customHeight="1">
      <c r="A390" s="23"/>
      <c r="J390" s="14"/>
      <c r="K390" s="14"/>
      <c r="L390" s="13"/>
    </row>
    <row r="391" spans="1:12" ht="18" customHeight="1">
      <c r="A391" s="23"/>
      <c r="J391" s="14"/>
      <c r="K391" s="14"/>
      <c r="L391" s="13"/>
    </row>
    <row r="392" spans="1:12" ht="18" customHeight="1">
      <c r="A392" s="23"/>
      <c r="J392" s="14"/>
      <c r="K392" s="14"/>
      <c r="L392" s="13"/>
    </row>
    <row r="393" spans="1:12" ht="18" customHeight="1">
      <c r="A393" s="23"/>
      <c r="J393" s="14"/>
      <c r="K393" s="14"/>
      <c r="L393" s="13"/>
    </row>
    <row r="394" spans="1:12" ht="18" customHeight="1">
      <c r="A394" s="23"/>
      <c r="J394" s="14"/>
      <c r="K394" s="14"/>
      <c r="L394" s="13"/>
    </row>
    <row r="395" spans="1:12" ht="18" customHeight="1">
      <c r="A395" s="23"/>
      <c r="J395" s="14"/>
      <c r="K395" s="14"/>
      <c r="L395" s="13"/>
    </row>
    <row r="396" spans="1:12" ht="18" customHeight="1">
      <c r="A396" s="23"/>
      <c r="J396" s="14"/>
      <c r="K396" s="14"/>
      <c r="L396" s="13"/>
    </row>
    <row r="397" spans="1:12" ht="18" customHeight="1">
      <c r="A397" s="23"/>
      <c r="J397" s="14"/>
      <c r="K397" s="14"/>
      <c r="L397" s="13"/>
    </row>
    <row r="398" spans="1:12" ht="18" customHeight="1">
      <c r="A398" s="23"/>
      <c r="J398" s="14"/>
      <c r="K398" s="14"/>
      <c r="L398" s="13"/>
    </row>
    <row r="399" spans="1:12" ht="18" customHeight="1">
      <c r="A399" s="23"/>
      <c r="J399" s="14"/>
      <c r="K399" s="14"/>
      <c r="L399" s="13"/>
    </row>
    <row r="400" spans="1:12" ht="18" customHeight="1">
      <c r="A400" s="23"/>
      <c r="J400" s="14"/>
      <c r="K400" s="14"/>
      <c r="L400" s="13"/>
    </row>
    <row r="401" spans="1:12" ht="18" customHeight="1">
      <c r="A401" s="23"/>
      <c r="J401" s="14"/>
      <c r="K401" s="14"/>
      <c r="L401" s="13"/>
    </row>
    <row r="402" spans="1:12" ht="18" customHeight="1">
      <c r="A402" s="23"/>
      <c r="J402" s="14"/>
      <c r="K402" s="14"/>
      <c r="L402" s="13"/>
    </row>
    <row r="403" spans="1:12" ht="18" customHeight="1">
      <c r="A403" s="23"/>
      <c r="J403" s="14"/>
      <c r="K403" s="14"/>
      <c r="L403" s="13"/>
    </row>
    <row r="404" spans="1:12" ht="18" customHeight="1">
      <c r="A404" s="23"/>
      <c r="J404" s="14"/>
      <c r="K404" s="14"/>
      <c r="L404" s="13"/>
    </row>
    <row r="405" spans="1:12" ht="18" customHeight="1">
      <c r="A405" s="23"/>
      <c r="J405" s="14"/>
      <c r="K405" s="14"/>
      <c r="L405" s="13"/>
    </row>
    <row r="406" spans="1:12" ht="18" customHeight="1">
      <c r="A406" s="23"/>
      <c r="J406" s="14"/>
      <c r="K406" s="14"/>
      <c r="L406" s="13"/>
    </row>
    <row r="407" spans="1:12" ht="18" customHeight="1">
      <c r="A407" s="23"/>
      <c r="J407" s="14"/>
      <c r="K407" s="14"/>
      <c r="L407" s="13"/>
    </row>
    <row r="408" spans="1:12" ht="18" customHeight="1">
      <c r="A408" s="23"/>
      <c r="J408" s="14"/>
      <c r="K408" s="14"/>
      <c r="L408" s="13"/>
    </row>
    <row r="409" spans="1:12" ht="18" customHeight="1">
      <c r="A409" s="23"/>
      <c r="J409" s="14"/>
      <c r="K409" s="14"/>
      <c r="L409" s="13"/>
    </row>
    <row r="410" spans="1:12" ht="18" customHeight="1">
      <c r="A410" s="23"/>
      <c r="J410" s="14"/>
      <c r="K410" s="14"/>
      <c r="L410" s="13"/>
    </row>
    <row r="411" spans="1:12" ht="18" customHeight="1">
      <c r="A411" s="23"/>
      <c r="J411" s="14"/>
      <c r="K411" s="14"/>
      <c r="L411" s="13"/>
    </row>
    <row r="412" spans="1:12" ht="18" customHeight="1">
      <c r="A412" s="23"/>
      <c r="J412" s="14"/>
      <c r="K412" s="14"/>
      <c r="L412" s="13"/>
    </row>
    <row r="413" spans="1:12" ht="18" customHeight="1">
      <c r="A413" s="23"/>
      <c r="J413" s="14"/>
      <c r="K413" s="14"/>
      <c r="L413" s="13"/>
    </row>
    <row r="414" spans="1:12" ht="18" customHeight="1">
      <c r="A414" s="23"/>
      <c r="J414" s="14"/>
      <c r="K414" s="14"/>
      <c r="L414" s="13"/>
    </row>
    <row r="415" spans="1:12" ht="18" customHeight="1">
      <c r="A415" s="23"/>
      <c r="J415" s="14"/>
      <c r="K415" s="14"/>
      <c r="L415" s="13"/>
    </row>
    <row r="416" spans="1:12" ht="18" customHeight="1">
      <c r="A416" s="23"/>
      <c r="J416" s="14"/>
      <c r="K416" s="14"/>
      <c r="L416" s="13"/>
    </row>
    <row r="417" spans="1:12" ht="18" customHeight="1">
      <c r="A417" s="23"/>
      <c r="J417" s="14"/>
      <c r="K417" s="14"/>
      <c r="L417" s="13"/>
    </row>
    <row r="418" spans="1:12" ht="18" customHeight="1">
      <c r="A418" s="23"/>
      <c r="J418" s="14"/>
      <c r="K418" s="14"/>
      <c r="L418" s="13"/>
    </row>
    <row r="419" spans="1:12" ht="18" customHeight="1">
      <c r="A419" s="23"/>
      <c r="J419" s="14"/>
      <c r="K419" s="14"/>
      <c r="L419" s="13"/>
    </row>
    <row r="420" spans="1:12" ht="18" customHeight="1">
      <c r="A420" s="23"/>
      <c r="J420" s="14"/>
      <c r="K420" s="14"/>
      <c r="L420" s="13"/>
    </row>
    <row r="421" spans="1:12" ht="18" customHeight="1">
      <c r="A421" s="23"/>
      <c r="J421" s="14"/>
      <c r="K421" s="14"/>
      <c r="L421" s="13"/>
    </row>
    <row r="422" spans="1:12" ht="18" customHeight="1">
      <c r="A422" s="23"/>
      <c r="J422" s="14"/>
      <c r="K422" s="14"/>
      <c r="L422" s="13"/>
    </row>
    <row r="423" spans="1:12" ht="18" customHeight="1">
      <c r="A423" s="23"/>
      <c r="J423" s="14"/>
      <c r="K423" s="14"/>
      <c r="L423" s="13"/>
    </row>
    <row r="424" spans="1:12" ht="18" customHeight="1">
      <c r="A424" s="23"/>
      <c r="J424" s="14"/>
      <c r="K424" s="14"/>
      <c r="L424" s="13"/>
    </row>
    <row r="425" spans="1:12" ht="18" customHeight="1">
      <c r="A425" s="23"/>
      <c r="J425" s="14"/>
      <c r="K425" s="14"/>
      <c r="L425" s="13"/>
    </row>
    <row r="426" spans="1:12" ht="18" customHeight="1">
      <c r="A426" s="23"/>
      <c r="J426" s="14"/>
      <c r="K426" s="14"/>
      <c r="L426" s="13"/>
    </row>
    <row r="427" spans="1:12" ht="18" customHeight="1">
      <c r="A427" s="23"/>
      <c r="J427" s="14"/>
      <c r="K427" s="14"/>
      <c r="L427" s="13"/>
    </row>
    <row r="428" spans="1:12" ht="18" customHeight="1">
      <c r="A428" s="23"/>
      <c r="J428" s="14"/>
      <c r="K428" s="14"/>
      <c r="L428" s="13"/>
    </row>
    <row r="429" spans="1:12" ht="18" customHeight="1">
      <c r="A429" s="23"/>
      <c r="J429" s="14"/>
      <c r="K429" s="14"/>
      <c r="L429" s="13"/>
    </row>
    <row r="430" spans="1:12" ht="18" customHeight="1">
      <c r="A430" s="23"/>
      <c r="J430" s="14"/>
      <c r="K430" s="14"/>
      <c r="L430" s="13"/>
    </row>
    <row r="431" spans="1:12" ht="18" customHeight="1">
      <c r="A431" s="23"/>
      <c r="J431" s="14"/>
      <c r="K431" s="14"/>
      <c r="L431" s="13"/>
    </row>
    <row r="432" spans="1:12" ht="18" customHeight="1">
      <c r="A432" s="23"/>
      <c r="J432" s="14"/>
      <c r="K432" s="14"/>
      <c r="L432" s="13"/>
    </row>
    <row r="433" spans="1:12" ht="18" customHeight="1">
      <c r="A433" s="23"/>
      <c r="J433" s="14"/>
      <c r="K433" s="14"/>
      <c r="L433" s="13"/>
    </row>
    <row r="434" spans="1:12" ht="18" customHeight="1">
      <c r="A434" s="23"/>
      <c r="J434" s="14"/>
      <c r="K434" s="14"/>
      <c r="L434" s="13"/>
    </row>
    <row r="435" spans="1:12" ht="18" customHeight="1">
      <c r="A435" s="23"/>
      <c r="J435" s="14"/>
      <c r="K435" s="14"/>
      <c r="L435" s="13"/>
    </row>
    <row r="436" spans="1:12" ht="18" customHeight="1">
      <c r="A436" s="23"/>
      <c r="J436" s="14"/>
      <c r="K436" s="14"/>
      <c r="L436" s="13"/>
    </row>
    <row r="437" spans="1:12" ht="18" customHeight="1">
      <c r="A437" s="23"/>
      <c r="J437" s="14"/>
      <c r="K437" s="14"/>
      <c r="L437" s="13"/>
    </row>
    <row r="438" spans="1:12" ht="18" customHeight="1">
      <c r="A438" s="23"/>
      <c r="J438" s="14"/>
      <c r="K438" s="14"/>
      <c r="L438" s="13"/>
    </row>
    <row r="439" spans="1:12" ht="18" customHeight="1">
      <c r="A439" s="23"/>
      <c r="J439" s="14"/>
      <c r="K439" s="14"/>
      <c r="L439" s="13"/>
    </row>
    <row r="440" spans="1:12" ht="18" customHeight="1">
      <c r="A440" s="23"/>
      <c r="J440" s="14"/>
      <c r="K440" s="14"/>
      <c r="L440" s="13"/>
    </row>
    <row r="441" spans="1:12" ht="18" customHeight="1">
      <c r="A441" s="23"/>
      <c r="J441" s="14"/>
      <c r="K441" s="14"/>
      <c r="L441" s="13"/>
    </row>
    <row r="442" spans="1:12" ht="18" customHeight="1">
      <c r="A442" s="23"/>
      <c r="J442" s="14"/>
      <c r="K442" s="14"/>
      <c r="L442" s="13"/>
    </row>
    <row r="443" spans="1:12" ht="18" customHeight="1">
      <c r="A443" s="23"/>
      <c r="J443" s="14"/>
      <c r="K443" s="14"/>
      <c r="L443" s="13"/>
    </row>
    <row r="444" spans="1:12" ht="18" customHeight="1">
      <c r="A444" s="23"/>
      <c r="J444" s="14"/>
      <c r="K444" s="14"/>
      <c r="L444" s="13"/>
    </row>
    <row r="445" spans="1:12" ht="18" customHeight="1">
      <c r="A445" s="23"/>
      <c r="J445" s="14"/>
      <c r="K445" s="14"/>
      <c r="L445" s="13"/>
    </row>
    <row r="446" spans="1:12" ht="18" customHeight="1">
      <c r="A446" s="23"/>
      <c r="J446" s="14"/>
      <c r="K446" s="14"/>
      <c r="L446" s="13"/>
    </row>
    <row r="447" spans="1:12" ht="18" customHeight="1">
      <c r="A447" s="23"/>
      <c r="J447" s="14"/>
      <c r="K447" s="14"/>
      <c r="L447" s="13"/>
    </row>
    <row r="448" spans="1:12" ht="18" customHeight="1">
      <c r="A448" s="23"/>
      <c r="J448" s="14"/>
      <c r="K448" s="14"/>
      <c r="L448" s="13"/>
    </row>
    <row r="449" spans="1:12" ht="18" customHeight="1">
      <c r="A449" s="23"/>
      <c r="J449" s="14"/>
      <c r="K449" s="14"/>
      <c r="L449" s="13"/>
    </row>
    <row r="450" spans="1:12" ht="18" customHeight="1">
      <c r="A450" s="23"/>
      <c r="J450" s="14"/>
      <c r="K450" s="14"/>
      <c r="L450" s="13"/>
    </row>
    <row r="451" spans="1:12" ht="18" customHeight="1">
      <c r="A451" s="23"/>
      <c r="J451" s="14"/>
      <c r="K451" s="14"/>
      <c r="L451" s="13"/>
    </row>
    <row r="452" spans="1:12" ht="18" customHeight="1">
      <c r="A452" s="23"/>
      <c r="J452" s="14"/>
      <c r="K452" s="14"/>
      <c r="L452" s="13"/>
    </row>
    <row r="453" spans="1:12" ht="18" customHeight="1">
      <c r="A453" s="23"/>
      <c r="J453" s="14"/>
      <c r="K453" s="14"/>
      <c r="L453" s="13"/>
    </row>
    <row r="454" spans="1:12" ht="18" customHeight="1">
      <c r="A454" s="23"/>
      <c r="J454" s="14"/>
      <c r="K454" s="14"/>
      <c r="L454" s="13"/>
    </row>
    <row r="455" spans="1:12" ht="18" customHeight="1">
      <c r="A455" s="23"/>
      <c r="J455" s="14"/>
      <c r="K455" s="14"/>
      <c r="L455" s="13"/>
    </row>
    <row r="456" spans="1:12" ht="18" customHeight="1">
      <c r="A456" s="23"/>
      <c r="J456" s="14"/>
      <c r="K456" s="14"/>
      <c r="L456" s="13"/>
    </row>
    <row r="457" spans="1:12" ht="18" customHeight="1">
      <c r="A457" s="23"/>
      <c r="J457" s="14"/>
      <c r="K457" s="14"/>
      <c r="L457" s="13"/>
    </row>
    <row r="458" spans="1:12" ht="18" customHeight="1">
      <c r="A458" s="23"/>
      <c r="J458" s="14"/>
      <c r="K458" s="14"/>
      <c r="L458" s="13"/>
    </row>
    <row r="459" spans="1:12" ht="18" customHeight="1">
      <c r="A459" s="23"/>
      <c r="J459" s="14"/>
      <c r="K459" s="14"/>
      <c r="L459" s="13"/>
    </row>
    <row r="460" spans="1:12" ht="18" customHeight="1">
      <c r="A460" s="23"/>
      <c r="J460" s="14"/>
      <c r="K460" s="14"/>
      <c r="L460" s="13"/>
    </row>
    <row r="461" spans="1:12" ht="18" customHeight="1">
      <c r="A461" s="23"/>
      <c r="J461" s="14"/>
      <c r="K461" s="14"/>
      <c r="L461" s="13"/>
    </row>
    <row r="462" spans="1:12" ht="18" customHeight="1">
      <c r="A462" s="23"/>
      <c r="J462" s="14"/>
      <c r="K462" s="14"/>
      <c r="L462" s="13"/>
    </row>
    <row r="463" spans="1:12" ht="18" customHeight="1">
      <c r="A463" s="23"/>
      <c r="J463" s="14"/>
      <c r="K463" s="14"/>
      <c r="L463" s="13"/>
    </row>
    <row r="464" spans="1:12" ht="18" customHeight="1">
      <c r="A464" s="23"/>
      <c r="J464" s="14"/>
      <c r="K464" s="14"/>
      <c r="L464" s="13"/>
    </row>
    <row r="465" spans="1:12" ht="18" customHeight="1">
      <c r="A465" s="23"/>
      <c r="J465" s="14"/>
      <c r="K465" s="14"/>
      <c r="L465" s="13"/>
    </row>
    <row r="466" spans="1:12" ht="18" customHeight="1">
      <c r="A466" s="23"/>
      <c r="J466" s="14"/>
      <c r="K466" s="14"/>
      <c r="L466" s="13"/>
    </row>
    <row r="467" spans="1:12" ht="18" customHeight="1">
      <c r="A467" s="23"/>
      <c r="J467" s="14"/>
      <c r="K467" s="14"/>
      <c r="L467" s="13"/>
    </row>
    <row r="468" spans="1:12" ht="18" customHeight="1">
      <c r="A468" s="23"/>
      <c r="J468" s="14"/>
      <c r="K468" s="14"/>
      <c r="L468" s="13"/>
    </row>
    <row r="469" spans="1:12" ht="18" customHeight="1">
      <c r="A469" s="23"/>
      <c r="J469" s="14"/>
      <c r="K469" s="14"/>
      <c r="L469" s="13"/>
    </row>
    <row r="470" spans="1:12" ht="18" customHeight="1">
      <c r="A470" s="23"/>
      <c r="J470" s="14"/>
      <c r="K470" s="14"/>
      <c r="L470" s="13"/>
    </row>
    <row r="471" spans="1:12" ht="18" customHeight="1">
      <c r="A471" s="23"/>
      <c r="J471" s="14"/>
      <c r="K471" s="14"/>
      <c r="L471" s="13"/>
    </row>
    <row r="472" spans="1:12" ht="18" customHeight="1">
      <c r="A472" s="23"/>
      <c r="J472" s="14"/>
      <c r="K472" s="14"/>
      <c r="L472" s="13"/>
    </row>
    <row r="473" spans="1:12" ht="18" customHeight="1">
      <c r="A473" s="23"/>
      <c r="J473" s="14"/>
      <c r="K473" s="14"/>
      <c r="L473" s="13"/>
    </row>
    <row r="474" spans="1:12" ht="18" customHeight="1">
      <c r="A474" s="23"/>
      <c r="J474" s="14"/>
      <c r="K474" s="14"/>
      <c r="L474" s="13"/>
    </row>
    <row r="475" spans="1:12" ht="18" customHeight="1">
      <c r="A475" s="23"/>
      <c r="J475" s="14"/>
      <c r="K475" s="14"/>
      <c r="L475" s="13"/>
    </row>
    <row r="476" spans="1:12" ht="18" customHeight="1">
      <c r="A476" s="23"/>
      <c r="J476" s="14"/>
      <c r="K476" s="14"/>
      <c r="L476" s="13"/>
    </row>
    <row r="477" spans="1:12" ht="18" customHeight="1">
      <c r="A477" s="23"/>
      <c r="J477" s="14"/>
      <c r="K477" s="14"/>
      <c r="L477" s="13"/>
    </row>
    <row r="478" spans="1:12" ht="18" customHeight="1">
      <c r="A478" s="23"/>
      <c r="J478" s="14"/>
      <c r="K478" s="14"/>
      <c r="L478" s="13"/>
    </row>
    <row r="479" spans="1:12" ht="18" customHeight="1">
      <c r="A479" s="23"/>
      <c r="J479" s="14"/>
      <c r="K479" s="14"/>
      <c r="L479" s="13"/>
    </row>
    <row r="480" spans="1:12" ht="18" customHeight="1">
      <c r="A480" s="23"/>
      <c r="J480" s="14"/>
      <c r="K480" s="14"/>
      <c r="L480" s="13"/>
    </row>
    <row r="481" spans="1:12" ht="18" customHeight="1">
      <c r="A481" s="23"/>
      <c r="J481" s="14"/>
      <c r="K481" s="14"/>
      <c r="L481" s="13"/>
    </row>
    <row r="482" spans="1:12" ht="18" customHeight="1">
      <c r="A482" s="23"/>
      <c r="J482" s="14"/>
      <c r="K482" s="14"/>
      <c r="L482" s="13"/>
    </row>
    <row r="483" spans="1:12" ht="18" customHeight="1">
      <c r="A483" s="23"/>
      <c r="J483" s="14"/>
      <c r="K483" s="14"/>
      <c r="L483" s="13"/>
    </row>
    <row r="484" spans="1:12" ht="18" customHeight="1">
      <c r="A484" s="23"/>
      <c r="J484" s="14"/>
      <c r="K484" s="14"/>
      <c r="L484" s="13"/>
    </row>
    <row r="485" spans="1:12" ht="18" customHeight="1">
      <c r="A485" s="23"/>
      <c r="J485" s="14"/>
      <c r="K485" s="14"/>
      <c r="L485" s="13"/>
    </row>
    <row r="486" spans="1:12" ht="18" customHeight="1">
      <c r="A486" s="23"/>
      <c r="J486" s="14"/>
      <c r="K486" s="14"/>
      <c r="L486" s="13"/>
    </row>
    <row r="487" spans="1:12" ht="18" customHeight="1">
      <c r="A487" s="23"/>
      <c r="J487" s="14"/>
      <c r="K487" s="14"/>
      <c r="L487" s="13"/>
    </row>
    <row r="488" spans="1:12" ht="18" customHeight="1">
      <c r="A488" s="23"/>
      <c r="J488" s="14"/>
      <c r="K488" s="14"/>
      <c r="L488" s="13"/>
    </row>
    <row r="489" spans="1:12" ht="18" customHeight="1">
      <c r="A489" s="23"/>
      <c r="J489" s="14"/>
      <c r="K489" s="14"/>
      <c r="L489" s="13"/>
    </row>
    <row r="490" spans="1:12" ht="18" customHeight="1">
      <c r="A490" s="23"/>
      <c r="J490" s="14"/>
      <c r="K490" s="14"/>
      <c r="L490" s="13"/>
    </row>
    <row r="491" spans="1:12" ht="18" customHeight="1">
      <c r="A491" s="23"/>
      <c r="J491" s="14"/>
      <c r="K491" s="14"/>
      <c r="L491" s="13"/>
    </row>
    <row r="492" spans="1:12" ht="18" customHeight="1">
      <c r="A492" s="23"/>
      <c r="J492" s="14"/>
      <c r="K492" s="14"/>
      <c r="L492" s="13"/>
    </row>
    <row r="493" spans="1:12" ht="18" customHeight="1">
      <c r="A493" s="23"/>
      <c r="J493" s="14"/>
      <c r="K493" s="14"/>
      <c r="L493" s="13"/>
    </row>
    <row r="494" spans="1:12" ht="18" customHeight="1">
      <c r="A494" s="23"/>
      <c r="J494" s="14"/>
      <c r="K494" s="14"/>
      <c r="L494" s="13"/>
    </row>
    <row r="495" spans="1:12" ht="18" customHeight="1">
      <c r="A495" s="23"/>
      <c r="J495" s="14"/>
      <c r="K495" s="14"/>
      <c r="L495" s="13"/>
    </row>
    <row r="496" spans="1:12" ht="18" customHeight="1">
      <c r="A496" s="23"/>
      <c r="J496" s="14"/>
      <c r="K496" s="14"/>
      <c r="L496" s="13"/>
    </row>
    <row r="497" spans="1:12" ht="18" customHeight="1">
      <c r="A497" s="23"/>
      <c r="J497" s="14"/>
      <c r="K497" s="14"/>
      <c r="L497" s="13"/>
    </row>
    <row r="498" spans="1:12" ht="18" customHeight="1">
      <c r="A498" s="23"/>
      <c r="J498" s="14"/>
      <c r="K498" s="14"/>
      <c r="L498" s="13"/>
    </row>
    <row r="499" spans="1:12" ht="18" customHeight="1">
      <c r="A499" s="23"/>
      <c r="J499" s="14"/>
      <c r="K499" s="14"/>
      <c r="L499" s="13"/>
    </row>
    <row r="500" spans="1:12" ht="18" customHeight="1">
      <c r="A500" s="23"/>
      <c r="J500" s="14"/>
      <c r="K500" s="14"/>
      <c r="L500" s="13"/>
    </row>
    <row r="501" spans="1:12" ht="18" customHeight="1">
      <c r="A501" s="23"/>
      <c r="J501" s="14"/>
      <c r="K501" s="14"/>
      <c r="L501" s="13"/>
    </row>
    <row r="502" spans="1:12" ht="18" customHeight="1">
      <c r="A502" s="23"/>
      <c r="J502" s="14"/>
      <c r="K502" s="14"/>
      <c r="L502" s="13"/>
    </row>
    <row r="503" spans="1:12" ht="18" customHeight="1">
      <c r="A503" s="23"/>
      <c r="J503" s="14"/>
      <c r="K503" s="14"/>
      <c r="L503" s="13"/>
    </row>
    <row r="504" spans="1:12" ht="18" customHeight="1">
      <c r="A504" s="23"/>
      <c r="J504" s="14"/>
      <c r="K504" s="14"/>
      <c r="L504" s="13"/>
    </row>
    <row r="505" spans="1:12" ht="18" customHeight="1">
      <c r="A505" s="23"/>
      <c r="J505" s="14"/>
      <c r="K505" s="14"/>
      <c r="L505" s="13"/>
    </row>
    <row r="506" spans="1:12" ht="18" customHeight="1">
      <c r="A506" s="23"/>
      <c r="J506" s="14"/>
      <c r="K506" s="14"/>
      <c r="L506" s="13"/>
    </row>
    <row r="507" spans="1:12" ht="18" customHeight="1">
      <c r="A507" s="23"/>
      <c r="J507" s="14"/>
      <c r="K507" s="14"/>
      <c r="L507" s="13"/>
    </row>
    <row r="508" spans="1:12" ht="18" customHeight="1">
      <c r="A508" s="23"/>
      <c r="J508" s="14"/>
      <c r="K508" s="14"/>
      <c r="L508" s="13"/>
    </row>
    <row r="509" spans="1:12" ht="18" customHeight="1">
      <c r="A509" s="23"/>
      <c r="J509" s="14"/>
      <c r="K509" s="14"/>
      <c r="L509" s="13"/>
    </row>
    <row r="510" spans="1:12" ht="18" customHeight="1">
      <c r="A510" s="23"/>
      <c r="J510" s="14"/>
      <c r="K510" s="14"/>
      <c r="L510" s="13"/>
    </row>
    <row r="511" spans="1:12" ht="18" customHeight="1">
      <c r="A511" s="23"/>
      <c r="J511" s="14"/>
      <c r="K511" s="14"/>
      <c r="L511" s="13"/>
    </row>
    <row r="512" spans="1:12" ht="18" customHeight="1">
      <c r="A512" s="23"/>
      <c r="J512" s="14"/>
      <c r="K512" s="14"/>
      <c r="L512" s="13"/>
    </row>
    <row r="513" spans="1:12" ht="18" customHeight="1">
      <c r="A513" s="23"/>
      <c r="J513" s="14"/>
      <c r="K513" s="14"/>
      <c r="L513" s="13"/>
    </row>
    <row r="514" spans="1:12" ht="18" customHeight="1">
      <c r="A514" s="23"/>
      <c r="J514" s="14"/>
      <c r="K514" s="14"/>
      <c r="L514" s="13"/>
    </row>
    <row r="515" spans="1:12" ht="18" customHeight="1">
      <c r="A515" s="23"/>
      <c r="J515" s="14"/>
      <c r="K515" s="14"/>
      <c r="L515" s="13"/>
    </row>
    <row r="516" spans="1:12" ht="18" customHeight="1">
      <c r="A516" s="23"/>
      <c r="J516" s="14"/>
      <c r="K516" s="14"/>
      <c r="L516" s="13"/>
    </row>
    <row r="517" spans="1:12" ht="18" customHeight="1">
      <c r="A517" s="23"/>
      <c r="J517" s="14"/>
      <c r="K517" s="14"/>
      <c r="L517" s="13"/>
    </row>
    <row r="518" spans="1:12" ht="18" customHeight="1">
      <c r="A518" s="23"/>
      <c r="J518" s="14"/>
      <c r="K518" s="14"/>
      <c r="L518" s="13"/>
    </row>
    <row r="519" spans="1:12" ht="18" customHeight="1">
      <c r="A519" s="23"/>
      <c r="J519" s="14"/>
      <c r="K519" s="14"/>
      <c r="L519" s="13"/>
    </row>
    <row r="520" spans="1:12" ht="18" customHeight="1">
      <c r="A520" s="23"/>
      <c r="J520" s="14"/>
      <c r="K520" s="14"/>
      <c r="L520" s="13"/>
    </row>
    <row r="521" spans="1:12" ht="18" customHeight="1">
      <c r="A521" s="23"/>
      <c r="J521" s="14"/>
      <c r="K521" s="14"/>
      <c r="L521" s="13"/>
    </row>
    <row r="522" spans="1:12" ht="18" customHeight="1">
      <c r="A522" s="23"/>
      <c r="J522" s="14"/>
      <c r="K522" s="14"/>
      <c r="L522" s="13"/>
    </row>
    <row r="523" spans="1:12" ht="18" customHeight="1">
      <c r="A523" s="23"/>
      <c r="J523" s="14"/>
      <c r="K523" s="14"/>
      <c r="L523" s="13"/>
    </row>
    <row r="524" spans="1:12" ht="18" customHeight="1">
      <c r="A524" s="23"/>
      <c r="J524" s="14"/>
      <c r="K524" s="14"/>
      <c r="L524" s="13"/>
    </row>
    <row r="525" spans="1:12" ht="18" customHeight="1">
      <c r="A525" s="23"/>
      <c r="J525" s="14"/>
      <c r="K525" s="14"/>
      <c r="L525" s="13"/>
    </row>
    <row r="526" spans="1:12" ht="18" customHeight="1">
      <c r="A526" s="23"/>
      <c r="J526" s="14"/>
      <c r="K526" s="14"/>
      <c r="L526" s="13"/>
    </row>
    <row r="527" spans="1:12" ht="18" customHeight="1">
      <c r="A527" s="23"/>
      <c r="J527" s="14"/>
      <c r="K527" s="14"/>
      <c r="L527" s="13"/>
    </row>
    <row r="528" spans="1:12" ht="18" customHeight="1">
      <c r="A528" s="23"/>
      <c r="J528" s="14"/>
      <c r="K528" s="14"/>
      <c r="L528" s="13"/>
    </row>
    <row r="529" spans="1:12" ht="18" customHeight="1">
      <c r="A529" s="23"/>
      <c r="J529" s="14"/>
      <c r="K529" s="14"/>
      <c r="L529" s="13"/>
    </row>
    <row r="530" spans="1:12" ht="18" customHeight="1">
      <c r="A530" s="23"/>
      <c r="J530" s="14"/>
      <c r="K530" s="14"/>
      <c r="L530" s="13"/>
    </row>
    <row r="531" spans="1:12" ht="18" customHeight="1">
      <c r="A531" s="23"/>
      <c r="J531" s="14"/>
      <c r="K531" s="14"/>
      <c r="L531" s="13"/>
    </row>
    <row r="532" spans="1:12" ht="18" customHeight="1">
      <c r="A532" s="23"/>
      <c r="J532" s="14"/>
      <c r="K532" s="14"/>
      <c r="L532" s="13"/>
    </row>
    <row r="533" spans="1:12" ht="18" customHeight="1">
      <c r="A533" s="23"/>
      <c r="J533" s="14"/>
      <c r="K533" s="14"/>
      <c r="L533" s="13"/>
    </row>
    <row r="534" spans="1:12" ht="18" customHeight="1">
      <c r="A534" s="23"/>
      <c r="J534" s="14"/>
      <c r="K534" s="14"/>
      <c r="L534" s="13"/>
    </row>
    <row r="535" spans="1:12" ht="18" customHeight="1">
      <c r="A535" s="23"/>
      <c r="J535" s="14"/>
      <c r="K535" s="14"/>
      <c r="L535" s="13"/>
    </row>
    <row r="536" spans="1:12" ht="18" customHeight="1">
      <c r="A536" s="23"/>
      <c r="J536" s="14"/>
      <c r="K536" s="14"/>
      <c r="L536" s="13"/>
    </row>
    <row r="537" spans="1:12" ht="18" customHeight="1">
      <c r="A537" s="23"/>
      <c r="J537" s="14"/>
      <c r="K537" s="14"/>
      <c r="L537" s="13"/>
    </row>
    <row r="538" spans="1:12" ht="18" customHeight="1">
      <c r="A538" s="23"/>
      <c r="J538" s="14"/>
      <c r="K538" s="14"/>
      <c r="L538" s="13"/>
    </row>
    <row r="539" spans="1:12" ht="18" customHeight="1">
      <c r="A539" s="23"/>
      <c r="J539" s="14"/>
      <c r="K539" s="14"/>
      <c r="L539" s="13"/>
    </row>
    <row r="540" spans="1:12" ht="18" customHeight="1">
      <c r="A540" s="23"/>
      <c r="J540" s="14"/>
      <c r="K540" s="14"/>
      <c r="L540" s="13"/>
    </row>
    <row r="541" spans="1:12" ht="18" customHeight="1">
      <c r="A541" s="23"/>
      <c r="J541" s="14"/>
      <c r="K541" s="14"/>
      <c r="L541" s="13"/>
    </row>
    <row r="542" spans="1:12" ht="18" customHeight="1">
      <c r="A542" s="23"/>
      <c r="J542" s="14"/>
      <c r="K542" s="14"/>
      <c r="L542" s="13"/>
    </row>
    <row r="543" spans="1:12" ht="18" customHeight="1">
      <c r="A543" s="23"/>
      <c r="J543" s="14"/>
      <c r="K543" s="14"/>
      <c r="L543" s="13"/>
    </row>
    <row r="544" spans="1:12" ht="18" customHeight="1">
      <c r="A544" s="23"/>
      <c r="J544" s="14"/>
      <c r="K544" s="14"/>
      <c r="L544" s="13"/>
    </row>
    <row r="545" spans="1:12" ht="18" customHeight="1">
      <c r="A545" s="23"/>
      <c r="J545" s="14"/>
      <c r="K545" s="14"/>
      <c r="L545" s="13"/>
    </row>
    <row r="546" spans="1:12" ht="18" customHeight="1">
      <c r="A546" s="23"/>
      <c r="J546" s="14"/>
      <c r="K546" s="14"/>
      <c r="L546" s="13"/>
    </row>
    <row r="547" spans="1:12" ht="18" customHeight="1">
      <c r="A547" s="23"/>
      <c r="J547" s="14"/>
      <c r="K547" s="14"/>
      <c r="L547" s="13"/>
    </row>
    <row r="548" spans="1:12" ht="18" customHeight="1">
      <c r="A548" s="23"/>
      <c r="J548" s="14"/>
      <c r="K548" s="14"/>
      <c r="L548" s="13"/>
    </row>
    <row r="549" spans="1:12" ht="18" customHeight="1">
      <c r="A549" s="23"/>
      <c r="J549" s="14"/>
      <c r="K549" s="14"/>
      <c r="L549" s="13"/>
    </row>
    <row r="550" spans="1:12" ht="18" customHeight="1">
      <c r="A550" s="23"/>
      <c r="J550" s="14"/>
      <c r="K550" s="14"/>
      <c r="L550" s="13"/>
    </row>
    <row r="551" spans="1:12" ht="18" customHeight="1">
      <c r="A551" s="23"/>
      <c r="J551" s="14"/>
      <c r="K551" s="14"/>
      <c r="L551" s="13"/>
    </row>
    <row r="552" spans="1:12" ht="18" customHeight="1">
      <c r="A552" s="23"/>
      <c r="J552" s="14"/>
      <c r="K552" s="14"/>
      <c r="L552" s="13"/>
    </row>
    <row r="553" spans="1:12" ht="18" customHeight="1">
      <c r="A553" s="23"/>
      <c r="J553" s="14"/>
      <c r="K553" s="14"/>
      <c r="L553" s="13"/>
    </row>
    <row r="554" spans="1:12" ht="18" customHeight="1">
      <c r="A554" s="23"/>
      <c r="J554" s="14"/>
      <c r="K554" s="14"/>
      <c r="L554" s="13"/>
    </row>
    <row r="555" spans="1:12" ht="18" customHeight="1">
      <c r="A555" s="23"/>
      <c r="J555" s="14"/>
      <c r="K555" s="14"/>
      <c r="L555" s="13"/>
    </row>
    <row r="556" spans="1:12" ht="18" customHeight="1">
      <c r="A556" s="23"/>
      <c r="J556" s="14"/>
      <c r="K556" s="14"/>
      <c r="L556" s="13"/>
    </row>
    <row r="557" spans="1:12" ht="18" customHeight="1">
      <c r="A557" s="23"/>
      <c r="J557" s="14"/>
      <c r="K557" s="14"/>
      <c r="L557" s="13"/>
    </row>
    <row r="558" spans="1:12" ht="18" customHeight="1">
      <c r="A558" s="23"/>
      <c r="J558" s="14"/>
      <c r="K558" s="14"/>
      <c r="L558" s="13"/>
    </row>
    <row r="559" spans="1:12" ht="18" customHeight="1">
      <c r="A559" s="23"/>
      <c r="J559" s="14"/>
      <c r="K559" s="14"/>
      <c r="L559" s="13"/>
    </row>
    <row r="560" spans="1:12" ht="18" customHeight="1">
      <c r="A560" s="23"/>
      <c r="J560" s="14"/>
      <c r="K560" s="14"/>
      <c r="L560" s="13"/>
    </row>
    <row r="561" spans="1:12" ht="18" customHeight="1">
      <c r="A561" s="23"/>
      <c r="J561" s="14"/>
      <c r="K561" s="14"/>
      <c r="L561" s="13"/>
    </row>
    <row r="562" spans="1:12" ht="18" customHeight="1">
      <c r="A562" s="23"/>
      <c r="J562" s="14"/>
      <c r="K562" s="14"/>
      <c r="L562" s="13"/>
    </row>
    <row r="563" spans="1:12" ht="18" customHeight="1">
      <c r="A563" s="23"/>
      <c r="J563" s="14"/>
      <c r="K563" s="14"/>
      <c r="L563" s="13"/>
    </row>
    <row r="564" spans="1:12" ht="18" customHeight="1">
      <c r="A564" s="23"/>
      <c r="J564" s="14"/>
      <c r="K564" s="14"/>
      <c r="L564" s="13"/>
    </row>
    <row r="565" spans="1:12" ht="18" customHeight="1">
      <c r="A565" s="23"/>
      <c r="J565" s="14"/>
      <c r="K565" s="14"/>
      <c r="L565" s="13"/>
    </row>
    <row r="566" spans="1:12" ht="18" customHeight="1">
      <c r="A566" s="23"/>
      <c r="J566" s="14"/>
      <c r="K566" s="14"/>
      <c r="L566" s="13"/>
    </row>
    <row r="567" spans="1:12" ht="18" customHeight="1">
      <c r="A567" s="23"/>
      <c r="J567" s="14"/>
      <c r="K567" s="14"/>
      <c r="L567" s="13"/>
    </row>
    <row r="568" spans="1:12" ht="18" customHeight="1">
      <c r="A568" s="23"/>
      <c r="J568" s="14"/>
      <c r="K568" s="14"/>
      <c r="L568" s="13"/>
    </row>
    <row r="569" spans="1:12" ht="18" customHeight="1">
      <c r="A569" s="23"/>
      <c r="J569" s="14"/>
      <c r="K569" s="14"/>
      <c r="L569" s="13"/>
    </row>
    <row r="570" spans="1:12" ht="18" customHeight="1">
      <c r="A570" s="23"/>
      <c r="J570" s="14"/>
      <c r="K570" s="14"/>
      <c r="L570" s="13"/>
    </row>
    <row r="571" spans="1:12" ht="18" customHeight="1">
      <c r="A571" s="23"/>
      <c r="J571" s="14"/>
      <c r="K571" s="14"/>
      <c r="L571" s="13"/>
    </row>
    <row r="572" spans="1:12" ht="18" customHeight="1">
      <c r="A572" s="23"/>
      <c r="J572" s="14"/>
      <c r="K572" s="14"/>
      <c r="L572" s="13"/>
    </row>
    <row r="573" spans="1:12" ht="18" customHeight="1">
      <c r="A573" s="23"/>
      <c r="J573" s="14"/>
      <c r="K573" s="14"/>
      <c r="L573" s="13"/>
    </row>
    <row r="574" spans="1:12" ht="18" customHeight="1">
      <c r="A574" s="23"/>
      <c r="J574" s="14"/>
      <c r="K574" s="14"/>
      <c r="L574" s="13"/>
    </row>
    <row r="575" spans="1:12" ht="18" customHeight="1">
      <c r="A575" s="23"/>
      <c r="J575" s="14"/>
      <c r="K575" s="14"/>
      <c r="L575" s="13"/>
    </row>
    <row r="576" spans="1:12" ht="18" customHeight="1">
      <c r="A576" s="23"/>
      <c r="J576" s="14"/>
      <c r="K576" s="14"/>
      <c r="L576" s="13"/>
    </row>
    <row r="577" spans="1:12" ht="18" customHeight="1">
      <c r="A577" s="23"/>
      <c r="J577" s="14"/>
      <c r="K577" s="14"/>
      <c r="L577" s="13"/>
    </row>
    <row r="578" spans="1:12" ht="18" customHeight="1">
      <c r="A578" s="23"/>
      <c r="J578" s="14"/>
      <c r="K578" s="14"/>
      <c r="L578" s="13"/>
    </row>
    <row r="579" spans="1:12" ht="18" customHeight="1">
      <c r="A579" s="23"/>
      <c r="J579" s="14"/>
      <c r="K579" s="14"/>
      <c r="L579" s="13"/>
    </row>
    <row r="580" spans="1:12" ht="18" customHeight="1">
      <c r="A580" s="23"/>
      <c r="J580" s="14"/>
      <c r="K580" s="14"/>
      <c r="L580" s="13"/>
    </row>
    <row r="581" spans="1:12" ht="18" customHeight="1">
      <c r="A581" s="23"/>
      <c r="J581" s="14"/>
      <c r="K581" s="14"/>
      <c r="L581" s="13"/>
    </row>
    <row r="582" spans="1:12" ht="18" customHeight="1">
      <c r="A582" s="23"/>
      <c r="J582" s="14"/>
      <c r="K582" s="14"/>
      <c r="L582" s="13"/>
    </row>
    <row r="583" spans="1:12" ht="18" customHeight="1">
      <c r="A583" s="23"/>
      <c r="J583" s="14"/>
      <c r="K583" s="14"/>
      <c r="L583" s="13"/>
    </row>
    <row r="584" spans="1:12" ht="18" customHeight="1">
      <c r="A584" s="23"/>
      <c r="J584" s="14"/>
      <c r="K584" s="14"/>
      <c r="L584" s="13"/>
    </row>
    <row r="585" spans="1:12" ht="18" customHeight="1">
      <c r="A585" s="23"/>
      <c r="J585" s="14"/>
      <c r="K585" s="14"/>
      <c r="L585" s="13"/>
    </row>
    <row r="586" spans="1:12" ht="18" customHeight="1">
      <c r="A586" s="23"/>
      <c r="J586" s="14"/>
      <c r="K586" s="14"/>
      <c r="L586" s="13"/>
    </row>
    <row r="587" spans="1:12" ht="18" customHeight="1">
      <c r="A587" s="23"/>
      <c r="J587" s="14"/>
      <c r="K587" s="14"/>
      <c r="L587" s="13"/>
    </row>
    <row r="588" spans="1:12" ht="18" customHeight="1">
      <c r="A588" s="23"/>
      <c r="J588" s="14"/>
      <c r="K588" s="14"/>
      <c r="L588" s="13"/>
    </row>
    <row r="589" spans="1:12" ht="18" customHeight="1">
      <c r="A589" s="23"/>
      <c r="J589" s="14"/>
      <c r="K589" s="14"/>
      <c r="L589" s="13"/>
    </row>
    <row r="590" spans="1:12" ht="18" customHeight="1">
      <c r="A590" s="23"/>
      <c r="J590" s="14"/>
      <c r="K590" s="14"/>
      <c r="L590" s="13"/>
    </row>
    <row r="591" spans="1:12" ht="18" customHeight="1">
      <c r="A591" s="23"/>
      <c r="J591" s="14"/>
      <c r="K591" s="14"/>
      <c r="L591" s="13"/>
    </row>
    <row r="592" spans="1:12" ht="18" customHeight="1">
      <c r="A592" s="23"/>
      <c r="J592" s="14"/>
      <c r="K592" s="14"/>
      <c r="L592" s="13"/>
    </row>
    <row r="593" spans="1:12" ht="18" customHeight="1">
      <c r="A593" s="23"/>
      <c r="J593" s="14"/>
      <c r="K593" s="14"/>
      <c r="L593" s="13"/>
    </row>
    <row r="594" spans="1:12" ht="18" customHeight="1">
      <c r="A594" s="23"/>
      <c r="J594" s="14"/>
      <c r="K594" s="14"/>
      <c r="L594" s="13"/>
    </row>
    <row r="595" spans="1:12" ht="18" customHeight="1">
      <c r="A595" s="23"/>
      <c r="J595" s="14"/>
      <c r="K595" s="14"/>
      <c r="L595" s="13"/>
    </row>
    <row r="596" spans="1:12" ht="18" customHeight="1">
      <c r="A596" s="23"/>
      <c r="J596" s="14"/>
      <c r="K596" s="14"/>
      <c r="L596" s="13"/>
    </row>
    <row r="597" spans="1:12" ht="18" customHeight="1">
      <c r="A597" s="23"/>
      <c r="J597" s="14"/>
      <c r="K597" s="14"/>
      <c r="L597" s="13"/>
    </row>
    <row r="598" spans="1:12" ht="18" customHeight="1">
      <c r="A598" s="23"/>
      <c r="J598" s="14"/>
      <c r="K598" s="14"/>
      <c r="L598" s="13"/>
    </row>
    <row r="599" spans="1:12" ht="18" customHeight="1">
      <c r="A599" s="23"/>
      <c r="J599" s="14"/>
      <c r="K599" s="14"/>
      <c r="L599" s="13"/>
    </row>
    <row r="600" spans="1:12" ht="18" customHeight="1">
      <c r="A600" s="23"/>
      <c r="J600" s="14"/>
      <c r="K600" s="14"/>
      <c r="L600" s="13"/>
    </row>
    <row r="601" spans="1:12" ht="18" customHeight="1">
      <c r="A601" s="23"/>
      <c r="J601" s="14"/>
      <c r="K601" s="14"/>
      <c r="L601" s="13"/>
    </row>
    <row r="602" spans="1:12" ht="18" customHeight="1">
      <c r="A602" s="23"/>
      <c r="J602" s="14"/>
      <c r="K602" s="14"/>
      <c r="L602" s="13"/>
    </row>
    <row r="603" spans="1:12" ht="18" customHeight="1">
      <c r="A603" s="23"/>
      <c r="J603" s="14"/>
      <c r="K603" s="14"/>
      <c r="L603" s="13"/>
    </row>
    <row r="604" spans="1:12" ht="18" customHeight="1">
      <c r="A604" s="23"/>
      <c r="J604" s="14"/>
      <c r="K604" s="14"/>
      <c r="L604" s="13"/>
    </row>
    <row r="605" spans="1:12" ht="18" customHeight="1">
      <c r="A605" s="23"/>
      <c r="J605" s="14"/>
      <c r="K605" s="14"/>
      <c r="L605" s="13"/>
    </row>
    <row r="606" spans="1:12" ht="18" customHeight="1">
      <c r="A606" s="23"/>
      <c r="J606" s="14"/>
      <c r="K606" s="14"/>
      <c r="L606" s="13"/>
    </row>
    <row r="607" spans="1:12" ht="18" customHeight="1">
      <c r="A607" s="23"/>
      <c r="J607" s="14"/>
      <c r="K607" s="14"/>
      <c r="L607" s="13"/>
    </row>
    <row r="608" spans="1:12" ht="18" customHeight="1">
      <c r="A608" s="23"/>
      <c r="J608" s="14"/>
      <c r="K608" s="14"/>
      <c r="L608" s="13"/>
    </row>
    <row r="609" spans="1:12" ht="18" customHeight="1">
      <c r="A609" s="23"/>
      <c r="J609" s="14"/>
      <c r="K609" s="14"/>
      <c r="L609" s="13"/>
    </row>
    <row r="610" spans="1:12" ht="18" customHeight="1">
      <c r="A610" s="23"/>
      <c r="J610" s="14"/>
      <c r="K610" s="14"/>
      <c r="L610" s="13"/>
    </row>
    <row r="611" spans="1:12" ht="18" customHeight="1">
      <c r="A611" s="23"/>
      <c r="J611" s="14"/>
      <c r="K611" s="14"/>
      <c r="L611" s="13"/>
    </row>
    <row r="612" spans="1:12" ht="18" customHeight="1">
      <c r="A612" s="23"/>
      <c r="J612" s="14"/>
      <c r="K612" s="14"/>
      <c r="L612" s="13"/>
    </row>
    <row r="613" spans="1:12" ht="18" customHeight="1">
      <c r="A613" s="23"/>
      <c r="J613" s="14"/>
      <c r="K613" s="14"/>
      <c r="L613" s="13"/>
    </row>
    <row r="614" spans="1:12" ht="18" customHeight="1">
      <c r="A614" s="23"/>
      <c r="J614" s="14"/>
      <c r="K614" s="14"/>
      <c r="L614" s="13"/>
    </row>
    <row r="615" spans="1:12" ht="18" customHeight="1">
      <c r="A615" s="23"/>
      <c r="J615" s="14"/>
      <c r="K615" s="14"/>
      <c r="L615" s="13"/>
    </row>
    <row r="616" spans="1:12" ht="18" customHeight="1">
      <c r="A616" s="23"/>
      <c r="J616" s="14"/>
      <c r="K616" s="14"/>
      <c r="L616" s="13"/>
    </row>
    <row r="617" spans="1:12" ht="18" customHeight="1">
      <c r="A617" s="23"/>
      <c r="J617" s="14"/>
      <c r="K617" s="14"/>
      <c r="L617" s="13"/>
    </row>
    <row r="618" spans="1:12" ht="18" customHeight="1">
      <c r="A618" s="23"/>
      <c r="J618" s="14"/>
      <c r="K618" s="14"/>
      <c r="L618" s="13"/>
    </row>
    <row r="619" spans="1:12" ht="18" customHeight="1">
      <c r="A619" s="23"/>
      <c r="J619" s="14"/>
      <c r="K619" s="14"/>
      <c r="L619" s="13"/>
    </row>
    <row r="620" spans="1:12" ht="18" customHeight="1">
      <c r="A620" s="23"/>
      <c r="J620" s="14"/>
      <c r="K620" s="14"/>
      <c r="L620" s="13"/>
    </row>
    <row r="621" spans="1:12" ht="18" customHeight="1">
      <c r="A621" s="23"/>
      <c r="J621" s="14"/>
      <c r="K621" s="14"/>
      <c r="L621" s="13"/>
    </row>
    <row r="622" spans="1:12" ht="18" customHeight="1">
      <c r="A622" s="23"/>
      <c r="J622" s="14"/>
      <c r="K622" s="14"/>
      <c r="L622" s="13"/>
    </row>
    <row r="623" spans="1:12" ht="18" customHeight="1">
      <c r="A623" s="23"/>
      <c r="J623" s="14"/>
      <c r="K623" s="14"/>
      <c r="L623" s="13"/>
    </row>
    <row r="624" spans="1:12" ht="18" customHeight="1">
      <c r="A624" s="23"/>
      <c r="J624" s="14"/>
      <c r="K624" s="14"/>
      <c r="L624" s="13"/>
    </row>
    <row r="625" spans="1:12" ht="18" customHeight="1">
      <c r="A625" s="23"/>
      <c r="J625" s="14"/>
      <c r="K625" s="14"/>
      <c r="L625" s="13"/>
    </row>
    <row r="626" spans="1:12" ht="18" customHeight="1">
      <c r="A626" s="23"/>
      <c r="J626" s="14"/>
      <c r="K626" s="14"/>
      <c r="L626" s="13"/>
    </row>
    <row r="627" spans="1:12" ht="18" customHeight="1">
      <c r="A627" s="23"/>
      <c r="J627" s="14"/>
      <c r="K627" s="14"/>
      <c r="L627" s="13"/>
    </row>
    <row r="628" spans="1:12" ht="18" customHeight="1">
      <c r="A628" s="23"/>
      <c r="J628" s="14"/>
      <c r="K628" s="14"/>
      <c r="L628" s="13"/>
    </row>
    <row r="629" spans="1:12" ht="18" customHeight="1">
      <c r="A629" s="23"/>
      <c r="J629" s="14"/>
      <c r="K629" s="14"/>
      <c r="L629" s="13"/>
    </row>
    <row r="630" spans="1:12" ht="18" customHeight="1">
      <c r="A630" s="23"/>
      <c r="J630" s="14"/>
      <c r="K630" s="14"/>
      <c r="L630" s="13"/>
    </row>
    <row r="631" spans="1:12" ht="18" customHeight="1">
      <c r="A631" s="23"/>
      <c r="J631" s="14"/>
      <c r="K631" s="14"/>
      <c r="L631" s="13"/>
    </row>
    <row r="632" spans="1:12" ht="18" customHeight="1">
      <c r="A632" s="23"/>
      <c r="J632" s="14"/>
      <c r="K632" s="14"/>
      <c r="L632" s="13"/>
    </row>
    <row r="633" spans="1:12" ht="18" customHeight="1">
      <c r="A633" s="23"/>
      <c r="J633" s="14"/>
      <c r="K633" s="14"/>
      <c r="L633" s="13"/>
    </row>
    <row r="634" spans="1:12" ht="18" customHeight="1">
      <c r="A634" s="23"/>
      <c r="J634" s="14"/>
      <c r="K634" s="14"/>
      <c r="L634" s="13"/>
    </row>
    <row r="635" spans="1:12" ht="18" customHeight="1">
      <c r="A635" s="23"/>
      <c r="J635" s="14"/>
      <c r="K635" s="14"/>
      <c r="L635" s="13"/>
    </row>
    <row r="636" spans="1:12" ht="18" customHeight="1">
      <c r="A636" s="23"/>
      <c r="J636" s="14"/>
      <c r="K636" s="14"/>
      <c r="L636" s="13"/>
    </row>
    <row r="637" spans="1:12" ht="18" customHeight="1">
      <c r="A637" s="23"/>
      <c r="J637" s="14"/>
      <c r="K637" s="14"/>
      <c r="L637" s="13"/>
    </row>
    <row r="638" spans="1:12" ht="18" customHeight="1">
      <c r="A638" s="23"/>
      <c r="J638" s="14"/>
      <c r="K638" s="14"/>
      <c r="L638" s="13"/>
    </row>
    <row r="639" spans="1:12" ht="18" customHeight="1">
      <c r="A639" s="23"/>
      <c r="J639" s="14"/>
      <c r="K639" s="14"/>
      <c r="L639" s="13"/>
    </row>
    <row r="640" spans="1:12" ht="18" customHeight="1">
      <c r="A640" s="23"/>
      <c r="J640" s="14"/>
      <c r="K640" s="14"/>
      <c r="L640" s="13"/>
    </row>
    <row r="641" spans="1:12" ht="18" customHeight="1">
      <c r="A641" s="23"/>
      <c r="J641" s="14"/>
      <c r="K641" s="14"/>
      <c r="L641" s="13"/>
    </row>
    <row r="642" spans="1:12" ht="18" customHeight="1">
      <c r="A642" s="23"/>
      <c r="J642" s="14"/>
      <c r="K642" s="14"/>
      <c r="L642" s="13"/>
    </row>
    <row r="643" spans="1:12" ht="18" customHeight="1">
      <c r="A643" s="23"/>
      <c r="J643" s="14"/>
      <c r="K643" s="14"/>
      <c r="L643" s="13"/>
    </row>
    <row r="644" spans="1:12" ht="18" customHeight="1">
      <c r="A644" s="23"/>
      <c r="J644" s="14"/>
      <c r="K644" s="14"/>
      <c r="L644" s="13"/>
    </row>
    <row r="645" spans="1:12" ht="18" customHeight="1">
      <c r="A645" s="23"/>
      <c r="J645" s="14"/>
      <c r="K645" s="14"/>
      <c r="L645" s="13"/>
    </row>
    <row r="646" spans="1:12" ht="18" customHeight="1">
      <c r="A646" s="23"/>
      <c r="J646" s="14"/>
      <c r="K646" s="14"/>
      <c r="L646" s="13"/>
    </row>
    <row r="647" spans="1:12" ht="18" customHeight="1">
      <c r="A647" s="23"/>
      <c r="J647" s="14"/>
      <c r="K647" s="14"/>
      <c r="L647" s="13"/>
    </row>
    <row r="648" spans="1:12" ht="18" customHeight="1">
      <c r="A648" s="23"/>
      <c r="J648" s="14"/>
      <c r="K648" s="14"/>
      <c r="L648" s="13"/>
    </row>
    <row r="649" spans="1:12" ht="18" customHeight="1">
      <c r="A649" s="23"/>
      <c r="J649" s="14"/>
      <c r="K649" s="14"/>
      <c r="L649" s="13"/>
    </row>
    <row r="650" spans="1:12" ht="18" customHeight="1">
      <c r="A650" s="23"/>
      <c r="J650" s="14"/>
      <c r="K650" s="14"/>
      <c r="L650" s="13"/>
    </row>
    <row r="651" spans="1:12" ht="18" customHeight="1">
      <c r="A651" s="23"/>
      <c r="J651" s="14"/>
      <c r="K651" s="14"/>
      <c r="L651" s="13"/>
    </row>
    <row r="652" spans="1:12" ht="18" customHeight="1">
      <c r="A652" s="23"/>
      <c r="J652" s="14"/>
      <c r="K652" s="14"/>
      <c r="L652" s="13"/>
    </row>
    <row r="653" spans="1:12" ht="18" customHeight="1">
      <c r="A653" s="23"/>
      <c r="J653" s="14"/>
      <c r="K653" s="14"/>
      <c r="L653" s="13"/>
    </row>
    <row r="654" spans="1:12" ht="18" customHeight="1">
      <c r="A654" s="23"/>
      <c r="J654" s="14"/>
      <c r="K654" s="14"/>
      <c r="L654" s="13"/>
    </row>
    <row r="655" spans="1:12" ht="18" customHeight="1">
      <c r="A655" s="23"/>
      <c r="J655" s="14"/>
      <c r="K655" s="14"/>
      <c r="L655" s="13"/>
    </row>
    <row r="656" spans="1:12" ht="18" customHeight="1">
      <c r="A656" s="23"/>
      <c r="J656" s="14"/>
      <c r="K656" s="14"/>
      <c r="L656" s="13"/>
    </row>
    <row r="657" spans="1:12" ht="18" customHeight="1">
      <c r="A657" s="23"/>
      <c r="J657" s="14"/>
      <c r="K657" s="14"/>
      <c r="L657" s="13"/>
    </row>
    <row r="658" spans="1:12" ht="18" customHeight="1">
      <c r="A658" s="23"/>
      <c r="J658" s="14"/>
      <c r="K658" s="14"/>
      <c r="L658" s="13"/>
    </row>
    <row r="659" spans="1:12" ht="18" customHeight="1">
      <c r="A659" s="23"/>
      <c r="J659" s="14"/>
      <c r="K659" s="14"/>
      <c r="L659" s="13"/>
    </row>
    <row r="660" spans="1:12" ht="18" customHeight="1">
      <c r="A660" s="23"/>
      <c r="J660" s="14"/>
      <c r="K660" s="14"/>
      <c r="L660" s="13"/>
    </row>
    <row r="661" spans="1:12" ht="18" customHeight="1">
      <c r="A661" s="23"/>
      <c r="J661" s="14"/>
      <c r="K661" s="14"/>
      <c r="L661" s="13"/>
    </row>
    <row r="662" spans="1:12" ht="18" customHeight="1">
      <c r="A662" s="23"/>
      <c r="J662" s="14"/>
      <c r="K662" s="14"/>
      <c r="L662" s="13"/>
    </row>
    <row r="663" spans="1:12" ht="18" customHeight="1">
      <c r="A663" s="23"/>
      <c r="J663" s="14"/>
      <c r="K663" s="14"/>
      <c r="L663" s="13"/>
    </row>
    <row r="664" spans="1:12" ht="18" customHeight="1">
      <c r="A664" s="23"/>
      <c r="J664" s="14"/>
      <c r="K664" s="14"/>
      <c r="L664" s="13"/>
    </row>
    <row r="665" spans="1:12" ht="18" customHeight="1">
      <c r="A665" s="23"/>
      <c r="J665" s="14"/>
      <c r="K665" s="14"/>
      <c r="L665" s="13"/>
    </row>
    <row r="666" spans="1:12" ht="18" customHeight="1">
      <c r="A666" s="23"/>
      <c r="J666" s="14"/>
      <c r="K666" s="14"/>
      <c r="L666" s="13"/>
    </row>
    <row r="667" spans="1:12" ht="18" customHeight="1">
      <c r="A667" s="23"/>
      <c r="J667" s="14"/>
      <c r="K667" s="14"/>
      <c r="L667" s="13"/>
    </row>
    <row r="668" spans="1:12" ht="18" customHeight="1">
      <c r="A668" s="23"/>
      <c r="J668" s="14"/>
      <c r="K668" s="14"/>
      <c r="L668" s="13"/>
    </row>
    <row r="669" spans="1:12" ht="18" customHeight="1">
      <c r="A669" s="23"/>
      <c r="J669" s="14"/>
      <c r="K669" s="14"/>
      <c r="L669" s="13"/>
    </row>
    <row r="670" spans="1:12" ht="18" customHeight="1">
      <c r="A670" s="23"/>
      <c r="J670" s="14"/>
      <c r="K670" s="14"/>
      <c r="L670" s="13"/>
    </row>
    <row r="671" spans="1:12" ht="18" customHeight="1">
      <c r="A671" s="23"/>
      <c r="J671" s="14"/>
      <c r="K671" s="14"/>
      <c r="L671" s="13"/>
    </row>
    <row r="672" spans="1:12" ht="18" customHeight="1">
      <c r="A672" s="23"/>
      <c r="J672" s="14"/>
      <c r="K672" s="14"/>
      <c r="L672" s="13"/>
    </row>
    <row r="673" spans="1:12" ht="18" customHeight="1">
      <c r="A673" s="23"/>
      <c r="J673" s="14"/>
      <c r="K673" s="14"/>
      <c r="L673" s="13"/>
    </row>
    <row r="674" spans="1:12" ht="18" customHeight="1">
      <c r="A674" s="23"/>
      <c r="J674" s="14"/>
      <c r="K674" s="14"/>
      <c r="L674" s="13"/>
    </row>
    <row r="675" spans="1:12" ht="18" customHeight="1">
      <c r="A675" s="23"/>
      <c r="J675" s="14"/>
      <c r="K675" s="14"/>
      <c r="L675" s="13"/>
    </row>
    <row r="676" spans="1:12" ht="18" customHeight="1">
      <c r="A676" s="23"/>
      <c r="J676" s="14"/>
      <c r="K676" s="14"/>
      <c r="L676" s="13"/>
    </row>
    <row r="677" spans="1:12" ht="18" customHeight="1">
      <c r="A677" s="23"/>
      <c r="J677" s="14"/>
      <c r="K677" s="14"/>
      <c r="L677" s="13"/>
    </row>
    <row r="678" spans="1:12" ht="18" customHeight="1">
      <c r="A678" s="23"/>
      <c r="J678" s="14"/>
      <c r="K678" s="14"/>
      <c r="L678" s="13"/>
    </row>
    <row r="679" spans="1:12" ht="18" customHeight="1">
      <c r="A679" s="23"/>
      <c r="J679" s="14"/>
      <c r="K679" s="14"/>
      <c r="L679" s="13"/>
    </row>
    <row r="680" spans="1:12" ht="18" customHeight="1">
      <c r="A680" s="23"/>
      <c r="J680" s="14"/>
      <c r="K680" s="14"/>
      <c r="L680" s="13"/>
    </row>
    <row r="681" spans="1:12" ht="18" customHeight="1">
      <c r="A681" s="23"/>
      <c r="J681" s="14"/>
      <c r="K681" s="14"/>
      <c r="L681" s="13"/>
    </row>
    <row r="682" spans="1:12" ht="18" customHeight="1">
      <c r="A682" s="23"/>
      <c r="J682" s="14"/>
      <c r="K682" s="14"/>
      <c r="L682" s="13"/>
    </row>
    <row r="683" spans="1:12" ht="18" customHeight="1">
      <c r="A683" s="23"/>
      <c r="J683" s="14"/>
      <c r="K683" s="14"/>
      <c r="L683" s="13"/>
    </row>
    <row r="684" spans="1:12" ht="18" customHeight="1">
      <c r="A684" s="23"/>
      <c r="J684" s="14"/>
      <c r="K684" s="14"/>
      <c r="L684" s="13"/>
    </row>
    <row r="685" spans="1:12" ht="18" customHeight="1">
      <c r="A685" s="23"/>
      <c r="J685" s="14"/>
      <c r="K685" s="14"/>
      <c r="L685" s="13"/>
    </row>
    <row r="686" spans="1:12" ht="18" customHeight="1">
      <c r="A686" s="23"/>
      <c r="J686" s="14"/>
      <c r="K686" s="14"/>
      <c r="L686" s="13"/>
    </row>
    <row r="687" spans="1:12" ht="18" customHeight="1">
      <c r="A687" s="23"/>
      <c r="J687" s="14"/>
      <c r="K687" s="14"/>
      <c r="L687" s="13"/>
    </row>
    <row r="688" spans="1:12" ht="18" customHeight="1">
      <c r="A688" s="23"/>
      <c r="J688" s="14"/>
      <c r="K688" s="14"/>
      <c r="L688" s="13"/>
    </row>
    <row r="689" spans="1:12" ht="18" customHeight="1">
      <c r="A689" s="23"/>
      <c r="J689" s="14"/>
      <c r="K689" s="14"/>
      <c r="L689" s="13"/>
    </row>
    <row r="690" spans="1:12" ht="18" customHeight="1">
      <c r="A690" s="23"/>
      <c r="J690" s="14"/>
      <c r="K690" s="14"/>
      <c r="L690" s="13"/>
    </row>
    <row r="691" spans="1:12" ht="18" customHeight="1">
      <c r="A691" s="23"/>
      <c r="J691" s="14"/>
      <c r="K691" s="14"/>
      <c r="L691" s="13"/>
    </row>
    <row r="692" spans="1:12" ht="18" customHeight="1">
      <c r="A692" s="23"/>
      <c r="J692" s="14"/>
      <c r="K692" s="14"/>
      <c r="L692" s="13"/>
    </row>
    <row r="693" spans="1:12" ht="18" customHeight="1">
      <c r="A693" s="23"/>
      <c r="J693" s="14"/>
      <c r="K693" s="14"/>
      <c r="L693" s="13"/>
    </row>
    <row r="694" spans="1:12" ht="18" customHeight="1">
      <c r="A694" s="23"/>
      <c r="J694" s="14"/>
      <c r="K694" s="14"/>
      <c r="L694" s="13"/>
    </row>
    <row r="695" spans="1:12" ht="18" customHeight="1">
      <c r="A695" s="23"/>
      <c r="J695" s="14"/>
      <c r="K695" s="14"/>
      <c r="L695" s="13"/>
    </row>
    <row r="696" spans="1:12" ht="18" customHeight="1">
      <c r="A696" s="23"/>
      <c r="J696" s="14"/>
      <c r="K696" s="14"/>
      <c r="L696" s="13"/>
    </row>
    <row r="697" spans="1:12" ht="18" customHeight="1">
      <c r="A697" s="23"/>
      <c r="J697" s="14"/>
      <c r="K697" s="14"/>
      <c r="L697" s="13"/>
    </row>
    <row r="698" spans="1:12" ht="18" customHeight="1">
      <c r="A698" s="23"/>
      <c r="J698" s="14"/>
      <c r="K698" s="14"/>
      <c r="L698" s="13"/>
    </row>
    <row r="699" spans="1:12" ht="18" customHeight="1">
      <c r="A699" s="23"/>
      <c r="J699" s="14"/>
      <c r="K699" s="14"/>
      <c r="L699" s="13"/>
    </row>
    <row r="700" spans="1:12" ht="18" customHeight="1">
      <c r="A700" s="23"/>
      <c r="J700" s="14"/>
      <c r="K700" s="14"/>
      <c r="L700" s="13"/>
    </row>
    <row r="701" spans="1:12" ht="18" customHeight="1">
      <c r="A701" s="23"/>
      <c r="J701" s="14"/>
      <c r="K701" s="14"/>
      <c r="L701" s="13"/>
    </row>
    <row r="702" spans="1:12" ht="18" customHeight="1">
      <c r="A702" s="23"/>
      <c r="J702" s="14"/>
      <c r="K702" s="14"/>
      <c r="L702" s="13"/>
    </row>
    <row r="703" spans="1:12" ht="18" customHeight="1">
      <c r="A703" s="23"/>
      <c r="J703" s="14"/>
      <c r="K703" s="14"/>
      <c r="L703" s="13"/>
    </row>
    <row r="704" spans="1:12" ht="18" customHeight="1">
      <c r="A704" s="23"/>
      <c r="J704" s="14"/>
      <c r="K704" s="14"/>
      <c r="L704" s="13"/>
    </row>
    <row r="705" spans="1:12" ht="18" customHeight="1">
      <c r="A705" s="23"/>
      <c r="J705" s="14"/>
      <c r="K705" s="14"/>
      <c r="L705" s="13"/>
    </row>
    <row r="706" spans="1:12" ht="18" customHeight="1">
      <c r="A706" s="23"/>
      <c r="J706" s="14"/>
      <c r="K706" s="14"/>
      <c r="L706" s="13"/>
    </row>
    <row r="707" spans="1:12" ht="18" customHeight="1">
      <c r="A707" s="23"/>
      <c r="J707" s="14"/>
      <c r="K707" s="14"/>
      <c r="L707" s="13"/>
    </row>
    <row r="708" spans="1:12" ht="18" customHeight="1">
      <c r="A708" s="23"/>
      <c r="J708" s="14"/>
      <c r="K708" s="14"/>
      <c r="L708" s="13"/>
    </row>
    <row r="709" spans="1:12" ht="18" customHeight="1">
      <c r="A709" s="23"/>
      <c r="J709" s="14"/>
      <c r="K709" s="14"/>
      <c r="L709" s="13"/>
    </row>
    <row r="710" spans="1:12" ht="18" customHeight="1">
      <c r="A710" s="23"/>
      <c r="J710" s="14"/>
      <c r="K710" s="14"/>
      <c r="L710" s="13"/>
    </row>
    <row r="711" spans="1:12" ht="18" customHeight="1">
      <c r="A711" s="23"/>
      <c r="J711" s="14"/>
      <c r="K711" s="14"/>
      <c r="L711" s="13"/>
    </row>
    <row r="712" spans="1:12" ht="18" customHeight="1">
      <c r="A712" s="23"/>
      <c r="J712" s="14"/>
      <c r="K712" s="14"/>
      <c r="L712" s="13"/>
    </row>
    <row r="713" spans="1:12" ht="18" customHeight="1">
      <c r="A713" s="23"/>
      <c r="J713" s="14"/>
      <c r="K713" s="14"/>
      <c r="L713" s="13"/>
    </row>
    <row r="714" spans="1:12" ht="18" customHeight="1">
      <c r="A714" s="23"/>
      <c r="J714" s="14"/>
      <c r="K714" s="14"/>
      <c r="L714" s="13"/>
    </row>
    <row r="715" spans="1:12" ht="18" customHeight="1">
      <c r="A715" s="23"/>
      <c r="J715" s="14"/>
      <c r="K715" s="14"/>
      <c r="L715" s="13"/>
    </row>
    <row r="716" spans="1:12" ht="18" customHeight="1">
      <c r="A716" s="23"/>
      <c r="J716" s="14"/>
      <c r="K716" s="14"/>
      <c r="L716" s="13"/>
    </row>
    <row r="717" spans="1:12" ht="18" customHeight="1">
      <c r="A717" s="23"/>
      <c r="J717" s="14"/>
      <c r="K717" s="14"/>
      <c r="L717" s="13"/>
    </row>
    <row r="718" spans="1:12" ht="18" customHeight="1">
      <c r="A718" s="23"/>
      <c r="J718" s="14"/>
      <c r="K718" s="14"/>
      <c r="L718" s="13"/>
    </row>
    <row r="719" spans="1:12" ht="18" customHeight="1">
      <c r="A719" s="23"/>
      <c r="J719" s="14"/>
      <c r="K719" s="14"/>
      <c r="L719" s="13"/>
    </row>
    <row r="720" spans="1:12" ht="18" customHeight="1">
      <c r="A720" s="23"/>
      <c r="J720" s="14"/>
      <c r="K720" s="14"/>
      <c r="L720" s="13"/>
    </row>
    <row r="721" spans="1:12" ht="18" customHeight="1">
      <c r="A721" s="23"/>
      <c r="J721" s="14"/>
      <c r="K721" s="14"/>
      <c r="L721" s="13"/>
    </row>
    <row r="722" spans="1:12" ht="18" customHeight="1">
      <c r="A722" s="23"/>
      <c r="J722" s="14"/>
      <c r="K722" s="14"/>
      <c r="L722" s="13"/>
    </row>
    <row r="723" spans="1:12" ht="18" customHeight="1">
      <c r="A723" s="23"/>
      <c r="J723" s="14"/>
      <c r="K723" s="14"/>
      <c r="L723" s="13"/>
    </row>
    <row r="724" spans="1:12" ht="18" customHeight="1">
      <c r="A724" s="23"/>
      <c r="J724" s="14"/>
      <c r="K724" s="14"/>
      <c r="L724" s="13"/>
    </row>
    <row r="725" spans="1:12" ht="18" customHeight="1">
      <c r="A725" s="23"/>
      <c r="J725" s="14"/>
      <c r="K725" s="14"/>
      <c r="L725" s="13"/>
    </row>
    <row r="726" spans="1:12" ht="18" customHeight="1">
      <c r="A726" s="23"/>
      <c r="J726" s="14"/>
      <c r="K726" s="14"/>
      <c r="L726" s="13"/>
    </row>
    <row r="727" spans="1:12" ht="18" customHeight="1">
      <c r="A727" s="23"/>
      <c r="J727" s="14"/>
      <c r="K727" s="14"/>
      <c r="L727" s="13"/>
    </row>
    <row r="728" spans="1:12" ht="18" customHeight="1">
      <c r="A728" s="23"/>
      <c r="J728" s="14"/>
      <c r="K728" s="14"/>
      <c r="L728" s="13"/>
    </row>
    <row r="729" spans="1:12" ht="18" customHeight="1">
      <c r="A729" s="23"/>
      <c r="J729" s="14"/>
      <c r="K729" s="14"/>
      <c r="L729" s="13"/>
    </row>
    <row r="730" spans="1:12" ht="18" customHeight="1">
      <c r="A730" s="23"/>
      <c r="J730" s="14"/>
      <c r="K730" s="14"/>
      <c r="L730" s="13"/>
    </row>
    <row r="731" spans="1:12" ht="18" customHeight="1">
      <c r="A731" s="23"/>
      <c r="J731" s="14"/>
      <c r="K731" s="14"/>
      <c r="L731" s="13"/>
    </row>
    <row r="732" spans="1:12" ht="18" customHeight="1">
      <c r="A732" s="23"/>
      <c r="J732" s="14"/>
      <c r="K732" s="14"/>
      <c r="L732" s="13"/>
    </row>
    <row r="733" spans="1:12" ht="18" customHeight="1">
      <c r="A733" s="23"/>
      <c r="J733" s="14"/>
      <c r="K733" s="14"/>
      <c r="L733" s="13"/>
    </row>
    <row r="734" spans="1:12" ht="18" customHeight="1">
      <c r="A734" s="23"/>
      <c r="J734" s="14"/>
      <c r="K734" s="14"/>
      <c r="L734" s="13"/>
    </row>
    <row r="735" spans="1:12" ht="18" customHeight="1">
      <c r="A735" s="23"/>
      <c r="J735" s="14"/>
      <c r="K735" s="14"/>
      <c r="L735" s="13"/>
    </row>
    <row r="736" spans="1:12" ht="18" customHeight="1">
      <c r="A736" s="23"/>
      <c r="J736" s="14"/>
      <c r="K736" s="14"/>
      <c r="L736" s="13"/>
    </row>
    <row r="737" spans="1:12" ht="18" customHeight="1">
      <c r="A737" s="23"/>
      <c r="J737" s="14"/>
      <c r="K737" s="14"/>
      <c r="L737" s="13"/>
    </row>
    <row r="738" spans="1:12" ht="18" customHeight="1">
      <c r="A738" s="23"/>
      <c r="J738" s="14"/>
      <c r="K738" s="14"/>
      <c r="L738" s="13"/>
    </row>
    <row r="739" spans="1:12" ht="18" customHeight="1">
      <c r="A739" s="23"/>
      <c r="J739" s="14"/>
      <c r="K739" s="14"/>
      <c r="L739" s="13"/>
    </row>
    <row r="740" spans="1:12" ht="18" customHeight="1">
      <c r="A740" s="23"/>
      <c r="J740" s="14"/>
      <c r="K740" s="14"/>
      <c r="L740" s="13"/>
    </row>
    <row r="741" spans="1:12" ht="18" customHeight="1">
      <c r="A741" s="23"/>
      <c r="J741" s="14"/>
      <c r="K741" s="14"/>
      <c r="L741" s="13"/>
    </row>
    <row r="742" spans="1:12" ht="18" customHeight="1">
      <c r="A742" s="23"/>
      <c r="J742" s="14"/>
      <c r="K742" s="14"/>
      <c r="L742" s="13"/>
    </row>
    <row r="743" spans="1:12" ht="18" customHeight="1">
      <c r="A743" s="23"/>
      <c r="J743" s="14"/>
      <c r="K743" s="14"/>
      <c r="L743" s="13"/>
    </row>
    <row r="744" spans="1:12" ht="18" customHeight="1">
      <c r="A744" s="23"/>
      <c r="J744" s="14"/>
      <c r="K744" s="14"/>
      <c r="L744" s="13"/>
    </row>
    <row r="745" spans="1:12" ht="18" customHeight="1">
      <c r="A745" s="23"/>
      <c r="J745" s="14"/>
      <c r="K745" s="14"/>
      <c r="L745" s="13"/>
    </row>
    <row r="746" spans="1:12" ht="18" customHeight="1">
      <c r="A746" s="23"/>
      <c r="J746" s="14"/>
      <c r="K746" s="14"/>
      <c r="L746" s="13"/>
    </row>
    <row r="747" spans="1:12" ht="18" customHeight="1">
      <c r="A747" s="23"/>
      <c r="J747" s="14"/>
      <c r="K747" s="14"/>
      <c r="L747" s="13"/>
    </row>
    <row r="748" spans="1:12" ht="18" customHeight="1">
      <c r="A748" s="23"/>
      <c r="J748" s="14"/>
      <c r="K748" s="14"/>
      <c r="L748" s="13"/>
    </row>
    <row r="749" spans="1:12" ht="18" customHeight="1">
      <c r="A749" s="23"/>
      <c r="J749" s="14"/>
      <c r="K749" s="14"/>
      <c r="L749" s="13"/>
    </row>
    <row r="750" spans="1:12" ht="18" customHeight="1">
      <c r="A750" s="23"/>
      <c r="J750" s="14"/>
      <c r="K750" s="14"/>
      <c r="L750" s="13"/>
    </row>
    <row r="751" spans="1:12" ht="18" customHeight="1">
      <c r="A751" s="23"/>
      <c r="J751" s="14"/>
      <c r="K751" s="14"/>
      <c r="L751" s="13"/>
    </row>
    <row r="752" spans="1:12" ht="18" customHeight="1">
      <c r="A752" s="23"/>
      <c r="J752" s="14"/>
      <c r="K752" s="14"/>
      <c r="L752" s="13"/>
    </row>
    <row r="753" spans="1:12" ht="18" customHeight="1">
      <c r="A753" s="23"/>
      <c r="J753" s="14"/>
      <c r="K753" s="14"/>
      <c r="L753" s="13"/>
    </row>
    <row r="754" spans="1:12" ht="18" customHeight="1">
      <c r="A754" s="23"/>
      <c r="J754" s="14"/>
      <c r="K754" s="14"/>
      <c r="L754" s="13"/>
    </row>
    <row r="755" spans="1:12" ht="18" customHeight="1">
      <c r="A755" s="23"/>
      <c r="J755" s="14"/>
      <c r="K755" s="14"/>
      <c r="L755" s="13"/>
    </row>
    <row r="756" spans="1:12" ht="18" customHeight="1">
      <c r="A756" s="23"/>
      <c r="J756" s="14"/>
      <c r="K756" s="14"/>
      <c r="L756" s="13"/>
    </row>
    <row r="757" spans="1:12" ht="18" customHeight="1">
      <c r="A757" s="23"/>
      <c r="J757" s="14"/>
      <c r="K757" s="14"/>
      <c r="L757" s="13"/>
    </row>
    <row r="758" spans="1:12" ht="18" customHeight="1">
      <c r="A758" s="23"/>
      <c r="J758" s="14"/>
      <c r="K758" s="14"/>
      <c r="L758" s="13"/>
    </row>
    <row r="759" spans="1:12" ht="18" customHeight="1">
      <c r="A759" s="23"/>
      <c r="J759" s="14"/>
      <c r="K759" s="14"/>
      <c r="L759" s="13"/>
    </row>
    <row r="760" spans="1:12" ht="18" customHeight="1">
      <c r="A760" s="23"/>
      <c r="J760" s="14"/>
      <c r="K760" s="14"/>
      <c r="L760" s="13"/>
    </row>
    <row r="761" spans="1:12" ht="18" customHeight="1">
      <c r="A761" s="23"/>
      <c r="J761" s="14"/>
      <c r="K761" s="14"/>
      <c r="L761" s="13"/>
    </row>
    <row r="762" spans="1:12" ht="18" customHeight="1">
      <c r="A762" s="23"/>
      <c r="J762" s="14"/>
      <c r="K762" s="14"/>
      <c r="L762" s="13"/>
    </row>
    <row r="763" spans="1:12" ht="18" customHeight="1">
      <c r="A763" s="23"/>
      <c r="J763" s="14"/>
      <c r="K763" s="14"/>
      <c r="L763" s="13"/>
    </row>
    <row r="764" spans="1:12" ht="18" customHeight="1">
      <c r="A764" s="23"/>
      <c r="J764" s="14"/>
      <c r="K764" s="14"/>
      <c r="L764" s="13"/>
    </row>
    <row r="765" spans="1:12" ht="18" customHeight="1">
      <c r="A765" s="23"/>
      <c r="J765" s="14"/>
      <c r="K765" s="14"/>
      <c r="L765" s="13"/>
    </row>
    <row r="766" spans="1:12" ht="18" customHeight="1">
      <c r="A766" s="23"/>
      <c r="J766" s="14"/>
      <c r="K766" s="14"/>
      <c r="L766" s="13"/>
    </row>
    <row r="767" spans="1:12" ht="18" customHeight="1">
      <c r="A767" s="23"/>
      <c r="J767" s="14"/>
      <c r="K767" s="14"/>
      <c r="L767" s="13"/>
    </row>
    <row r="768" spans="1:12" ht="18" customHeight="1">
      <c r="A768" s="23"/>
      <c r="J768" s="14"/>
      <c r="K768" s="14"/>
      <c r="L768" s="13"/>
    </row>
    <row r="769" spans="1:12" ht="18" customHeight="1">
      <c r="A769" s="23"/>
      <c r="J769" s="14"/>
      <c r="K769" s="14"/>
      <c r="L769" s="13"/>
    </row>
    <row r="770" spans="1:12" ht="18" customHeight="1">
      <c r="A770" s="23"/>
      <c r="J770" s="14"/>
      <c r="K770" s="14"/>
      <c r="L770" s="13"/>
    </row>
    <row r="771" spans="1:12" ht="18" customHeight="1">
      <c r="A771" s="23"/>
      <c r="J771" s="14"/>
      <c r="K771" s="14"/>
      <c r="L771" s="13"/>
    </row>
    <row r="772" spans="1:12" ht="18" customHeight="1">
      <c r="A772" s="23"/>
      <c r="J772" s="14"/>
      <c r="K772" s="14"/>
      <c r="L772" s="13"/>
    </row>
    <row r="773" spans="1:12" ht="18" customHeight="1">
      <c r="A773" s="23"/>
      <c r="J773" s="14"/>
      <c r="K773" s="14"/>
      <c r="L773" s="13"/>
    </row>
    <row r="774" spans="1:12" ht="18" customHeight="1">
      <c r="A774" s="23"/>
      <c r="J774" s="14"/>
      <c r="K774" s="14"/>
      <c r="L774" s="13"/>
    </row>
    <row r="775" spans="1:12" ht="18" customHeight="1">
      <c r="A775" s="23"/>
      <c r="J775" s="14"/>
      <c r="K775" s="14"/>
      <c r="L775" s="13"/>
    </row>
    <row r="776" spans="1:12" ht="18" customHeight="1">
      <c r="A776" s="23"/>
      <c r="J776" s="14"/>
      <c r="K776" s="14"/>
      <c r="L776" s="13"/>
    </row>
    <row r="777" spans="1:12" ht="18" customHeight="1">
      <c r="A777" s="23"/>
      <c r="J777" s="14"/>
      <c r="K777" s="14"/>
      <c r="L777" s="13"/>
    </row>
    <row r="778" spans="1:12" ht="18" customHeight="1">
      <c r="A778" s="23"/>
      <c r="J778" s="14"/>
      <c r="K778" s="14"/>
      <c r="L778" s="13"/>
    </row>
    <row r="779" spans="1:12" ht="18" customHeight="1">
      <c r="A779" s="23"/>
      <c r="J779" s="14"/>
      <c r="K779" s="14"/>
      <c r="L779" s="13"/>
    </row>
    <row r="780" spans="1:12" ht="18" customHeight="1">
      <c r="A780" s="23"/>
      <c r="J780" s="14"/>
      <c r="K780" s="14"/>
      <c r="L780" s="13"/>
    </row>
    <row r="781" spans="1:12" ht="18" customHeight="1">
      <c r="A781" s="23"/>
      <c r="J781" s="14"/>
      <c r="K781" s="14"/>
      <c r="L781" s="13"/>
    </row>
    <row r="782" spans="1:12" ht="18" customHeight="1">
      <c r="A782" s="23"/>
      <c r="J782" s="14"/>
      <c r="K782" s="14"/>
      <c r="L782" s="13"/>
    </row>
    <row r="783" spans="1:12" ht="18" customHeight="1">
      <c r="A783" s="23"/>
      <c r="J783" s="14"/>
      <c r="K783" s="14"/>
      <c r="L783" s="13"/>
    </row>
    <row r="784" spans="1:12" ht="18" customHeight="1">
      <c r="A784" s="23"/>
      <c r="J784" s="14"/>
      <c r="K784" s="14"/>
      <c r="L784" s="13"/>
    </row>
    <row r="785" spans="1:12" ht="18" customHeight="1">
      <c r="A785" s="23"/>
      <c r="J785" s="14"/>
      <c r="K785" s="14"/>
      <c r="L785" s="13"/>
    </row>
    <row r="786" spans="1:12" ht="18" customHeight="1">
      <c r="A786" s="23"/>
      <c r="J786" s="14"/>
      <c r="K786" s="14"/>
      <c r="L786" s="13"/>
    </row>
    <row r="787" spans="1:12" ht="18" customHeight="1">
      <c r="A787" s="23"/>
      <c r="J787" s="14"/>
      <c r="K787" s="14"/>
      <c r="L787" s="13"/>
    </row>
    <row r="788" spans="1:12" ht="18" customHeight="1">
      <c r="A788" s="23"/>
      <c r="J788" s="14"/>
      <c r="K788" s="14"/>
      <c r="L788" s="13"/>
    </row>
    <row r="789" spans="1:12" ht="18" customHeight="1">
      <c r="A789" s="23"/>
      <c r="J789" s="14"/>
      <c r="K789" s="14"/>
      <c r="L789" s="13"/>
    </row>
    <row r="790" spans="1:12" ht="18" customHeight="1">
      <c r="A790" s="23"/>
      <c r="J790" s="14"/>
      <c r="K790" s="14"/>
      <c r="L790" s="13"/>
    </row>
    <row r="791" spans="1:12" ht="18" customHeight="1">
      <c r="A791" s="23"/>
      <c r="J791" s="14"/>
      <c r="K791" s="14"/>
      <c r="L791" s="13"/>
    </row>
    <row r="792" spans="1:12" ht="18" customHeight="1">
      <c r="A792" s="23"/>
      <c r="J792" s="14"/>
      <c r="K792" s="14"/>
      <c r="L792" s="13"/>
    </row>
    <row r="793" spans="1:12" ht="18" customHeight="1">
      <c r="A793" s="23"/>
      <c r="J793" s="14"/>
      <c r="K793" s="14"/>
      <c r="L793" s="13"/>
    </row>
    <row r="794" spans="1:12" ht="18" customHeight="1">
      <c r="A794" s="23"/>
      <c r="J794" s="14"/>
      <c r="K794" s="14"/>
      <c r="L794" s="13"/>
    </row>
    <row r="795" spans="1:12" ht="18" customHeight="1">
      <c r="A795" s="23"/>
      <c r="J795" s="14"/>
      <c r="K795" s="14"/>
      <c r="L795" s="13"/>
    </row>
    <row r="796" spans="1:12" ht="18" customHeight="1">
      <c r="A796" s="23"/>
      <c r="J796" s="14"/>
      <c r="K796" s="14"/>
      <c r="L796" s="13"/>
    </row>
    <row r="797" spans="1:12" ht="18" customHeight="1">
      <c r="A797" s="23"/>
      <c r="J797" s="14"/>
      <c r="K797" s="14"/>
      <c r="L797" s="13"/>
    </row>
    <row r="798" spans="1:12" ht="18" customHeight="1">
      <c r="A798" s="23"/>
      <c r="J798" s="14"/>
      <c r="K798" s="14"/>
      <c r="L798" s="13"/>
    </row>
    <row r="799" spans="1:12" ht="18" customHeight="1">
      <c r="A799" s="23"/>
      <c r="J799" s="14"/>
      <c r="K799" s="14"/>
      <c r="L799" s="13"/>
    </row>
    <row r="800" spans="1:12" ht="18" customHeight="1">
      <c r="A800" s="23"/>
      <c r="J800" s="14"/>
      <c r="K800" s="14"/>
      <c r="L800" s="13"/>
    </row>
    <row r="801" spans="1:12" ht="18" customHeight="1">
      <c r="A801" s="23"/>
      <c r="J801" s="14"/>
      <c r="K801" s="14"/>
      <c r="L801" s="13"/>
    </row>
    <row r="802" spans="1:12" ht="18" customHeight="1">
      <c r="A802" s="23"/>
      <c r="J802" s="14"/>
      <c r="K802" s="14"/>
      <c r="L802" s="13"/>
    </row>
    <row r="803" spans="1:12" ht="18" customHeight="1">
      <c r="A803" s="23"/>
      <c r="J803" s="14"/>
      <c r="K803" s="14"/>
      <c r="L803" s="13"/>
    </row>
    <row r="804" spans="1:12" ht="18" customHeight="1">
      <c r="A804" s="23"/>
      <c r="J804" s="14"/>
      <c r="K804" s="14"/>
      <c r="L804" s="13"/>
    </row>
    <row r="805" spans="1:12" ht="18" customHeight="1">
      <c r="A805" s="23"/>
      <c r="J805" s="14"/>
      <c r="K805" s="14"/>
      <c r="L805" s="13"/>
    </row>
    <row r="806" spans="1:12" ht="18" customHeight="1">
      <c r="A806" s="23"/>
      <c r="J806" s="14"/>
      <c r="K806" s="14"/>
      <c r="L806" s="13"/>
    </row>
    <row r="807" spans="1:12" ht="18" customHeight="1">
      <c r="A807" s="23"/>
      <c r="J807" s="14"/>
      <c r="K807" s="14"/>
      <c r="L807" s="13"/>
    </row>
    <row r="808" spans="1:12" ht="18" customHeight="1">
      <c r="A808" s="23"/>
      <c r="J808" s="14"/>
      <c r="K808" s="14"/>
      <c r="L808" s="13"/>
    </row>
    <row r="809" spans="1:12" ht="18" customHeight="1">
      <c r="A809" s="23"/>
      <c r="J809" s="14"/>
      <c r="K809" s="14"/>
      <c r="L809" s="13"/>
    </row>
    <row r="810" spans="1:12" ht="18" customHeight="1">
      <c r="A810" s="23"/>
      <c r="J810" s="14"/>
      <c r="K810" s="14"/>
      <c r="L810" s="13"/>
    </row>
    <row r="811" spans="1:12" ht="18" customHeight="1">
      <c r="A811" s="23"/>
      <c r="J811" s="14"/>
      <c r="K811" s="14"/>
      <c r="L811" s="13"/>
    </row>
    <row r="812" spans="1:12" ht="18" customHeight="1">
      <c r="A812" s="23"/>
      <c r="J812" s="14"/>
      <c r="K812" s="14"/>
      <c r="L812" s="13"/>
    </row>
    <row r="813" spans="1:12" ht="18" customHeight="1">
      <c r="A813" s="23"/>
      <c r="J813" s="14"/>
      <c r="K813" s="14"/>
      <c r="L813" s="13"/>
    </row>
    <row r="814" spans="1:12" ht="18" customHeight="1">
      <c r="A814" s="23"/>
      <c r="J814" s="14"/>
      <c r="K814" s="14"/>
      <c r="L814" s="13"/>
    </row>
    <row r="815" spans="1:12" ht="18" customHeight="1">
      <c r="A815" s="23"/>
      <c r="J815" s="14"/>
      <c r="K815" s="14"/>
      <c r="L815" s="13"/>
    </row>
    <row r="816" spans="1:12" ht="18" customHeight="1">
      <c r="A816" s="23"/>
      <c r="J816" s="14"/>
      <c r="K816" s="14"/>
      <c r="L816" s="13"/>
    </row>
    <row r="817" spans="1:12" ht="18" customHeight="1">
      <c r="A817" s="23"/>
      <c r="J817" s="14"/>
      <c r="K817" s="14"/>
      <c r="L817" s="13"/>
    </row>
    <row r="818" spans="1:12" ht="18" customHeight="1">
      <c r="A818" s="23"/>
      <c r="J818" s="14"/>
      <c r="K818" s="14"/>
      <c r="L818" s="13"/>
    </row>
    <row r="819" spans="1:12" ht="18" customHeight="1">
      <c r="A819" s="23"/>
      <c r="J819" s="14"/>
      <c r="K819" s="14"/>
      <c r="L819" s="13"/>
    </row>
    <row r="820" spans="1:12" ht="18" customHeight="1">
      <c r="A820" s="23"/>
      <c r="J820" s="14"/>
      <c r="K820" s="14"/>
      <c r="L820" s="13"/>
    </row>
    <row r="821" spans="1:12" ht="18" customHeight="1">
      <c r="A821" s="23"/>
      <c r="J821" s="14"/>
      <c r="K821" s="14"/>
      <c r="L821" s="13"/>
    </row>
    <row r="822" spans="1:12" ht="18" customHeight="1">
      <c r="A822" s="23"/>
      <c r="J822" s="14"/>
      <c r="K822" s="14"/>
      <c r="L822" s="13"/>
    </row>
    <row r="823" spans="1:12" ht="18" customHeight="1">
      <c r="A823" s="23"/>
      <c r="J823" s="14"/>
      <c r="K823" s="14"/>
      <c r="L823" s="13"/>
    </row>
    <row r="824" spans="1:12" ht="18" customHeight="1">
      <c r="A824" s="23"/>
      <c r="J824" s="14"/>
      <c r="K824" s="14"/>
      <c r="L824" s="13"/>
    </row>
    <row r="825" spans="1:12" ht="18" customHeight="1">
      <c r="A825" s="23"/>
      <c r="J825" s="14"/>
      <c r="K825" s="14"/>
      <c r="L825" s="13"/>
    </row>
    <row r="826" spans="1:12" ht="18" customHeight="1">
      <c r="A826" s="23"/>
      <c r="J826" s="14"/>
      <c r="K826" s="14"/>
      <c r="L826" s="13"/>
    </row>
    <row r="827" spans="1:12" ht="18" customHeight="1">
      <c r="A827" s="23"/>
      <c r="J827" s="14"/>
      <c r="K827" s="14"/>
      <c r="L827" s="13"/>
    </row>
    <row r="828" spans="1:12" ht="18" customHeight="1">
      <c r="A828" s="23"/>
      <c r="J828" s="14"/>
      <c r="K828" s="14"/>
      <c r="L828" s="13"/>
    </row>
    <row r="829" spans="1:12" ht="18" customHeight="1">
      <c r="A829" s="23"/>
      <c r="J829" s="14"/>
      <c r="K829" s="14"/>
      <c r="L829" s="13"/>
    </row>
    <row r="830" spans="1:12" ht="18" customHeight="1">
      <c r="A830" s="23"/>
      <c r="J830" s="14"/>
      <c r="K830" s="14"/>
      <c r="L830" s="13"/>
    </row>
    <row r="831" spans="1:12" ht="18" customHeight="1">
      <c r="A831" s="23"/>
      <c r="J831" s="14"/>
      <c r="K831" s="14"/>
      <c r="L831" s="13"/>
    </row>
    <row r="832" spans="1:12" ht="18" customHeight="1">
      <c r="A832" s="23"/>
      <c r="J832" s="14"/>
      <c r="K832" s="14"/>
      <c r="L832" s="13"/>
    </row>
    <row r="833" spans="1:12" ht="18" customHeight="1">
      <c r="A833" s="23"/>
      <c r="J833" s="14"/>
      <c r="K833" s="14"/>
      <c r="L833" s="13"/>
    </row>
    <row r="834" spans="1:12" ht="18" customHeight="1">
      <c r="A834" s="23"/>
      <c r="J834" s="14"/>
      <c r="K834" s="14"/>
      <c r="L834" s="13"/>
    </row>
    <row r="835" spans="1:12" ht="18" customHeight="1">
      <c r="A835" s="23"/>
      <c r="J835" s="14"/>
      <c r="K835" s="14"/>
      <c r="L835" s="13"/>
    </row>
    <row r="836" spans="1:12" ht="18" customHeight="1">
      <c r="A836" s="23"/>
      <c r="J836" s="14"/>
      <c r="K836" s="14"/>
      <c r="L836" s="13"/>
    </row>
    <row r="837" spans="1:12" ht="18" customHeight="1">
      <c r="A837" s="23"/>
      <c r="J837" s="14"/>
      <c r="K837" s="14"/>
      <c r="L837" s="13"/>
    </row>
    <row r="838" spans="1:12" ht="18" customHeight="1">
      <c r="A838" s="23"/>
      <c r="J838" s="14"/>
      <c r="K838" s="14"/>
      <c r="L838" s="13"/>
    </row>
    <row r="839" spans="1:12" ht="18" customHeight="1">
      <c r="A839" s="23"/>
      <c r="J839" s="14"/>
      <c r="K839" s="14"/>
      <c r="L839" s="13"/>
    </row>
    <row r="840" spans="1:12" ht="18" customHeight="1">
      <c r="A840" s="23"/>
      <c r="J840" s="14"/>
      <c r="K840" s="14"/>
      <c r="L840" s="13"/>
    </row>
    <row r="841" spans="1:12" ht="18" customHeight="1">
      <c r="A841" s="23"/>
      <c r="J841" s="14"/>
      <c r="K841" s="14"/>
      <c r="L841" s="13"/>
    </row>
    <row r="842" spans="1:12" ht="18" customHeight="1">
      <c r="A842" s="23"/>
      <c r="J842" s="14"/>
      <c r="K842" s="14"/>
      <c r="L842" s="13"/>
    </row>
    <row r="843" spans="1:12" ht="18" customHeight="1">
      <c r="A843" s="23"/>
      <c r="J843" s="14"/>
      <c r="K843" s="14"/>
      <c r="L843" s="13"/>
    </row>
    <row r="844" spans="1:12" ht="18" customHeight="1">
      <c r="A844" s="23"/>
      <c r="J844" s="14"/>
      <c r="K844" s="14"/>
      <c r="L844" s="13"/>
    </row>
    <row r="845" spans="1:12" ht="18" customHeight="1">
      <c r="A845" s="23"/>
      <c r="J845" s="14"/>
      <c r="K845" s="14"/>
      <c r="L845" s="13"/>
    </row>
    <row r="846" spans="1:12" ht="18" customHeight="1">
      <c r="A846" s="23"/>
      <c r="J846" s="14"/>
      <c r="K846" s="14"/>
      <c r="L846" s="13"/>
    </row>
    <row r="847" spans="1:12" ht="18" customHeight="1">
      <c r="A847" s="23"/>
      <c r="J847" s="14"/>
      <c r="K847" s="14"/>
      <c r="L847" s="13"/>
    </row>
    <row r="848" spans="1:12" ht="18" customHeight="1">
      <c r="A848" s="23"/>
      <c r="J848" s="14"/>
      <c r="K848" s="14"/>
      <c r="L848" s="13"/>
    </row>
    <row r="849" spans="1:12" ht="18" customHeight="1">
      <c r="A849" s="23"/>
      <c r="J849" s="14"/>
      <c r="K849" s="14"/>
      <c r="L849" s="13"/>
    </row>
    <row r="850" spans="1:12" ht="18" customHeight="1">
      <c r="A850" s="23"/>
      <c r="J850" s="14"/>
      <c r="K850" s="14"/>
      <c r="L850" s="13"/>
    </row>
    <row r="851" spans="1:12" ht="18" customHeight="1">
      <c r="A851" s="23"/>
      <c r="J851" s="14"/>
      <c r="K851" s="14"/>
      <c r="L851" s="13"/>
    </row>
    <row r="852" spans="1:12" ht="18" customHeight="1">
      <c r="A852" s="23"/>
      <c r="J852" s="14"/>
      <c r="K852" s="14"/>
      <c r="L852" s="13"/>
    </row>
    <row r="853" spans="1:12" ht="18" customHeight="1">
      <c r="A853" s="23"/>
      <c r="J853" s="14"/>
      <c r="K853" s="14"/>
      <c r="L853" s="13"/>
    </row>
    <row r="854" spans="1:12" ht="18" customHeight="1">
      <c r="A854" s="23"/>
      <c r="J854" s="14"/>
      <c r="K854" s="14"/>
      <c r="L854" s="13"/>
    </row>
    <row r="855" spans="1:12" ht="18" customHeight="1">
      <c r="A855" s="23"/>
      <c r="J855" s="14"/>
      <c r="K855" s="14"/>
      <c r="L855" s="13"/>
    </row>
    <row r="856" spans="1:12" ht="18" customHeight="1">
      <c r="A856" s="23"/>
      <c r="J856" s="14"/>
      <c r="K856" s="14"/>
      <c r="L856" s="13"/>
    </row>
    <row r="857" spans="1:12" ht="18" customHeight="1">
      <c r="A857" s="23"/>
      <c r="J857" s="14"/>
      <c r="K857" s="14"/>
      <c r="L857" s="13"/>
    </row>
    <row r="858" spans="1:12" ht="18" customHeight="1">
      <c r="A858" s="23"/>
      <c r="J858" s="14"/>
      <c r="K858" s="14"/>
      <c r="L858" s="13"/>
    </row>
    <row r="859" spans="1:12" ht="18" customHeight="1">
      <c r="A859" s="23"/>
      <c r="J859" s="14"/>
      <c r="K859" s="14"/>
      <c r="L859" s="13"/>
    </row>
    <row r="860" spans="1:12" ht="18" customHeight="1">
      <c r="A860" s="23"/>
      <c r="J860" s="14"/>
      <c r="K860" s="14"/>
      <c r="L860" s="13"/>
    </row>
    <row r="861" spans="1:12" ht="18" customHeight="1">
      <c r="A861" s="23"/>
      <c r="J861" s="14"/>
      <c r="K861" s="14"/>
      <c r="L861" s="13"/>
    </row>
    <row r="862" spans="1:12" ht="18" customHeight="1">
      <c r="A862" s="23"/>
      <c r="J862" s="14"/>
      <c r="K862" s="14"/>
      <c r="L862" s="13"/>
    </row>
    <row r="863" spans="1:12" ht="18" customHeight="1">
      <c r="A863" s="23"/>
      <c r="J863" s="14"/>
      <c r="K863" s="14"/>
      <c r="L863" s="13"/>
    </row>
    <row r="864" spans="1:12" ht="18" customHeight="1">
      <c r="A864" s="23"/>
      <c r="J864" s="14"/>
      <c r="K864" s="14"/>
      <c r="L864" s="13"/>
    </row>
    <row r="865" spans="1:12" ht="18" customHeight="1">
      <c r="A865" s="23"/>
      <c r="J865" s="14"/>
      <c r="K865" s="14"/>
      <c r="L865" s="13"/>
    </row>
    <row r="866" spans="1:12" ht="18" customHeight="1">
      <c r="A866" s="23"/>
      <c r="J866" s="14"/>
      <c r="K866" s="14"/>
      <c r="L866" s="13"/>
    </row>
    <row r="867" spans="1:12" ht="18" customHeight="1">
      <c r="A867" s="23"/>
      <c r="J867" s="14"/>
      <c r="K867" s="14"/>
      <c r="L867" s="13"/>
    </row>
    <row r="868" spans="1:12" ht="18" customHeight="1">
      <c r="A868" s="23"/>
      <c r="J868" s="14"/>
      <c r="K868" s="14"/>
      <c r="L868" s="13"/>
    </row>
    <row r="869" spans="1:12" ht="18" customHeight="1">
      <c r="A869" s="23"/>
      <c r="J869" s="14"/>
      <c r="K869" s="14"/>
      <c r="L869" s="13"/>
    </row>
    <row r="870" spans="1:12" ht="18" customHeight="1">
      <c r="A870" s="23"/>
      <c r="J870" s="14"/>
      <c r="K870" s="14"/>
      <c r="L870" s="13"/>
    </row>
    <row r="871" spans="1:12" ht="18" customHeight="1">
      <c r="A871" s="23"/>
      <c r="J871" s="14"/>
      <c r="K871" s="14"/>
      <c r="L871" s="13"/>
    </row>
    <row r="872" spans="1:12" ht="18" customHeight="1">
      <c r="A872" s="23"/>
      <c r="J872" s="14"/>
      <c r="K872" s="14"/>
      <c r="L872" s="13"/>
    </row>
    <row r="873" spans="1:12" ht="18" customHeight="1">
      <c r="A873" s="23"/>
      <c r="J873" s="14"/>
      <c r="K873" s="14"/>
      <c r="L873" s="13"/>
    </row>
    <row r="874" spans="1:12" ht="18" customHeight="1">
      <c r="A874" s="23"/>
      <c r="J874" s="14"/>
      <c r="K874" s="14"/>
      <c r="L874" s="13"/>
    </row>
    <row r="875" spans="1:12" ht="18" customHeight="1">
      <c r="A875" s="23"/>
      <c r="J875" s="14"/>
      <c r="K875" s="14"/>
      <c r="L875" s="13"/>
    </row>
    <row r="876" spans="1:12" ht="18" customHeight="1">
      <c r="A876" s="23"/>
      <c r="J876" s="14"/>
      <c r="K876" s="14"/>
      <c r="L876" s="13"/>
    </row>
    <row r="877" spans="1:12" ht="18" customHeight="1">
      <c r="A877" s="23"/>
      <c r="J877" s="14"/>
      <c r="K877" s="14"/>
      <c r="L877" s="13"/>
    </row>
    <row r="878" spans="1:12" ht="18" customHeight="1">
      <c r="A878" s="23"/>
      <c r="J878" s="14"/>
      <c r="K878" s="14"/>
      <c r="L878" s="13"/>
    </row>
    <row r="879" spans="1:12" ht="18" customHeight="1">
      <c r="A879" s="23"/>
      <c r="J879" s="14"/>
      <c r="K879" s="14"/>
      <c r="L879" s="13"/>
    </row>
    <row r="880" spans="1:12" ht="18" customHeight="1">
      <c r="A880" s="23"/>
      <c r="J880" s="14"/>
      <c r="K880" s="14"/>
      <c r="L880" s="13"/>
    </row>
    <row r="881" spans="1:12" ht="18" customHeight="1">
      <c r="A881" s="23"/>
      <c r="J881" s="14"/>
      <c r="K881" s="14"/>
      <c r="L881" s="13"/>
    </row>
    <row r="882" spans="1:12" ht="18" customHeight="1">
      <c r="A882" s="23"/>
      <c r="J882" s="14"/>
      <c r="K882" s="14"/>
      <c r="L882" s="13"/>
    </row>
    <row r="883" spans="1:12" ht="18" customHeight="1">
      <c r="A883" s="23"/>
      <c r="J883" s="14"/>
      <c r="K883" s="14"/>
      <c r="L883" s="13"/>
    </row>
    <row r="884" spans="1:12" ht="18" customHeight="1">
      <c r="A884" s="23"/>
      <c r="J884" s="14"/>
      <c r="K884" s="14"/>
      <c r="L884" s="13"/>
    </row>
    <row r="885" spans="1:12" ht="18" customHeight="1">
      <c r="A885" s="23"/>
      <c r="J885" s="14"/>
      <c r="K885" s="14"/>
      <c r="L885" s="13"/>
    </row>
    <row r="886" spans="1:12" ht="18" customHeight="1">
      <c r="A886" s="23"/>
      <c r="J886" s="14"/>
      <c r="K886" s="14"/>
      <c r="L886" s="13"/>
    </row>
    <row r="887" spans="1:12" ht="18" customHeight="1">
      <c r="A887" s="23"/>
      <c r="J887" s="14"/>
      <c r="K887" s="14"/>
      <c r="L887" s="13"/>
    </row>
    <row r="888" spans="1:12" ht="18" customHeight="1">
      <c r="A888" s="23"/>
      <c r="J888" s="14"/>
      <c r="K888" s="14"/>
      <c r="L888" s="13"/>
    </row>
    <row r="889" spans="1:12" ht="18" customHeight="1">
      <c r="A889" s="23"/>
      <c r="J889" s="14"/>
      <c r="K889" s="14"/>
      <c r="L889" s="13"/>
    </row>
    <row r="890" spans="1:12" ht="18" customHeight="1">
      <c r="A890" s="23"/>
      <c r="J890" s="14"/>
      <c r="K890" s="14"/>
      <c r="L890" s="13"/>
    </row>
    <row r="891" spans="1:12" ht="18" customHeight="1">
      <c r="A891" s="23"/>
      <c r="J891" s="14"/>
      <c r="K891" s="14"/>
      <c r="L891" s="13"/>
    </row>
    <row r="892" spans="1:12" ht="18" customHeight="1">
      <c r="A892" s="23"/>
      <c r="J892" s="14"/>
      <c r="K892" s="14"/>
      <c r="L892" s="13"/>
    </row>
    <row r="893" spans="1:12" ht="18" customHeight="1">
      <c r="A893" s="23"/>
      <c r="J893" s="14"/>
      <c r="K893" s="14"/>
      <c r="L893" s="13"/>
    </row>
    <row r="894" spans="1:12" ht="18" customHeight="1">
      <c r="A894" s="23"/>
      <c r="J894" s="14"/>
      <c r="K894" s="14"/>
      <c r="L894" s="13"/>
    </row>
    <row r="895" spans="1:12" ht="18" customHeight="1">
      <c r="A895" s="23"/>
      <c r="J895" s="14"/>
      <c r="K895" s="14"/>
      <c r="L895" s="13"/>
    </row>
    <row r="896" spans="1:12" ht="18" customHeight="1">
      <c r="A896" s="23"/>
      <c r="J896" s="14"/>
      <c r="K896" s="14"/>
      <c r="L896" s="13"/>
    </row>
    <row r="897" spans="1:12" ht="18" customHeight="1">
      <c r="A897" s="23"/>
      <c r="J897" s="14"/>
      <c r="K897" s="14"/>
      <c r="L897" s="13"/>
    </row>
    <row r="898" spans="1:12" ht="18" customHeight="1">
      <c r="A898" s="23"/>
      <c r="J898" s="14"/>
      <c r="K898" s="14"/>
      <c r="L898" s="13"/>
    </row>
    <row r="899" spans="1:12" ht="18" customHeight="1">
      <c r="A899" s="23"/>
      <c r="J899" s="14"/>
      <c r="K899" s="14"/>
      <c r="L899" s="13"/>
    </row>
    <row r="900" spans="1:12" ht="18" customHeight="1">
      <c r="A900" s="23"/>
      <c r="J900" s="14"/>
      <c r="K900" s="14"/>
      <c r="L900" s="13"/>
    </row>
    <row r="901" spans="1:12" ht="18" customHeight="1">
      <c r="A901" s="23"/>
      <c r="J901" s="14"/>
      <c r="K901" s="14"/>
      <c r="L901" s="13"/>
    </row>
    <row r="902" spans="1:12" ht="18" customHeight="1">
      <c r="A902" s="23"/>
      <c r="J902" s="14"/>
      <c r="K902" s="14"/>
      <c r="L902" s="13"/>
    </row>
    <row r="903" spans="1:12" ht="18" customHeight="1">
      <c r="A903" s="23"/>
      <c r="J903" s="14"/>
      <c r="K903" s="14"/>
      <c r="L903" s="13"/>
    </row>
    <row r="904" spans="1:12" ht="18" customHeight="1">
      <c r="A904" s="23"/>
      <c r="J904" s="14"/>
      <c r="K904" s="14"/>
      <c r="L904" s="13"/>
    </row>
    <row r="905" spans="1:12" ht="18" customHeight="1">
      <c r="A905" s="23"/>
      <c r="J905" s="14"/>
      <c r="K905" s="14"/>
      <c r="L905" s="13"/>
    </row>
    <row r="906" spans="1:12" ht="18" customHeight="1">
      <c r="A906" s="23"/>
      <c r="J906" s="14"/>
      <c r="K906" s="14"/>
      <c r="L906" s="13"/>
    </row>
    <row r="907" spans="1:12" ht="18" customHeight="1">
      <c r="A907" s="23"/>
      <c r="J907" s="14"/>
      <c r="K907" s="14"/>
      <c r="L907" s="13"/>
    </row>
    <row r="908" spans="1:12" ht="18" customHeight="1">
      <c r="A908" s="23"/>
      <c r="J908" s="14"/>
      <c r="K908" s="14"/>
      <c r="L908" s="13"/>
    </row>
    <row r="909" spans="1:12" ht="18" customHeight="1">
      <c r="A909" s="23"/>
      <c r="J909" s="14"/>
      <c r="K909" s="14"/>
      <c r="L909" s="13"/>
    </row>
    <row r="910" spans="1:12" ht="18" customHeight="1">
      <c r="A910" s="23"/>
      <c r="J910" s="14"/>
      <c r="K910" s="14"/>
      <c r="L910" s="13"/>
    </row>
    <row r="911" spans="1:12" ht="18" customHeight="1">
      <c r="A911" s="23"/>
      <c r="J911" s="14"/>
      <c r="K911" s="14"/>
      <c r="L911" s="13"/>
    </row>
    <row r="912" spans="1:12" ht="18" customHeight="1">
      <c r="A912" s="23"/>
      <c r="J912" s="14"/>
      <c r="K912" s="14"/>
      <c r="L912" s="13"/>
    </row>
    <row r="913" spans="1:12" ht="18" customHeight="1">
      <c r="A913" s="23"/>
      <c r="J913" s="14"/>
      <c r="K913" s="14"/>
      <c r="L913" s="13"/>
    </row>
    <row r="914" spans="1:12" ht="18" customHeight="1">
      <c r="A914" s="23"/>
      <c r="J914" s="14"/>
      <c r="K914" s="14"/>
      <c r="L914" s="13"/>
    </row>
    <row r="915" spans="1:12" ht="18" customHeight="1">
      <c r="A915" s="23"/>
      <c r="J915" s="14"/>
      <c r="K915" s="14"/>
      <c r="L915" s="13"/>
    </row>
    <row r="916" spans="1:12" ht="18" customHeight="1">
      <c r="A916" s="23"/>
      <c r="J916" s="14"/>
      <c r="K916" s="14"/>
      <c r="L916" s="13"/>
    </row>
    <row r="917" spans="1:12" ht="18" customHeight="1">
      <c r="A917" s="23"/>
      <c r="J917" s="14"/>
      <c r="K917" s="14"/>
      <c r="L917" s="13"/>
    </row>
    <row r="918" spans="1:12" ht="18" customHeight="1">
      <c r="A918" s="23"/>
      <c r="J918" s="14"/>
      <c r="K918" s="14"/>
      <c r="L918" s="13"/>
    </row>
    <row r="919" spans="1:12" ht="18" customHeight="1">
      <c r="A919" s="23"/>
      <c r="J919" s="14"/>
      <c r="K919" s="14"/>
      <c r="L919" s="13"/>
    </row>
    <row r="920" spans="1:12" ht="18" customHeight="1">
      <c r="A920" s="23"/>
      <c r="J920" s="14"/>
      <c r="K920" s="14"/>
      <c r="L920" s="13"/>
    </row>
    <row r="921" spans="1:12" ht="18" customHeight="1">
      <c r="A921" s="23"/>
      <c r="J921" s="14"/>
      <c r="K921" s="14"/>
      <c r="L921" s="13"/>
    </row>
    <row r="922" spans="1:12" ht="18" customHeight="1">
      <c r="A922" s="23"/>
      <c r="J922" s="14"/>
      <c r="K922" s="14"/>
      <c r="L922" s="13"/>
    </row>
    <row r="923" spans="1:12" ht="18" customHeight="1">
      <c r="A923" s="23"/>
      <c r="J923" s="14"/>
      <c r="K923" s="14"/>
      <c r="L923" s="13"/>
    </row>
    <row r="924" spans="1:12" ht="18" customHeight="1">
      <c r="A924" s="23"/>
      <c r="J924" s="14"/>
      <c r="K924" s="14"/>
      <c r="L924" s="13"/>
    </row>
    <row r="925" spans="1:12" ht="18" customHeight="1">
      <c r="A925" s="23"/>
      <c r="J925" s="14"/>
      <c r="K925" s="14"/>
      <c r="L925" s="13"/>
    </row>
    <row r="926" spans="1:12" ht="18" customHeight="1">
      <c r="A926" s="23"/>
      <c r="J926" s="14"/>
      <c r="K926" s="14"/>
      <c r="L926" s="13"/>
    </row>
    <row r="927" spans="1:12" ht="18" customHeight="1">
      <c r="A927" s="23"/>
      <c r="J927" s="14"/>
      <c r="K927" s="14"/>
      <c r="L927" s="13"/>
    </row>
    <row r="928" spans="1:12" ht="18" customHeight="1">
      <c r="A928" s="23"/>
      <c r="J928" s="14"/>
      <c r="K928" s="14"/>
      <c r="L928" s="13"/>
    </row>
    <row r="929" spans="1:12" ht="18" customHeight="1">
      <c r="A929" s="23"/>
      <c r="J929" s="14"/>
      <c r="K929" s="14"/>
      <c r="L929" s="13"/>
    </row>
    <row r="930" spans="1:12" ht="18" customHeight="1">
      <c r="A930" s="23"/>
      <c r="J930" s="14"/>
      <c r="K930" s="14"/>
      <c r="L930" s="13"/>
    </row>
    <row r="931" spans="1:12" ht="18" customHeight="1">
      <c r="A931" s="23"/>
      <c r="J931" s="14"/>
      <c r="K931" s="14"/>
      <c r="L931" s="13"/>
    </row>
    <row r="932" spans="1:12" ht="18" customHeight="1">
      <c r="A932" s="23"/>
      <c r="J932" s="14"/>
      <c r="K932" s="14"/>
      <c r="L932" s="13"/>
    </row>
    <row r="933" spans="1:12" ht="18" customHeight="1">
      <c r="A933" s="23"/>
      <c r="J933" s="14"/>
      <c r="K933" s="14"/>
      <c r="L933" s="13"/>
    </row>
    <row r="934" spans="1:12" ht="18" customHeight="1">
      <c r="A934" s="23"/>
      <c r="J934" s="14"/>
      <c r="K934" s="14"/>
      <c r="L934" s="13"/>
    </row>
    <row r="935" spans="1:12" ht="18" customHeight="1">
      <c r="A935" s="23"/>
      <c r="J935" s="14"/>
      <c r="K935" s="14"/>
      <c r="L935" s="13"/>
    </row>
    <row r="936" spans="1:12" ht="18" customHeight="1">
      <c r="A936" s="23"/>
      <c r="J936" s="14"/>
      <c r="K936" s="14"/>
      <c r="L936" s="13"/>
    </row>
    <row r="937" spans="1:12" ht="18" customHeight="1">
      <c r="A937" s="23"/>
      <c r="J937" s="14"/>
      <c r="K937" s="14"/>
      <c r="L937" s="13"/>
    </row>
    <row r="938" spans="1:12" ht="18" customHeight="1">
      <c r="A938" s="23"/>
      <c r="J938" s="14"/>
      <c r="K938" s="14"/>
      <c r="L938" s="13"/>
    </row>
    <row r="939" spans="1:12" ht="18" customHeight="1">
      <c r="A939" s="23"/>
      <c r="J939" s="14"/>
      <c r="K939" s="14"/>
      <c r="L939" s="13"/>
    </row>
    <row r="940" spans="1:12" ht="18" customHeight="1">
      <c r="A940" s="23"/>
      <c r="J940" s="14"/>
      <c r="K940" s="14"/>
      <c r="L940" s="13"/>
    </row>
    <row r="941" spans="1:12" ht="18" customHeight="1">
      <c r="A941" s="23"/>
      <c r="J941" s="14"/>
      <c r="K941" s="14"/>
      <c r="L941" s="13"/>
    </row>
    <row r="942" spans="1:12" ht="18" customHeight="1">
      <c r="A942" s="23"/>
      <c r="J942" s="14"/>
      <c r="K942" s="14"/>
      <c r="L942" s="13"/>
    </row>
    <row r="943" spans="1:12" ht="18" customHeight="1">
      <c r="A943" s="23"/>
      <c r="J943" s="14"/>
      <c r="K943" s="14"/>
      <c r="L943" s="13"/>
    </row>
    <row r="944" spans="1:12" ht="18" customHeight="1">
      <c r="A944" s="23"/>
      <c r="J944" s="14"/>
      <c r="K944" s="14"/>
      <c r="L944" s="13"/>
    </row>
    <row r="945" spans="1:12" ht="18" customHeight="1">
      <c r="A945" s="23"/>
      <c r="J945" s="14"/>
      <c r="K945" s="14"/>
      <c r="L945" s="13"/>
    </row>
    <row r="946" spans="1:12" ht="18" customHeight="1">
      <c r="A946" s="23"/>
      <c r="J946" s="14"/>
      <c r="K946" s="14"/>
      <c r="L946" s="13"/>
    </row>
    <row r="947" spans="1:12" ht="18" customHeight="1">
      <c r="A947" s="23"/>
      <c r="J947" s="14"/>
      <c r="K947" s="14"/>
      <c r="L947" s="13"/>
    </row>
    <row r="948" spans="1:12" ht="18" customHeight="1">
      <c r="A948" s="23"/>
      <c r="J948" s="14"/>
      <c r="K948" s="14"/>
      <c r="L948" s="13"/>
    </row>
    <row r="949" spans="1:12" ht="18" customHeight="1">
      <c r="A949" s="23"/>
      <c r="J949" s="14"/>
      <c r="K949" s="14"/>
      <c r="L949" s="13"/>
    </row>
    <row r="950" spans="1:12" ht="18" customHeight="1">
      <c r="A950" s="23"/>
      <c r="J950" s="14"/>
      <c r="K950" s="14"/>
      <c r="L950" s="13"/>
    </row>
    <row r="951" spans="1:12" ht="18" customHeight="1">
      <c r="A951" s="23"/>
      <c r="J951" s="14"/>
      <c r="K951" s="14"/>
      <c r="L951" s="13"/>
    </row>
    <row r="952" spans="1:12" ht="18" customHeight="1">
      <c r="A952" s="23"/>
      <c r="J952" s="14"/>
      <c r="K952" s="14"/>
      <c r="L952" s="13"/>
    </row>
    <row r="953" spans="1:12" ht="18" customHeight="1">
      <c r="A953" s="23"/>
      <c r="J953" s="14"/>
      <c r="K953" s="14"/>
      <c r="L953" s="13"/>
    </row>
    <row r="954" spans="1:12" ht="18" customHeight="1">
      <c r="A954" s="23"/>
      <c r="J954" s="14"/>
      <c r="K954" s="14"/>
      <c r="L954" s="13"/>
    </row>
    <row r="955" spans="1:12" ht="18" customHeight="1">
      <c r="A955" s="23"/>
      <c r="J955" s="14"/>
      <c r="K955" s="14"/>
      <c r="L955" s="13"/>
    </row>
    <row r="956" spans="1:12" ht="18" customHeight="1">
      <c r="A956" s="23"/>
      <c r="J956" s="14"/>
      <c r="K956" s="14"/>
      <c r="L956" s="13"/>
    </row>
    <row r="957" spans="1:12" ht="18" customHeight="1">
      <c r="A957" s="23"/>
      <c r="J957" s="14"/>
      <c r="K957" s="14"/>
      <c r="L957" s="13"/>
    </row>
    <row r="958" spans="1:12" ht="18" customHeight="1">
      <c r="A958" s="23"/>
      <c r="J958" s="14"/>
      <c r="K958" s="14"/>
      <c r="L958" s="13"/>
    </row>
    <row r="959" spans="1:12" ht="18" customHeight="1">
      <c r="A959" s="23"/>
      <c r="J959" s="14"/>
      <c r="K959" s="14"/>
      <c r="L959" s="13"/>
    </row>
    <row r="960" spans="1:12" ht="18" customHeight="1">
      <c r="A960" s="23"/>
      <c r="J960" s="14"/>
      <c r="K960" s="14"/>
      <c r="L960" s="13"/>
    </row>
    <row r="961" spans="1:12" ht="18" customHeight="1">
      <c r="A961" s="23"/>
      <c r="J961" s="14"/>
      <c r="K961" s="14"/>
      <c r="L961" s="13"/>
    </row>
    <row r="962" spans="1:12" ht="18" customHeight="1">
      <c r="A962" s="23"/>
      <c r="J962" s="14"/>
      <c r="K962" s="14"/>
      <c r="L962" s="13"/>
    </row>
    <row r="963" spans="1:12" ht="18" customHeight="1">
      <c r="A963" s="23"/>
      <c r="J963" s="14"/>
      <c r="K963" s="14"/>
      <c r="L963" s="13"/>
    </row>
    <row r="964" spans="1:12" ht="18" customHeight="1">
      <c r="A964" s="23"/>
      <c r="J964" s="14"/>
      <c r="K964" s="14"/>
      <c r="L964" s="13"/>
    </row>
    <row r="965" spans="1:12" ht="18" customHeight="1">
      <c r="A965" s="23"/>
      <c r="J965" s="14"/>
      <c r="K965" s="14"/>
      <c r="L965" s="13"/>
    </row>
    <row r="966" spans="1:12" ht="18" customHeight="1">
      <c r="A966" s="23"/>
      <c r="J966" s="14"/>
      <c r="K966" s="14"/>
      <c r="L966" s="13"/>
    </row>
    <row r="967" spans="1:12" ht="18" customHeight="1">
      <c r="A967" s="23"/>
      <c r="J967" s="14"/>
      <c r="K967" s="14"/>
      <c r="L967" s="13"/>
    </row>
    <row r="968" spans="1:12" ht="18" customHeight="1">
      <c r="A968" s="23"/>
      <c r="J968" s="14"/>
      <c r="K968" s="14"/>
      <c r="L968" s="13"/>
    </row>
    <row r="969" spans="1:12" ht="18" customHeight="1">
      <c r="A969" s="23"/>
      <c r="J969" s="14"/>
      <c r="K969" s="14"/>
      <c r="L969" s="13"/>
    </row>
    <row r="970" spans="1:12" ht="18" customHeight="1">
      <c r="A970" s="23"/>
      <c r="J970" s="14"/>
      <c r="K970" s="14"/>
      <c r="L970" s="13"/>
    </row>
    <row r="971" spans="1:12" ht="18" customHeight="1">
      <c r="A971" s="23"/>
      <c r="J971" s="14"/>
      <c r="K971" s="14"/>
      <c r="L971" s="13"/>
    </row>
    <row r="972" spans="1:12" ht="18" customHeight="1">
      <c r="A972" s="23"/>
      <c r="J972" s="14"/>
      <c r="K972" s="14"/>
      <c r="L972" s="13"/>
    </row>
    <row r="973" spans="1:12" ht="18" customHeight="1">
      <c r="A973" s="23"/>
      <c r="J973" s="14"/>
      <c r="K973" s="14"/>
      <c r="L973" s="13"/>
    </row>
    <row r="974" spans="1:12" ht="18" customHeight="1">
      <c r="A974" s="23"/>
      <c r="J974" s="14"/>
      <c r="K974" s="14"/>
      <c r="L974" s="13"/>
    </row>
    <row r="975" spans="1:12" ht="18" customHeight="1">
      <c r="A975" s="23"/>
      <c r="J975" s="14"/>
      <c r="K975" s="14"/>
      <c r="L975" s="13"/>
    </row>
    <row r="976" spans="1:12" ht="18" customHeight="1">
      <c r="A976" s="23"/>
      <c r="J976" s="14"/>
      <c r="K976" s="14"/>
      <c r="L976" s="13"/>
    </row>
    <row r="977" spans="1:12" ht="18" customHeight="1">
      <c r="A977" s="23"/>
      <c r="J977" s="14"/>
      <c r="K977" s="14"/>
      <c r="L977" s="13"/>
    </row>
    <row r="978" spans="1:12" ht="18" customHeight="1">
      <c r="A978" s="23"/>
      <c r="J978" s="14"/>
      <c r="K978" s="14"/>
      <c r="L978" s="13"/>
    </row>
    <row r="979" spans="1:12" ht="18" customHeight="1">
      <c r="A979" s="23"/>
      <c r="J979" s="14"/>
      <c r="K979" s="14"/>
      <c r="L979" s="13"/>
    </row>
    <row r="980" spans="1:12" ht="18" customHeight="1">
      <c r="A980" s="23"/>
      <c r="J980" s="14"/>
      <c r="K980" s="14"/>
      <c r="L980" s="13"/>
    </row>
    <row r="981" spans="1:12" ht="18" customHeight="1">
      <c r="A981" s="23"/>
      <c r="J981" s="14"/>
      <c r="K981" s="14"/>
      <c r="L981" s="13"/>
    </row>
    <row r="982" spans="1:12" ht="18" customHeight="1">
      <c r="A982" s="23"/>
      <c r="J982" s="14"/>
      <c r="K982" s="14"/>
      <c r="L982" s="13"/>
    </row>
    <row r="983" spans="1:12" ht="18" customHeight="1">
      <c r="A983" s="23"/>
      <c r="J983" s="14"/>
      <c r="K983" s="14"/>
      <c r="L983" s="13"/>
    </row>
    <row r="984" spans="1:12" ht="18" customHeight="1">
      <c r="A984" s="23"/>
      <c r="J984" s="14"/>
      <c r="K984" s="14"/>
      <c r="L984" s="13"/>
    </row>
    <row r="985" spans="1:12" ht="18" customHeight="1">
      <c r="A985" s="23"/>
      <c r="J985" s="14"/>
      <c r="K985" s="14"/>
      <c r="L985" s="13"/>
    </row>
    <row r="986" spans="1:12" ht="18" customHeight="1">
      <c r="A986" s="23"/>
      <c r="J986" s="14"/>
      <c r="K986" s="14"/>
      <c r="L986" s="13"/>
    </row>
    <row r="987" spans="1:12" ht="18" customHeight="1">
      <c r="A987" s="23"/>
      <c r="J987" s="14"/>
      <c r="K987" s="14"/>
      <c r="L987" s="13"/>
    </row>
    <row r="988" spans="1:12" ht="18" customHeight="1">
      <c r="A988" s="23"/>
      <c r="J988" s="14"/>
      <c r="K988" s="14"/>
      <c r="L988" s="13"/>
    </row>
    <row r="989" spans="1:12" ht="18" customHeight="1">
      <c r="A989" s="23"/>
      <c r="J989" s="14"/>
      <c r="K989" s="14"/>
      <c r="L989" s="13"/>
    </row>
    <row r="990" spans="1:12" ht="18" customHeight="1">
      <c r="A990" s="23"/>
      <c r="J990" s="14"/>
      <c r="K990" s="14"/>
      <c r="L990" s="13"/>
    </row>
    <row r="991" spans="1:12" ht="18" customHeight="1">
      <c r="A991" s="23"/>
      <c r="J991" s="14"/>
      <c r="K991" s="14"/>
      <c r="L991" s="13"/>
    </row>
    <row r="992" spans="1:12" ht="18" customHeight="1">
      <c r="A992" s="23"/>
      <c r="J992" s="14"/>
      <c r="K992" s="14"/>
      <c r="L992" s="13"/>
    </row>
    <row r="993" spans="1:12" ht="18" customHeight="1">
      <c r="A993" s="23"/>
      <c r="J993" s="14"/>
      <c r="K993" s="14"/>
      <c r="L993" s="13"/>
    </row>
    <row r="994" spans="1:12" ht="18" customHeight="1">
      <c r="A994" s="23"/>
      <c r="J994" s="14"/>
      <c r="K994" s="14"/>
      <c r="L994" s="13"/>
    </row>
    <row r="995" spans="1:12" ht="18" customHeight="1">
      <c r="A995" s="23"/>
      <c r="J995" s="14"/>
      <c r="K995" s="14"/>
      <c r="L995" s="13"/>
    </row>
    <row r="996" spans="1:12" ht="18" customHeight="1">
      <c r="A996" s="23"/>
      <c r="J996" s="14"/>
      <c r="K996" s="14"/>
      <c r="L996" s="13"/>
    </row>
    <row r="997" spans="1:12" ht="18" customHeight="1">
      <c r="A997" s="23"/>
      <c r="J997" s="14"/>
      <c r="K997" s="14"/>
      <c r="L997" s="13"/>
    </row>
    <row r="998" spans="1:12" ht="18" customHeight="1">
      <c r="A998" s="23"/>
      <c r="J998" s="14"/>
      <c r="K998" s="14"/>
      <c r="L998" s="13"/>
    </row>
    <row r="999" spans="1:12" ht="18" customHeight="1">
      <c r="A999" s="23"/>
      <c r="J999" s="14"/>
      <c r="K999" s="14"/>
      <c r="L999" s="13"/>
    </row>
    <row r="1000" spans="1:12" ht="18" customHeight="1">
      <c r="A1000" s="23"/>
      <c r="J1000" s="14"/>
      <c r="K1000" s="14"/>
      <c r="L1000" s="13"/>
    </row>
  </sheetData>
  <mergeCells count="14">
    <mergeCell ref="F1:F2"/>
    <mergeCell ref="G1:G2"/>
    <mergeCell ref="H1:H2"/>
    <mergeCell ref="I1:I2"/>
    <mergeCell ref="A1:A2"/>
    <mergeCell ref="B1:B2"/>
    <mergeCell ref="C1:C2"/>
    <mergeCell ref="D1:D2"/>
    <mergeCell ref="E1:E2"/>
    <mergeCell ref="J1:K1"/>
    <mergeCell ref="L1:L2"/>
    <mergeCell ref="H270:I270"/>
    <mergeCell ref="H271:I271"/>
    <mergeCell ref="H272:I27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0"/>
  <sheetViews>
    <sheetView workbookViewId="0"/>
    <sheetView workbookViewId="1">
      <selection sqref="A1:A2"/>
    </sheetView>
  </sheetViews>
  <sheetFormatPr defaultColWidth="14.42578125" defaultRowHeight="15" customHeight="1"/>
  <cols>
    <col min="1" max="1" width="5.7109375" customWidth="1"/>
    <col min="2" max="2" width="22.7109375" customWidth="1"/>
    <col min="3" max="3" width="9.7109375" customWidth="1"/>
    <col min="4" max="4" width="18.42578125" customWidth="1"/>
    <col min="5" max="5" width="17.5703125" customWidth="1"/>
    <col min="6" max="6" width="10.7109375" customWidth="1"/>
    <col min="7" max="7" width="34.7109375" customWidth="1"/>
    <col min="8" max="8" width="39.140625" customWidth="1"/>
    <col min="9" max="9" width="8.7109375" customWidth="1"/>
    <col min="10" max="11" width="11.7109375" customWidth="1"/>
    <col min="12" max="12" width="17.42578125" customWidth="1"/>
    <col min="13" max="26" width="8.7109375" customWidth="1"/>
  </cols>
  <sheetData>
    <row r="1" spans="1:12" ht="14.25" customHeight="1">
      <c r="A1" s="102" t="s">
        <v>0</v>
      </c>
      <c r="B1" s="98" t="s">
        <v>1715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7" t="s">
        <v>9</v>
      </c>
      <c r="K1" s="110"/>
      <c r="L1" s="98" t="s">
        <v>10</v>
      </c>
    </row>
    <row r="2" spans="1:12" ht="18" customHeight="1">
      <c r="A2" s="111"/>
      <c r="B2" s="111"/>
      <c r="C2" s="111"/>
      <c r="D2" s="111"/>
      <c r="E2" s="111"/>
      <c r="F2" s="111"/>
      <c r="G2" s="111"/>
      <c r="H2" s="111"/>
      <c r="I2" s="111"/>
      <c r="J2" s="15" t="s">
        <v>18</v>
      </c>
      <c r="K2" s="15" t="s">
        <v>19</v>
      </c>
      <c r="L2" s="111"/>
    </row>
    <row r="3" spans="1:12" ht="18" customHeight="1">
      <c r="A3" s="16">
        <v>1</v>
      </c>
      <c r="B3" s="17">
        <v>6510106114</v>
      </c>
      <c r="C3" s="17" t="s">
        <v>29</v>
      </c>
      <c r="D3" s="17" t="s">
        <v>997</v>
      </c>
      <c r="E3" s="17" t="s">
        <v>998</v>
      </c>
      <c r="F3" s="17" t="s">
        <v>453</v>
      </c>
      <c r="G3" s="17" t="s">
        <v>999</v>
      </c>
      <c r="H3" s="17" t="s">
        <v>1000</v>
      </c>
      <c r="I3" s="17" t="s">
        <v>3710</v>
      </c>
      <c r="J3" s="16"/>
      <c r="K3" s="16" t="str">
        <f t="shared" ref="K3:K135" si="0">IF(J3&gt;=2,"ผ่าน",IF(J3&lt;2,"ไม่ผ่าน"))</f>
        <v>ไม่ผ่าน</v>
      </c>
      <c r="L3" s="16" t="s">
        <v>28</v>
      </c>
    </row>
    <row r="4" spans="1:12" ht="18" customHeight="1">
      <c r="A4" s="16">
        <v>2</v>
      </c>
      <c r="B4" s="17">
        <v>6410106112</v>
      </c>
      <c r="C4" s="17" t="s">
        <v>29</v>
      </c>
      <c r="D4" s="17" t="s">
        <v>1001</v>
      </c>
      <c r="E4" s="17" t="s">
        <v>1002</v>
      </c>
      <c r="F4" s="17" t="s">
        <v>1003</v>
      </c>
      <c r="G4" s="17" t="s">
        <v>999</v>
      </c>
      <c r="H4" s="17" t="s">
        <v>1000</v>
      </c>
      <c r="I4" s="17" t="s">
        <v>3707</v>
      </c>
      <c r="J4" s="16"/>
      <c r="K4" s="16" t="str">
        <f t="shared" si="0"/>
        <v>ไม่ผ่าน</v>
      </c>
      <c r="L4" s="16" t="s">
        <v>28</v>
      </c>
    </row>
    <row r="5" spans="1:12" ht="18" customHeight="1">
      <c r="A5" s="16">
        <v>3</v>
      </c>
      <c r="B5" s="17">
        <v>6410106122</v>
      </c>
      <c r="C5" s="17" t="s">
        <v>29</v>
      </c>
      <c r="D5" s="17" t="s">
        <v>1004</v>
      </c>
      <c r="E5" s="17" t="s">
        <v>1005</v>
      </c>
      <c r="F5" s="17" t="s">
        <v>489</v>
      </c>
      <c r="G5" s="17" t="s">
        <v>999</v>
      </c>
      <c r="H5" s="17" t="s">
        <v>1000</v>
      </c>
      <c r="I5" s="17" t="s">
        <v>3707</v>
      </c>
      <c r="J5" s="16"/>
      <c r="K5" s="16" t="str">
        <f t="shared" si="0"/>
        <v>ไม่ผ่าน</v>
      </c>
      <c r="L5" s="16" t="s">
        <v>28</v>
      </c>
    </row>
    <row r="6" spans="1:12" ht="18" customHeight="1">
      <c r="A6" s="16">
        <v>4</v>
      </c>
      <c r="B6" s="17">
        <v>6410106125</v>
      </c>
      <c r="C6" s="17" t="s">
        <v>29</v>
      </c>
      <c r="D6" s="17" t="s">
        <v>1006</v>
      </c>
      <c r="E6" s="17" t="s">
        <v>1007</v>
      </c>
      <c r="F6" s="17" t="s">
        <v>242</v>
      </c>
      <c r="G6" s="17" t="s">
        <v>999</v>
      </c>
      <c r="H6" s="17" t="s">
        <v>1000</v>
      </c>
      <c r="I6" s="17" t="s">
        <v>3707</v>
      </c>
      <c r="J6" s="16"/>
      <c r="K6" s="16" t="str">
        <f t="shared" si="0"/>
        <v>ไม่ผ่าน</v>
      </c>
      <c r="L6" s="16" t="s">
        <v>28</v>
      </c>
    </row>
    <row r="7" spans="1:12" ht="18" customHeight="1">
      <c r="A7" s="16">
        <v>5</v>
      </c>
      <c r="B7" s="17">
        <v>6410106207</v>
      </c>
      <c r="C7" s="17" t="s">
        <v>29</v>
      </c>
      <c r="D7" s="17" t="s">
        <v>732</v>
      </c>
      <c r="E7" s="17" t="s">
        <v>1008</v>
      </c>
      <c r="F7" s="17" t="s">
        <v>391</v>
      </c>
      <c r="G7" s="17" t="s">
        <v>999</v>
      </c>
      <c r="H7" s="17" t="s">
        <v>1000</v>
      </c>
      <c r="I7" s="17" t="s">
        <v>3707</v>
      </c>
      <c r="J7" s="16"/>
      <c r="K7" s="16" t="str">
        <f t="shared" si="0"/>
        <v>ไม่ผ่าน</v>
      </c>
      <c r="L7" s="16" t="s">
        <v>28</v>
      </c>
    </row>
    <row r="8" spans="1:12" ht="18" customHeight="1">
      <c r="A8" s="16">
        <v>6</v>
      </c>
      <c r="B8" s="17">
        <v>6410106209</v>
      </c>
      <c r="C8" s="17" t="s">
        <v>29</v>
      </c>
      <c r="D8" s="17" t="s">
        <v>223</v>
      </c>
      <c r="E8" s="17" t="s">
        <v>803</v>
      </c>
      <c r="F8" s="17" t="s">
        <v>161</v>
      </c>
      <c r="G8" s="17" t="s">
        <v>999</v>
      </c>
      <c r="H8" s="17" t="s">
        <v>1000</v>
      </c>
      <c r="I8" s="17" t="s">
        <v>3707</v>
      </c>
      <c r="J8" s="16"/>
      <c r="K8" s="16" t="str">
        <f t="shared" si="0"/>
        <v>ไม่ผ่าน</v>
      </c>
      <c r="L8" s="16" t="s">
        <v>28</v>
      </c>
    </row>
    <row r="9" spans="1:12" ht="18" customHeight="1">
      <c r="A9" s="16">
        <v>7</v>
      </c>
      <c r="B9" s="17">
        <v>6410106215</v>
      </c>
      <c r="C9" s="17" t="s">
        <v>29</v>
      </c>
      <c r="D9" s="17" t="s">
        <v>1009</v>
      </c>
      <c r="E9" s="17" t="s">
        <v>1010</v>
      </c>
      <c r="F9" s="17" t="s">
        <v>300</v>
      </c>
      <c r="G9" s="17" t="s">
        <v>999</v>
      </c>
      <c r="H9" s="17" t="s">
        <v>1000</v>
      </c>
      <c r="I9" s="17" t="s">
        <v>3707</v>
      </c>
      <c r="J9" s="16"/>
      <c r="K9" s="16" t="str">
        <f t="shared" si="0"/>
        <v>ไม่ผ่าน</v>
      </c>
      <c r="L9" s="16" t="s">
        <v>28</v>
      </c>
    </row>
    <row r="10" spans="1:12" ht="18" customHeight="1">
      <c r="A10" s="16">
        <v>8</v>
      </c>
      <c r="B10" s="17">
        <v>6410106216</v>
      </c>
      <c r="C10" s="17" t="s">
        <v>29</v>
      </c>
      <c r="D10" s="17" t="s">
        <v>1011</v>
      </c>
      <c r="E10" s="17" t="s">
        <v>1012</v>
      </c>
      <c r="F10" s="17" t="s">
        <v>219</v>
      </c>
      <c r="G10" s="17" t="s">
        <v>999</v>
      </c>
      <c r="H10" s="17" t="s">
        <v>1000</v>
      </c>
      <c r="I10" s="17" t="s">
        <v>3707</v>
      </c>
      <c r="J10" s="16"/>
      <c r="K10" s="16" t="str">
        <f t="shared" si="0"/>
        <v>ไม่ผ่าน</v>
      </c>
      <c r="L10" s="16" t="s">
        <v>28</v>
      </c>
    </row>
    <row r="11" spans="1:12" ht="18" customHeight="1">
      <c r="A11" s="16">
        <v>9</v>
      </c>
      <c r="B11" s="17">
        <v>6310106109</v>
      </c>
      <c r="C11" s="17" t="s">
        <v>29</v>
      </c>
      <c r="D11" s="17" t="s">
        <v>1013</v>
      </c>
      <c r="E11" s="17" t="s">
        <v>1014</v>
      </c>
      <c r="F11" s="17" t="s">
        <v>1015</v>
      </c>
      <c r="G11" s="17" t="s">
        <v>999</v>
      </c>
      <c r="H11" s="17" t="s">
        <v>1000</v>
      </c>
      <c r="I11" s="17" t="s">
        <v>3708</v>
      </c>
      <c r="J11" s="16"/>
      <c r="K11" s="16" t="str">
        <f t="shared" si="0"/>
        <v>ไม่ผ่าน</v>
      </c>
      <c r="L11" s="16" t="s">
        <v>28</v>
      </c>
    </row>
    <row r="12" spans="1:12" ht="18" customHeight="1">
      <c r="A12" s="16">
        <v>10</v>
      </c>
      <c r="B12" s="17">
        <v>6310106204</v>
      </c>
      <c r="C12" s="17" t="s">
        <v>29</v>
      </c>
      <c r="D12" s="17" t="s">
        <v>1016</v>
      </c>
      <c r="E12" s="17" t="s">
        <v>1017</v>
      </c>
      <c r="F12" s="17" t="s">
        <v>193</v>
      </c>
      <c r="G12" s="17" t="s">
        <v>999</v>
      </c>
      <c r="H12" s="17" t="s">
        <v>1000</v>
      </c>
      <c r="I12" s="17" t="s">
        <v>3708</v>
      </c>
      <c r="J12" s="16"/>
      <c r="K12" s="16" t="str">
        <f t="shared" si="0"/>
        <v>ไม่ผ่าน</v>
      </c>
      <c r="L12" s="16" t="s">
        <v>28</v>
      </c>
    </row>
    <row r="13" spans="1:12" ht="18" customHeight="1">
      <c r="A13" s="16">
        <v>11</v>
      </c>
      <c r="B13" s="17">
        <v>6310106216</v>
      </c>
      <c r="C13" s="17" t="s">
        <v>29</v>
      </c>
      <c r="D13" s="17" t="s">
        <v>1018</v>
      </c>
      <c r="E13" s="17" t="s">
        <v>1019</v>
      </c>
      <c r="F13" s="17" t="s">
        <v>1020</v>
      </c>
      <c r="G13" s="17" t="s">
        <v>999</v>
      </c>
      <c r="H13" s="17" t="s">
        <v>1000</v>
      </c>
      <c r="I13" s="17" t="s">
        <v>3708</v>
      </c>
      <c r="J13" s="16"/>
      <c r="K13" s="16" t="str">
        <f t="shared" si="0"/>
        <v>ไม่ผ่าน</v>
      </c>
      <c r="L13" s="16" t="s">
        <v>28</v>
      </c>
    </row>
    <row r="14" spans="1:12" ht="18" customHeight="1">
      <c r="A14" s="16">
        <v>12</v>
      </c>
      <c r="B14" s="17">
        <v>6510106120</v>
      </c>
      <c r="C14" s="17" t="s">
        <v>29</v>
      </c>
      <c r="D14" s="17" t="s">
        <v>1021</v>
      </c>
      <c r="E14" s="17" t="s">
        <v>1022</v>
      </c>
      <c r="F14" s="17" t="s">
        <v>1023</v>
      </c>
      <c r="G14" s="17" t="s">
        <v>999</v>
      </c>
      <c r="H14" s="17" t="s">
        <v>1024</v>
      </c>
      <c r="I14" s="17" t="s">
        <v>3710</v>
      </c>
      <c r="J14" s="16"/>
      <c r="K14" s="16" t="str">
        <f t="shared" si="0"/>
        <v>ไม่ผ่าน</v>
      </c>
      <c r="L14" s="16" t="s">
        <v>28</v>
      </c>
    </row>
    <row r="15" spans="1:12" ht="18" customHeight="1">
      <c r="A15" s="16">
        <v>13</v>
      </c>
      <c r="B15" s="17">
        <v>6410106104</v>
      </c>
      <c r="C15" s="17" t="s">
        <v>22</v>
      </c>
      <c r="D15" s="17" t="s">
        <v>1025</v>
      </c>
      <c r="E15" s="17" t="s">
        <v>1026</v>
      </c>
      <c r="F15" s="17" t="s">
        <v>1027</v>
      </c>
      <c r="G15" s="17" t="s">
        <v>999</v>
      </c>
      <c r="H15" s="17" t="s">
        <v>1024</v>
      </c>
      <c r="I15" s="17" t="s">
        <v>3707</v>
      </c>
      <c r="J15" s="16"/>
      <c r="K15" s="16" t="str">
        <f t="shared" si="0"/>
        <v>ไม่ผ่าน</v>
      </c>
      <c r="L15" s="16" t="s">
        <v>28</v>
      </c>
    </row>
    <row r="16" spans="1:12" ht="18" customHeight="1">
      <c r="A16" s="16">
        <v>14</v>
      </c>
      <c r="B16" s="17">
        <v>6410106114</v>
      </c>
      <c r="C16" s="17" t="s">
        <v>29</v>
      </c>
      <c r="D16" s="17" t="s">
        <v>1028</v>
      </c>
      <c r="E16" s="17" t="s">
        <v>82</v>
      </c>
      <c r="F16" s="17" t="s">
        <v>300</v>
      </c>
      <c r="G16" s="17" t="s">
        <v>999</v>
      </c>
      <c r="H16" s="17" t="s">
        <v>1024</v>
      </c>
      <c r="I16" s="17" t="s">
        <v>3707</v>
      </c>
      <c r="J16" s="16"/>
      <c r="K16" s="16" t="str">
        <f t="shared" si="0"/>
        <v>ไม่ผ่าน</v>
      </c>
      <c r="L16" s="16" t="s">
        <v>28</v>
      </c>
    </row>
    <row r="17" spans="1:12" ht="18" customHeight="1">
      <c r="A17" s="16">
        <v>15</v>
      </c>
      <c r="B17" s="17">
        <v>6410106127</v>
      </c>
      <c r="C17" s="17" t="s">
        <v>29</v>
      </c>
      <c r="D17" s="17" t="s">
        <v>1029</v>
      </c>
      <c r="E17" s="17" t="s">
        <v>1030</v>
      </c>
      <c r="F17" s="17" t="s">
        <v>424</v>
      </c>
      <c r="G17" s="17" t="s">
        <v>999</v>
      </c>
      <c r="H17" s="17" t="s">
        <v>1024</v>
      </c>
      <c r="I17" s="17" t="s">
        <v>3707</v>
      </c>
      <c r="J17" s="16"/>
      <c r="K17" s="16" t="str">
        <f t="shared" si="0"/>
        <v>ไม่ผ่าน</v>
      </c>
      <c r="L17" s="16" t="s">
        <v>28</v>
      </c>
    </row>
    <row r="18" spans="1:12" ht="18" customHeight="1">
      <c r="A18" s="16">
        <v>16</v>
      </c>
      <c r="B18" s="17">
        <v>6410106132</v>
      </c>
      <c r="C18" s="17" t="s">
        <v>29</v>
      </c>
      <c r="D18" s="17" t="s">
        <v>1031</v>
      </c>
      <c r="E18" s="17" t="s">
        <v>1032</v>
      </c>
      <c r="F18" s="17" t="s">
        <v>322</v>
      </c>
      <c r="G18" s="17" t="s">
        <v>999</v>
      </c>
      <c r="H18" s="17" t="s">
        <v>1024</v>
      </c>
      <c r="I18" s="17" t="s">
        <v>3707</v>
      </c>
      <c r="J18" s="16"/>
      <c r="K18" s="16" t="str">
        <f t="shared" si="0"/>
        <v>ไม่ผ่าน</v>
      </c>
      <c r="L18" s="16" t="s">
        <v>28</v>
      </c>
    </row>
    <row r="19" spans="1:12" ht="18" customHeight="1">
      <c r="A19" s="16">
        <v>17</v>
      </c>
      <c r="B19" s="17">
        <v>6410106205</v>
      </c>
      <c r="C19" s="17" t="s">
        <v>29</v>
      </c>
      <c r="D19" s="17" t="s">
        <v>197</v>
      </c>
      <c r="E19" s="17" t="s">
        <v>1033</v>
      </c>
      <c r="F19" s="17" t="s">
        <v>1034</v>
      </c>
      <c r="G19" s="17" t="s">
        <v>999</v>
      </c>
      <c r="H19" s="17" t="s">
        <v>1024</v>
      </c>
      <c r="I19" s="17" t="s">
        <v>3707</v>
      </c>
      <c r="J19" s="16"/>
      <c r="K19" s="16" t="str">
        <f t="shared" si="0"/>
        <v>ไม่ผ่าน</v>
      </c>
      <c r="L19" s="16" t="s">
        <v>28</v>
      </c>
    </row>
    <row r="20" spans="1:12" ht="18" customHeight="1">
      <c r="A20" s="16">
        <v>18</v>
      </c>
      <c r="B20" s="17">
        <v>6410106210</v>
      </c>
      <c r="C20" s="17" t="s">
        <v>29</v>
      </c>
      <c r="D20" s="17" t="s">
        <v>1035</v>
      </c>
      <c r="E20" s="17" t="s">
        <v>1036</v>
      </c>
      <c r="F20" s="17" t="s">
        <v>236</v>
      </c>
      <c r="G20" s="17" t="s">
        <v>999</v>
      </c>
      <c r="H20" s="17" t="s">
        <v>1024</v>
      </c>
      <c r="I20" s="17" t="s">
        <v>3707</v>
      </c>
      <c r="J20" s="16"/>
      <c r="K20" s="16" t="str">
        <f t="shared" si="0"/>
        <v>ไม่ผ่าน</v>
      </c>
      <c r="L20" s="16" t="s">
        <v>28</v>
      </c>
    </row>
    <row r="21" spans="1:12" ht="18" customHeight="1">
      <c r="A21" s="16">
        <v>19</v>
      </c>
      <c r="B21" s="17">
        <v>6410106219</v>
      </c>
      <c r="C21" s="17" t="s">
        <v>29</v>
      </c>
      <c r="D21" s="17" t="s">
        <v>1037</v>
      </c>
      <c r="E21" s="17" t="s">
        <v>1038</v>
      </c>
      <c r="F21" s="17" t="s">
        <v>104</v>
      </c>
      <c r="G21" s="17" t="s">
        <v>999</v>
      </c>
      <c r="H21" s="17" t="s">
        <v>1024</v>
      </c>
      <c r="I21" s="17" t="s">
        <v>3707</v>
      </c>
      <c r="J21" s="16"/>
      <c r="K21" s="16" t="str">
        <f t="shared" si="0"/>
        <v>ไม่ผ่าน</v>
      </c>
      <c r="L21" s="16" t="s">
        <v>28</v>
      </c>
    </row>
    <row r="22" spans="1:12" ht="18" customHeight="1">
      <c r="A22" s="16">
        <v>20</v>
      </c>
      <c r="B22" s="17">
        <v>6612855107</v>
      </c>
      <c r="C22" s="17" t="s">
        <v>22</v>
      </c>
      <c r="D22" s="17" t="s">
        <v>499</v>
      </c>
      <c r="E22" s="17" t="s">
        <v>1039</v>
      </c>
      <c r="F22" s="17" t="s">
        <v>1040</v>
      </c>
      <c r="G22" s="17" t="s">
        <v>999</v>
      </c>
      <c r="H22" s="17" t="s">
        <v>1041</v>
      </c>
      <c r="I22" s="17" t="s">
        <v>3709</v>
      </c>
      <c r="J22" s="16"/>
      <c r="K22" s="16" t="str">
        <f t="shared" si="0"/>
        <v>ไม่ผ่าน</v>
      </c>
      <c r="L22" s="16" t="s">
        <v>28</v>
      </c>
    </row>
    <row r="23" spans="1:12" ht="18" customHeight="1">
      <c r="A23" s="16">
        <v>21</v>
      </c>
      <c r="B23" s="17">
        <v>6512855106</v>
      </c>
      <c r="C23" s="17" t="s">
        <v>22</v>
      </c>
      <c r="D23" s="17" t="s">
        <v>544</v>
      </c>
      <c r="E23" s="17" t="s">
        <v>1042</v>
      </c>
      <c r="F23" s="17" t="s">
        <v>1043</v>
      </c>
      <c r="G23" s="17" t="s">
        <v>999</v>
      </c>
      <c r="H23" s="17" t="s">
        <v>1041</v>
      </c>
      <c r="I23" s="17" t="s">
        <v>3710</v>
      </c>
      <c r="J23" s="16"/>
      <c r="K23" s="16" t="str">
        <f t="shared" si="0"/>
        <v>ไม่ผ่าน</v>
      </c>
      <c r="L23" s="16" t="s">
        <v>28</v>
      </c>
    </row>
    <row r="24" spans="1:12" ht="18" customHeight="1">
      <c r="A24" s="16">
        <v>22</v>
      </c>
      <c r="B24" s="17">
        <v>6312855110</v>
      </c>
      <c r="C24" s="17" t="s">
        <v>22</v>
      </c>
      <c r="D24" s="17" t="s">
        <v>1044</v>
      </c>
      <c r="E24" s="17" t="s">
        <v>1045</v>
      </c>
      <c r="F24" s="17" t="s">
        <v>1046</v>
      </c>
      <c r="G24" s="17" t="s">
        <v>999</v>
      </c>
      <c r="H24" s="17" t="s">
        <v>1041</v>
      </c>
      <c r="I24" s="17" t="s">
        <v>3708</v>
      </c>
      <c r="J24" s="16"/>
      <c r="K24" s="16" t="str">
        <f t="shared" si="0"/>
        <v>ไม่ผ่าน</v>
      </c>
      <c r="L24" s="16" t="s">
        <v>28</v>
      </c>
    </row>
    <row r="25" spans="1:12" ht="18" customHeight="1">
      <c r="A25" s="16">
        <v>23</v>
      </c>
      <c r="B25" s="17">
        <v>6410095107</v>
      </c>
      <c r="C25" s="17" t="s">
        <v>29</v>
      </c>
      <c r="D25" s="17" t="s">
        <v>1047</v>
      </c>
      <c r="E25" s="17" t="s">
        <v>1048</v>
      </c>
      <c r="F25" s="17" t="s">
        <v>1049</v>
      </c>
      <c r="G25" s="17" t="s">
        <v>999</v>
      </c>
      <c r="H25" s="17" t="s">
        <v>1050</v>
      </c>
      <c r="I25" s="17" t="s">
        <v>3707</v>
      </c>
      <c r="J25" s="16"/>
      <c r="K25" s="16" t="str">
        <f t="shared" si="0"/>
        <v>ไม่ผ่าน</v>
      </c>
      <c r="L25" s="16" t="s">
        <v>28</v>
      </c>
    </row>
    <row r="26" spans="1:12" ht="18" customHeight="1">
      <c r="A26" s="16">
        <v>24</v>
      </c>
      <c r="B26" s="17">
        <v>6612798102</v>
      </c>
      <c r="C26" s="17" t="s">
        <v>29</v>
      </c>
      <c r="D26" s="17" t="s">
        <v>1051</v>
      </c>
      <c r="E26" s="17" t="s">
        <v>1052</v>
      </c>
      <c r="F26" s="17" t="s">
        <v>1053</v>
      </c>
      <c r="G26" s="17" t="s">
        <v>999</v>
      </c>
      <c r="H26" s="17" t="s">
        <v>735</v>
      </c>
      <c r="I26" s="17" t="s">
        <v>3709</v>
      </c>
      <c r="J26" s="16"/>
      <c r="K26" s="16" t="str">
        <f t="shared" si="0"/>
        <v>ไม่ผ่าน</v>
      </c>
      <c r="L26" s="16" t="s">
        <v>28</v>
      </c>
    </row>
    <row r="27" spans="1:12" ht="18" customHeight="1">
      <c r="A27" s="16">
        <v>25</v>
      </c>
      <c r="B27" s="17">
        <v>6612798104</v>
      </c>
      <c r="C27" s="17" t="s">
        <v>29</v>
      </c>
      <c r="D27" s="17" t="s">
        <v>1054</v>
      </c>
      <c r="E27" s="17" t="s">
        <v>1055</v>
      </c>
      <c r="F27" s="17" t="s">
        <v>1056</v>
      </c>
      <c r="G27" s="17" t="s">
        <v>999</v>
      </c>
      <c r="H27" s="17" t="s">
        <v>735</v>
      </c>
      <c r="I27" s="17" t="s">
        <v>3709</v>
      </c>
      <c r="J27" s="16"/>
      <c r="K27" s="16" t="str">
        <f t="shared" si="0"/>
        <v>ไม่ผ่าน</v>
      </c>
      <c r="L27" s="16" t="s">
        <v>28</v>
      </c>
    </row>
    <row r="28" spans="1:12" ht="18" customHeight="1">
      <c r="A28" s="16">
        <v>26</v>
      </c>
      <c r="B28" s="17">
        <v>6612798107</v>
      </c>
      <c r="C28" s="17" t="s">
        <v>29</v>
      </c>
      <c r="D28" s="17" t="s">
        <v>1057</v>
      </c>
      <c r="E28" s="17" t="s">
        <v>1058</v>
      </c>
      <c r="F28" s="17" t="s">
        <v>1059</v>
      </c>
      <c r="G28" s="17" t="s">
        <v>999</v>
      </c>
      <c r="H28" s="17" t="s">
        <v>735</v>
      </c>
      <c r="I28" s="17" t="s">
        <v>3709</v>
      </c>
      <c r="J28" s="16"/>
      <c r="K28" s="16" t="str">
        <f t="shared" si="0"/>
        <v>ไม่ผ่าน</v>
      </c>
      <c r="L28" s="16" t="s">
        <v>28</v>
      </c>
    </row>
    <row r="29" spans="1:12" ht="18" customHeight="1">
      <c r="A29" s="16">
        <v>27</v>
      </c>
      <c r="B29" s="17">
        <v>6612798109</v>
      </c>
      <c r="C29" s="17" t="s">
        <v>29</v>
      </c>
      <c r="D29" s="17" t="s">
        <v>1060</v>
      </c>
      <c r="E29" s="17" t="s">
        <v>1061</v>
      </c>
      <c r="F29" s="17" t="s">
        <v>1062</v>
      </c>
      <c r="G29" s="17" t="s">
        <v>999</v>
      </c>
      <c r="H29" s="17" t="s">
        <v>735</v>
      </c>
      <c r="I29" s="17" t="s">
        <v>3709</v>
      </c>
      <c r="J29" s="16"/>
      <c r="K29" s="16" t="str">
        <f t="shared" si="0"/>
        <v>ไม่ผ่าน</v>
      </c>
      <c r="L29" s="16" t="s">
        <v>28</v>
      </c>
    </row>
    <row r="30" spans="1:12" ht="18" customHeight="1">
      <c r="A30" s="16">
        <v>28</v>
      </c>
      <c r="B30" s="17">
        <v>6612798114</v>
      </c>
      <c r="C30" s="17" t="s">
        <v>29</v>
      </c>
      <c r="D30" s="17" t="s">
        <v>125</v>
      </c>
      <c r="E30" s="17" t="s">
        <v>1063</v>
      </c>
      <c r="F30" s="17" t="s">
        <v>507</v>
      </c>
      <c r="G30" s="17" t="s">
        <v>999</v>
      </c>
      <c r="H30" s="17" t="s">
        <v>735</v>
      </c>
      <c r="I30" s="17" t="s">
        <v>3709</v>
      </c>
      <c r="J30" s="16"/>
      <c r="K30" s="16" t="str">
        <f t="shared" si="0"/>
        <v>ไม่ผ่าน</v>
      </c>
      <c r="L30" s="16" t="s">
        <v>28</v>
      </c>
    </row>
    <row r="31" spans="1:12" ht="18" customHeight="1">
      <c r="A31" s="16">
        <v>29</v>
      </c>
      <c r="B31" s="17">
        <v>6612798115</v>
      </c>
      <c r="C31" s="17" t="s">
        <v>29</v>
      </c>
      <c r="D31" s="17" t="s">
        <v>84</v>
      </c>
      <c r="E31" s="17" t="s">
        <v>1064</v>
      </c>
      <c r="F31" s="17" t="s">
        <v>1065</v>
      </c>
      <c r="G31" s="17" t="s">
        <v>999</v>
      </c>
      <c r="H31" s="17" t="s">
        <v>735</v>
      </c>
      <c r="I31" s="17" t="s">
        <v>3709</v>
      </c>
      <c r="J31" s="16"/>
      <c r="K31" s="16" t="str">
        <f t="shared" si="0"/>
        <v>ไม่ผ่าน</v>
      </c>
      <c r="L31" s="16" t="s">
        <v>28</v>
      </c>
    </row>
    <row r="32" spans="1:12" ht="18" customHeight="1">
      <c r="A32" s="16">
        <v>30</v>
      </c>
      <c r="B32" s="17">
        <v>6612798117</v>
      </c>
      <c r="C32" s="17" t="s">
        <v>29</v>
      </c>
      <c r="D32" s="17" t="s">
        <v>363</v>
      </c>
      <c r="E32" s="17" t="s">
        <v>1066</v>
      </c>
      <c r="F32" s="17" t="s">
        <v>1067</v>
      </c>
      <c r="G32" s="17" t="s">
        <v>999</v>
      </c>
      <c r="H32" s="17" t="s">
        <v>735</v>
      </c>
      <c r="I32" s="17" t="s">
        <v>3709</v>
      </c>
      <c r="J32" s="16"/>
      <c r="K32" s="16" t="str">
        <f t="shared" si="0"/>
        <v>ไม่ผ่าน</v>
      </c>
      <c r="L32" s="16" t="s">
        <v>28</v>
      </c>
    </row>
    <row r="33" spans="1:12" ht="18" customHeight="1">
      <c r="A33" s="16">
        <v>31</v>
      </c>
      <c r="B33" s="17">
        <v>6612798118</v>
      </c>
      <c r="C33" s="17" t="s">
        <v>29</v>
      </c>
      <c r="D33" s="17" t="s">
        <v>1068</v>
      </c>
      <c r="E33" s="17" t="s">
        <v>1069</v>
      </c>
      <c r="F33" s="17" t="s">
        <v>1070</v>
      </c>
      <c r="G33" s="17" t="s">
        <v>999</v>
      </c>
      <c r="H33" s="17" t="s">
        <v>735</v>
      </c>
      <c r="I33" s="17" t="s">
        <v>3709</v>
      </c>
      <c r="J33" s="16"/>
      <c r="K33" s="16" t="str">
        <f t="shared" si="0"/>
        <v>ไม่ผ่าน</v>
      </c>
      <c r="L33" s="16" t="s">
        <v>28</v>
      </c>
    </row>
    <row r="34" spans="1:12" ht="18" customHeight="1">
      <c r="A34" s="16">
        <v>32</v>
      </c>
      <c r="B34" s="17">
        <v>6512798102</v>
      </c>
      <c r="C34" s="17" t="s">
        <v>22</v>
      </c>
      <c r="D34" s="17" t="s">
        <v>1071</v>
      </c>
      <c r="E34" s="17" t="s">
        <v>1072</v>
      </c>
      <c r="F34" s="17" t="s">
        <v>1073</v>
      </c>
      <c r="G34" s="17" t="s">
        <v>999</v>
      </c>
      <c r="H34" s="17" t="s">
        <v>735</v>
      </c>
      <c r="I34" s="17" t="s">
        <v>3710</v>
      </c>
      <c r="J34" s="16"/>
      <c r="K34" s="16" t="str">
        <f t="shared" si="0"/>
        <v>ไม่ผ่าน</v>
      </c>
      <c r="L34" s="16" t="s">
        <v>28</v>
      </c>
    </row>
    <row r="35" spans="1:12" ht="18" customHeight="1">
      <c r="A35" s="16">
        <v>33</v>
      </c>
      <c r="B35" s="17">
        <v>6512798103</v>
      </c>
      <c r="C35" s="17" t="s">
        <v>22</v>
      </c>
      <c r="D35" s="17" t="s">
        <v>1074</v>
      </c>
      <c r="E35" s="17" t="s">
        <v>1075</v>
      </c>
      <c r="F35" s="17" t="s">
        <v>1076</v>
      </c>
      <c r="G35" s="17" t="s">
        <v>999</v>
      </c>
      <c r="H35" s="17" t="s">
        <v>735</v>
      </c>
      <c r="I35" s="17" t="s">
        <v>3710</v>
      </c>
      <c r="J35" s="16"/>
      <c r="K35" s="16" t="str">
        <f t="shared" si="0"/>
        <v>ไม่ผ่าน</v>
      </c>
      <c r="L35" s="16" t="s">
        <v>28</v>
      </c>
    </row>
    <row r="36" spans="1:12" ht="18" customHeight="1">
      <c r="A36" s="16">
        <v>34</v>
      </c>
      <c r="B36" s="17">
        <v>6512798105</v>
      </c>
      <c r="C36" s="17" t="s">
        <v>22</v>
      </c>
      <c r="D36" s="17" t="s">
        <v>280</v>
      </c>
      <c r="E36" s="17" t="s">
        <v>1077</v>
      </c>
      <c r="F36" s="17" t="s">
        <v>1078</v>
      </c>
      <c r="G36" s="17" t="s">
        <v>999</v>
      </c>
      <c r="H36" s="17" t="s">
        <v>735</v>
      </c>
      <c r="I36" s="17" t="s">
        <v>3710</v>
      </c>
      <c r="J36" s="16"/>
      <c r="K36" s="16" t="str">
        <f t="shared" si="0"/>
        <v>ไม่ผ่าน</v>
      </c>
      <c r="L36" s="16" t="s">
        <v>28</v>
      </c>
    </row>
    <row r="37" spans="1:12" ht="18" customHeight="1">
      <c r="A37" s="16">
        <v>35</v>
      </c>
      <c r="B37" s="17">
        <v>6512798107</v>
      </c>
      <c r="C37" s="17" t="s">
        <v>29</v>
      </c>
      <c r="D37" s="17" t="s">
        <v>1079</v>
      </c>
      <c r="E37" s="17" t="s">
        <v>1080</v>
      </c>
      <c r="F37" s="17" t="s">
        <v>1081</v>
      </c>
      <c r="G37" s="17" t="s">
        <v>999</v>
      </c>
      <c r="H37" s="17" t="s">
        <v>735</v>
      </c>
      <c r="I37" s="17" t="s">
        <v>3710</v>
      </c>
      <c r="J37" s="16"/>
      <c r="K37" s="16" t="str">
        <f t="shared" si="0"/>
        <v>ไม่ผ่าน</v>
      </c>
      <c r="L37" s="16" t="s">
        <v>28</v>
      </c>
    </row>
    <row r="38" spans="1:12" ht="18" customHeight="1">
      <c r="A38" s="16">
        <v>36</v>
      </c>
      <c r="B38" s="17">
        <v>6512798109</v>
      </c>
      <c r="C38" s="17" t="s">
        <v>29</v>
      </c>
      <c r="D38" s="17" t="s">
        <v>1082</v>
      </c>
      <c r="E38" s="17" t="s">
        <v>1083</v>
      </c>
      <c r="F38" s="17" t="s">
        <v>1084</v>
      </c>
      <c r="G38" s="17" t="s">
        <v>999</v>
      </c>
      <c r="H38" s="17" t="s">
        <v>735</v>
      </c>
      <c r="I38" s="17" t="s">
        <v>3710</v>
      </c>
      <c r="J38" s="16"/>
      <c r="K38" s="16" t="str">
        <f t="shared" si="0"/>
        <v>ไม่ผ่าน</v>
      </c>
      <c r="L38" s="16" t="s">
        <v>28</v>
      </c>
    </row>
    <row r="39" spans="1:12" ht="18" customHeight="1">
      <c r="A39" s="16">
        <v>37</v>
      </c>
      <c r="B39" s="17">
        <v>6512798112</v>
      </c>
      <c r="C39" s="17" t="s">
        <v>29</v>
      </c>
      <c r="D39" s="17" t="s">
        <v>1085</v>
      </c>
      <c r="E39" s="17" t="s">
        <v>1086</v>
      </c>
      <c r="F39" s="17" t="s">
        <v>1087</v>
      </c>
      <c r="G39" s="17" t="s">
        <v>999</v>
      </c>
      <c r="H39" s="17" t="s">
        <v>735</v>
      </c>
      <c r="I39" s="17" t="s">
        <v>3710</v>
      </c>
      <c r="J39" s="16"/>
      <c r="K39" s="16" t="str">
        <f t="shared" si="0"/>
        <v>ไม่ผ่าน</v>
      </c>
      <c r="L39" s="16" t="s">
        <v>28</v>
      </c>
    </row>
    <row r="40" spans="1:12" ht="18" customHeight="1">
      <c r="A40" s="16">
        <v>38</v>
      </c>
      <c r="B40" s="17">
        <v>6512798113</v>
      </c>
      <c r="C40" s="17" t="s">
        <v>29</v>
      </c>
      <c r="D40" s="17" t="s">
        <v>1088</v>
      </c>
      <c r="E40" s="17" t="s">
        <v>1089</v>
      </c>
      <c r="F40" s="17" t="s">
        <v>1090</v>
      </c>
      <c r="G40" s="17" t="s">
        <v>999</v>
      </c>
      <c r="H40" s="17" t="s">
        <v>735</v>
      </c>
      <c r="I40" s="17" t="s">
        <v>3710</v>
      </c>
      <c r="J40" s="16"/>
      <c r="K40" s="16" t="str">
        <f t="shared" si="0"/>
        <v>ไม่ผ่าน</v>
      </c>
      <c r="L40" s="16" t="s">
        <v>28</v>
      </c>
    </row>
    <row r="41" spans="1:12" ht="18" customHeight="1">
      <c r="A41" s="16">
        <v>39</v>
      </c>
      <c r="B41" s="17">
        <v>6512798114</v>
      </c>
      <c r="C41" s="17" t="s">
        <v>29</v>
      </c>
      <c r="D41" s="17" t="s">
        <v>1091</v>
      </c>
      <c r="E41" s="17" t="s">
        <v>1092</v>
      </c>
      <c r="F41" s="17" t="s">
        <v>157</v>
      </c>
      <c r="G41" s="17" t="s">
        <v>999</v>
      </c>
      <c r="H41" s="17" t="s">
        <v>735</v>
      </c>
      <c r="I41" s="17" t="s">
        <v>3710</v>
      </c>
      <c r="J41" s="16"/>
      <c r="K41" s="16" t="str">
        <f t="shared" si="0"/>
        <v>ไม่ผ่าน</v>
      </c>
      <c r="L41" s="16" t="s">
        <v>28</v>
      </c>
    </row>
    <row r="42" spans="1:12" ht="18" customHeight="1">
      <c r="A42" s="16">
        <v>40</v>
      </c>
      <c r="B42" s="17">
        <v>6512798118</v>
      </c>
      <c r="C42" s="17" t="s">
        <v>29</v>
      </c>
      <c r="D42" s="17" t="s">
        <v>1093</v>
      </c>
      <c r="E42" s="17" t="s">
        <v>1094</v>
      </c>
      <c r="F42" s="17" t="s">
        <v>391</v>
      </c>
      <c r="G42" s="17" t="s">
        <v>999</v>
      </c>
      <c r="H42" s="17" t="s">
        <v>735</v>
      </c>
      <c r="I42" s="17" t="s">
        <v>3710</v>
      </c>
      <c r="J42" s="16"/>
      <c r="K42" s="16" t="str">
        <f t="shared" si="0"/>
        <v>ไม่ผ่าน</v>
      </c>
      <c r="L42" s="16" t="s">
        <v>28</v>
      </c>
    </row>
    <row r="43" spans="1:12" ht="18" customHeight="1">
      <c r="A43" s="16">
        <v>41</v>
      </c>
      <c r="B43" s="17">
        <v>6512798123</v>
      </c>
      <c r="C43" s="17" t="s">
        <v>29</v>
      </c>
      <c r="D43" s="17" t="s">
        <v>957</v>
      </c>
      <c r="E43" s="17" t="s">
        <v>1095</v>
      </c>
      <c r="F43" s="17" t="s">
        <v>1096</v>
      </c>
      <c r="G43" s="17" t="s">
        <v>999</v>
      </c>
      <c r="H43" s="17" t="s">
        <v>735</v>
      </c>
      <c r="I43" s="17" t="s">
        <v>3710</v>
      </c>
      <c r="J43" s="16"/>
      <c r="K43" s="16" t="str">
        <f t="shared" si="0"/>
        <v>ไม่ผ่าน</v>
      </c>
      <c r="L43" s="16" t="s">
        <v>28</v>
      </c>
    </row>
    <row r="44" spans="1:12" ht="18" customHeight="1">
      <c r="A44" s="16">
        <v>42</v>
      </c>
      <c r="B44" s="17">
        <v>6512798132</v>
      </c>
      <c r="C44" s="17" t="s">
        <v>29</v>
      </c>
      <c r="D44" s="17" t="s">
        <v>1097</v>
      </c>
      <c r="E44" s="17" t="s">
        <v>1098</v>
      </c>
      <c r="F44" s="17" t="s">
        <v>41</v>
      </c>
      <c r="G44" s="17" t="s">
        <v>999</v>
      </c>
      <c r="H44" s="17" t="s">
        <v>735</v>
      </c>
      <c r="I44" s="17" t="s">
        <v>3710</v>
      </c>
      <c r="J44" s="16"/>
      <c r="K44" s="16" t="str">
        <f t="shared" si="0"/>
        <v>ไม่ผ่าน</v>
      </c>
      <c r="L44" s="16" t="s">
        <v>28</v>
      </c>
    </row>
    <row r="45" spans="1:12" ht="18" customHeight="1">
      <c r="A45" s="16">
        <v>43</v>
      </c>
      <c r="B45" s="17">
        <v>6512798138</v>
      </c>
      <c r="C45" s="17" t="s">
        <v>29</v>
      </c>
      <c r="D45" s="17" t="s">
        <v>1099</v>
      </c>
      <c r="E45" s="17" t="s">
        <v>1100</v>
      </c>
      <c r="F45" s="17" t="s">
        <v>370</v>
      </c>
      <c r="G45" s="17" t="s">
        <v>999</v>
      </c>
      <c r="H45" s="17" t="s">
        <v>735</v>
      </c>
      <c r="I45" s="17" t="s">
        <v>3710</v>
      </c>
      <c r="J45" s="16"/>
      <c r="K45" s="16" t="str">
        <f t="shared" si="0"/>
        <v>ไม่ผ่าน</v>
      </c>
      <c r="L45" s="16" t="s">
        <v>28</v>
      </c>
    </row>
    <row r="46" spans="1:12" ht="18" customHeight="1">
      <c r="A46" s="16">
        <v>44</v>
      </c>
      <c r="B46" s="17">
        <v>6512798152</v>
      </c>
      <c r="C46" s="17" t="s">
        <v>29</v>
      </c>
      <c r="D46" s="17" t="s">
        <v>1101</v>
      </c>
      <c r="E46" s="17" t="s">
        <v>1102</v>
      </c>
      <c r="F46" s="17" t="s">
        <v>1103</v>
      </c>
      <c r="G46" s="17" t="s">
        <v>999</v>
      </c>
      <c r="H46" s="17" t="s">
        <v>735</v>
      </c>
      <c r="I46" s="17" t="s">
        <v>3710</v>
      </c>
      <c r="J46" s="16"/>
      <c r="K46" s="16" t="str">
        <f t="shared" si="0"/>
        <v>ไม่ผ่าน</v>
      </c>
      <c r="L46" s="16" t="s">
        <v>28</v>
      </c>
    </row>
    <row r="47" spans="1:12" ht="18" customHeight="1">
      <c r="A47" s="16">
        <v>45</v>
      </c>
      <c r="B47" s="17">
        <v>6412798104</v>
      </c>
      <c r="C47" s="17" t="s">
        <v>22</v>
      </c>
      <c r="D47" s="17" t="s">
        <v>1104</v>
      </c>
      <c r="E47" s="17" t="s">
        <v>1105</v>
      </c>
      <c r="F47" s="17" t="s">
        <v>1106</v>
      </c>
      <c r="G47" s="17" t="s">
        <v>999</v>
      </c>
      <c r="H47" s="17" t="s">
        <v>735</v>
      </c>
      <c r="I47" s="17" t="s">
        <v>3707</v>
      </c>
      <c r="J47" s="16"/>
      <c r="K47" s="16" t="str">
        <f t="shared" si="0"/>
        <v>ไม่ผ่าน</v>
      </c>
      <c r="L47" s="16" t="s">
        <v>28</v>
      </c>
    </row>
    <row r="48" spans="1:12" ht="18" customHeight="1">
      <c r="A48" s="16">
        <v>46</v>
      </c>
      <c r="B48" s="17">
        <v>6412798105</v>
      </c>
      <c r="C48" s="17" t="s">
        <v>22</v>
      </c>
      <c r="D48" s="17" t="s">
        <v>1107</v>
      </c>
      <c r="E48" s="17" t="s">
        <v>1108</v>
      </c>
      <c r="F48" s="17" t="s">
        <v>365</v>
      </c>
      <c r="G48" s="17" t="s">
        <v>999</v>
      </c>
      <c r="H48" s="17" t="s">
        <v>735</v>
      </c>
      <c r="I48" s="17" t="s">
        <v>3707</v>
      </c>
      <c r="J48" s="16"/>
      <c r="K48" s="16" t="str">
        <f t="shared" si="0"/>
        <v>ไม่ผ่าน</v>
      </c>
      <c r="L48" s="16" t="s">
        <v>28</v>
      </c>
    </row>
    <row r="49" spans="1:12" ht="18" customHeight="1">
      <c r="A49" s="16">
        <v>47</v>
      </c>
      <c r="B49" s="17">
        <v>6412798106</v>
      </c>
      <c r="C49" s="17" t="s">
        <v>22</v>
      </c>
      <c r="D49" s="17" t="s">
        <v>1109</v>
      </c>
      <c r="E49" s="17" t="s">
        <v>852</v>
      </c>
      <c r="F49" s="17" t="s">
        <v>1110</v>
      </c>
      <c r="G49" s="17" t="s">
        <v>999</v>
      </c>
      <c r="H49" s="17" t="s">
        <v>735</v>
      </c>
      <c r="I49" s="17" t="s">
        <v>3707</v>
      </c>
      <c r="J49" s="16"/>
      <c r="K49" s="16" t="str">
        <f t="shared" si="0"/>
        <v>ไม่ผ่าน</v>
      </c>
      <c r="L49" s="16" t="s">
        <v>28</v>
      </c>
    </row>
    <row r="50" spans="1:12" ht="18" customHeight="1">
      <c r="A50" s="16">
        <v>48</v>
      </c>
      <c r="B50" s="17">
        <v>6412798107</v>
      </c>
      <c r="C50" s="17" t="s">
        <v>29</v>
      </c>
      <c r="D50" s="17" t="s">
        <v>1111</v>
      </c>
      <c r="E50" s="17" t="s">
        <v>1112</v>
      </c>
      <c r="F50" s="17" t="s">
        <v>530</v>
      </c>
      <c r="G50" s="17" t="s">
        <v>999</v>
      </c>
      <c r="H50" s="17" t="s">
        <v>735</v>
      </c>
      <c r="I50" s="17" t="s">
        <v>3707</v>
      </c>
      <c r="J50" s="16"/>
      <c r="K50" s="16" t="str">
        <f t="shared" si="0"/>
        <v>ไม่ผ่าน</v>
      </c>
      <c r="L50" s="16" t="s">
        <v>28</v>
      </c>
    </row>
    <row r="51" spans="1:12" ht="18" customHeight="1">
      <c r="A51" s="16">
        <v>49</v>
      </c>
      <c r="B51" s="17">
        <v>6412798114</v>
      </c>
      <c r="C51" s="17" t="s">
        <v>29</v>
      </c>
      <c r="D51" s="17" t="s">
        <v>1113</v>
      </c>
      <c r="E51" s="17" t="s">
        <v>1114</v>
      </c>
      <c r="F51" s="17" t="s">
        <v>1115</v>
      </c>
      <c r="G51" s="17" t="s">
        <v>999</v>
      </c>
      <c r="H51" s="17" t="s">
        <v>735</v>
      </c>
      <c r="I51" s="17" t="s">
        <v>3707</v>
      </c>
      <c r="J51" s="16"/>
      <c r="K51" s="16" t="str">
        <f t="shared" si="0"/>
        <v>ไม่ผ่าน</v>
      </c>
      <c r="L51" s="16" t="s">
        <v>28</v>
      </c>
    </row>
    <row r="52" spans="1:12" ht="18" customHeight="1">
      <c r="A52" s="16">
        <v>50</v>
      </c>
      <c r="B52" s="17">
        <v>6412798115</v>
      </c>
      <c r="C52" s="17" t="s">
        <v>29</v>
      </c>
      <c r="D52" s="17" t="s">
        <v>1116</v>
      </c>
      <c r="E52" s="17" t="s">
        <v>1117</v>
      </c>
      <c r="F52" s="17" t="s">
        <v>161</v>
      </c>
      <c r="G52" s="17" t="s">
        <v>999</v>
      </c>
      <c r="H52" s="17" t="s">
        <v>735</v>
      </c>
      <c r="I52" s="17" t="s">
        <v>3707</v>
      </c>
      <c r="J52" s="16"/>
      <c r="K52" s="16" t="str">
        <f t="shared" si="0"/>
        <v>ไม่ผ่าน</v>
      </c>
      <c r="L52" s="16" t="s">
        <v>28</v>
      </c>
    </row>
    <row r="53" spans="1:12" ht="18" customHeight="1">
      <c r="A53" s="16">
        <v>51</v>
      </c>
      <c r="B53" s="17">
        <v>6412798116</v>
      </c>
      <c r="C53" s="17" t="s">
        <v>29</v>
      </c>
      <c r="D53" s="17" t="s">
        <v>1118</v>
      </c>
      <c r="E53" s="17" t="s">
        <v>1119</v>
      </c>
      <c r="F53" s="17" t="s">
        <v>1120</v>
      </c>
      <c r="G53" s="17" t="s">
        <v>999</v>
      </c>
      <c r="H53" s="17" t="s">
        <v>735</v>
      </c>
      <c r="I53" s="17" t="s">
        <v>3707</v>
      </c>
      <c r="J53" s="16"/>
      <c r="K53" s="16" t="str">
        <f t="shared" si="0"/>
        <v>ไม่ผ่าน</v>
      </c>
      <c r="L53" s="16" t="s">
        <v>28</v>
      </c>
    </row>
    <row r="54" spans="1:12" ht="18" customHeight="1">
      <c r="A54" s="16">
        <v>52</v>
      </c>
      <c r="B54" s="17">
        <v>6412798117</v>
      </c>
      <c r="C54" s="17" t="s">
        <v>29</v>
      </c>
      <c r="D54" s="17" t="s">
        <v>1121</v>
      </c>
      <c r="E54" s="17" t="s">
        <v>470</v>
      </c>
      <c r="F54" s="17" t="s">
        <v>233</v>
      </c>
      <c r="G54" s="17" t="s">
        <v>999</v>
      </c>
      <c r="H54" s="17" t="s">
        <v>735</v>
      </c>
      <c r="I54" s="17" t="s">
        <v>3707</v>
      </c>
      <c r="J54" s="16"/>
      <c r="K54" s="16" t="str">
        <f t="shared" si="0"/>
        <v>ไม่ผ่าน</v>
      </c>
      <c r="L54" s="16" t="s">
        <v>28</v>
      </c>
    </row>
    <row r="55" spans="1:12" ht="18" customHeight="1">
      <c r="A55" s="16">
        <v>53</v>
      </c>
      <c r="B55" s="17">
        <v>6412798118</v>
      </c>
      <c r="C55" s="17" t="s">
        <v>29</v>
      </c>
      <c r="D55" s="17"/>
      <c r="E55" s="17" t="s">
        <v>1122</v>
      </c>
      <c r="F55" s="17" t="s">
        <v>210</v>
      </c>
      <c r="G55" s="17" t="s">
        <v>999</v>
      </c>
      <c r="H55" s="17" t="s">
        <v>735</v>
      </c>
      <c r="I55" s="17" t="s">
        <v>3707</v>
      </c>
      <c r="J55" s="16"/>
      <c r="K55" s="16" t="str">
        <f t="shared" si="0"/>
        <v>ไม่ผ่าน</v>
      </c>
      <c r="L55" s="16" t="s">
        <v>28</v>
      </c>
    </row>
    <row r="56" spans="1:12" ht="18" customHeight="1">
      <c r="A56" s="16">
        <v>54</v>
      </c>
      <c r="B56" s="17">
        <v>6412798123</v>
      </c>
      <c r="C56" s="17" t="s">
        <v>29</v>
      </c>
      <c r="D56" s="17" t="s">
        <v>1099</v>
      </c>
      <c r="E56" s="17" t="s">
        <v>1123</v>
      </c>
      <c r="F56" s="17" t="s">
        <v>78</v>
      </c>
      <c r="G56" s="17" t="s">
        <v>999</v>
      </c>
      <c r="H56" s="17" t="s">
        <v>735</v>
      </c>
      <c r="I56" s="17" t="s">
        <v>3707</v>
      </c>
      <c r="J56" s="16"/>
      <c r="K56" s="16" t="str">
        <f t="shared" si="0"/>
        <v>ไม่ผ่าน</v>
      </c>
      <c r="L56" s="16" t="s">
        <v>28</v>
      </c>
    </row>
    <row r="57" spans="1:12" ht="18" customHeight="1">
      <c r="A57" s="16">
        <v>55</v>
      </c>
      <c r="B57" s="17">
        <v>6412798125</v>
      </c>
      <c r="C57" s="17" t="s">
        <v>29</v>
      </c>
      <c r="D57" s="17" t="s">
        <v>205</v>
      </c>
      <c r="E57" s="17" t="s">
        <v>1124</v>
      </c>
      <c r="F57" s="17" t="s">
        <v>1125</v>
      </c>
      <c r="G57" s="17" t="s">
        <v>999</v>
      </c>
      <c r="H57" s="17" t="s">
        <v>735</v>
      </c>
      <c r="I57" s="17" t="s">
        <v>3707</v>
      </c>
      <c r="J57" s="16"/>
      <c r="K57" s="16" t="str">
        <f t="shared" si="0"/>
        <v>ไม่ผ่าน</v>
      </c>
      <c r="L57" s="16" t="s">
        <v>28</v>
      </c>
    </row>
    <row r="58" spans="1:12" ht="18" customHeight="1">
      <c r="A58" s="16">
        <v>56</v>
      </c>
      <c r="B58" s="17">
        <v>6412798127</v>
      </c>
      <c r="C58" s="17" t="s">
        <v>29</v>
      </c>
      <c r="D58" s="17" t="s">
        <v>1126</v>
      </c>
      <c r="E58" s="17" t="s">
        <v>1127</v>
      </c>
      <c r="F58" s="17" t="s">
        <v>1128</v>
      </c>
      <c r="G58" s="17" t="s">
        <v>999</v>
      </c>
      <c r="H58" s="17" t="s">
        <v>735</v>
      </c>
      <c r="I58" s="17" t="s">
        <v>3707</v>
      </c>
      <c r="J58" s="16"/>
      <c r="K58" s="16" t="str">
        <f t="shared" si="0"/>
        <v>ไม่ผ่าน</v>
      </c>
      <c r="L58" s="16" t="s">
        <v>28</v>
      </c>
    </row>
    <row r="59" spans="1:12" ht="18" customHeight="1">
      <c r="A59" s="16">
        <v>57</v>
      </c>
      <c r="B59" s="17">
        <v>6412798131</v>
      </c>
      <c r="C59" s="17" t="s">
        <v>29</v>
      </c>
      <c r="D59" s="17" t="s">
        <v>252</v>
      </c>
      <c r="E59" s="17" t="s">
        <v>1129</v>
      </c>
      <c r="F59" s="17" t="s">
        <v>1130</v>
      </c>
      <c r="G59" s="17" t="s">
        <v>999</v>
      </c>
      <c r="H59" s="17" t="s">
        <v>735</v>
      </c>
      <c r="I59" s="17" t="s">
        <v>3707</v>
      </c>
      <c r="J59" s="16"/>
      <c r="K59" s="16" t="str">
        <f t="shared" si="0"/>
        <v>ไม่ผ่าน</v>
      </c>
      <c r="L59" s="16" t="s">
        <v>28</v>
      </c>
    </row>
    <row r="60" spans="1:12" ht="18" customHeight="1">
      <c r="A60" s="16">
        <v>58</v>
      </c>
      <c r="B60" s="17">
        <v>6312798105</v>
      </c>
      <c r="C60" s="17" t="s">
        <v>29</v>
      </c>
      <c r="D60" s="17" t="s">
        <v>314</v>
      </c>
      <c r="E60" s="17" t="s">
        <v>1131</v>
      </c>
      <c r="F60" s="17" t="s">
        <v>1132</v>
      </c>
      <c r="G60" s="17" t="s">
        <v>999</v>
      </c>
      <c r="H60" s="17" t="s">
        <v>735</v>
      </c>
      <c r="I60" s="17" t="s">
        <v>3708</v>
      </c>
      <c r="J60" s="16"/>
      <c r="K60" s="16" t="str">
        <f t="shared" si="0"/>
        <v>ไม่ผ่าน</v>
      </c>
      <c r="L60" s="16" t="s">
        <v>28</v>
      </c>
    </row>
    <row r="61" spans="1:12" ht="18" customHeight="1">
      <c r="A61" s="16">
        <v>59</v>
      </c>
      <c r="B61" s="17">
        <v>6312798206</v>
      </c>
      <c r="C61" s="17" t="s">
        <v>29</v>
      </c>
      <c r="D61" s="17" t="s">
        <v>444</v>
      </c>
      <c r="E61" s="17" t="s">
        <v>1133</v>
      </c>
      <c r="F61" s="17" t="s">
        <v>362</v>
      </c>
      <c r="G61" s="17" t="s">
        <v>999</v>
      </c>
      <c r="H61" s="17" t="s">
        <v>735</v>
      </c>
      <c r="I61" s="17" t="s">
        <v>3708</v>
      </c>
      <c r="J61" s="16"/>
      <c r="K61" s="16" t="str">
        <f t="shared" si="0"/>
        <v>ไม่ผ่าน</v>
      </c>
      <c r="L61" s="16" t="s">
        <v>28</v>
      </c>
    </row>
    <row r="62" spans="1:12" ht="18" customHeight="1">
      <c r="A62" s="16">
        <v>60</v>
      </c>
      <c r="B62" s="17">
        <v>6312798208</v>
      </c>
      <c r="C62" s="17" t="s">
        <v>29</v>
      </c>
      <c r="D62" s="17" t="s">
        <v>1134</v>
      </c>
      <c r="E62" s="17" t="s">
        <v>440</v>
      </c>
      <c r="F62" s="17" t="s">
        <v>32</v>
      </c>
      <c r="G62" s="17" t="s">
        <v>999</v>
      </c>
      <c r="H62" s="17" t="s">
        <v>735</v>
      </c>
      <c r="I62" s="17" t="s">
        <v>3708</v>
      </c>
      <c r="J62" s="16"/>
      <c r="K62" s="16" t="str">
        <f t="shared" si="0"/>
        <v>ไม่ผ่าน</v>
      </c>
      <c r="L62" s="16" t="s">
        <v>28</v>
      </c>
    </row>
    <row r="63" spans="1:12" ht="18" customHeight="1">
      <c r="A63" s="16">
        <v>61</v>
      </c>
      <c r="B63" s="17">
        <v>6312798209</v>
      </c>
      <c r="C63" s="17" t="s">
        <v>29</v>
      </c>
      <c r="D63" s="17" t="s">
        <v>1135</v>
      </c>
      <c r="E63" s="17" t="s">
        <v>1136</v>
      </c>
      <c r="F63" s="17" t="s">
        <v>869</v>
      </c>
      <c r="G63" s="17" t="s">
        <v>999</v>
      </c>
      <c r="H63" s="17" t="s">
        <v>735</v>
      </c>
      <c r="I63" s="17" t="s">
        <v>3708</v>
      </c>
      <c r="J63" s="16"/>
      <c r="K63" s="16" t="str">
        <f t="shared" si="0"/>
        <v>ไม่ผ่าน</v>
      </c>
      <c r="L63" s="16" t="s">
        <v>28</v>
      </c>
    </row>
    <row r="64" spans="1:12" ht="18" customHeight="1">
      <c r="A64" s="16">
        <v>62</v>
      </c>
      <c r="B64" s="17">
        <v>6312798213</v>
      </c>
      <c r="C64" s="17" t="s">
        <v>29</v>
      </c>
      <c r="D64" s="17" t="s">
        <v>1137</v>
      </c>
      <c r="E64" s="17" t="s">
        <v>1138</v>
      </c>
      <c r="F64" s="17" t="s">
        <v>193</v>
      </c>
      <c r="G64" s="17" t="s">
        <v>999</v>
      </c>
      <c r="H64" s="17" t="s">
        <v>735</v>
      </c>
      <c r="I64" s="17" t="s">
        <v>3708</v>
      </c>
      <c r="J64" s="16"/>
      <c r="K64" s="16" t="str">
        <f t="shared" si="0"/>
        <v>ไม่ผ่าน</v>
      </c>
      <c r="L64" s="16" t="s">
        <v>28</v>
      </c>
    </row>
    <row r="65" spans="1:12" ht="18" customHeight="1">
      <c r="A65" s="16">
        <v>63</v>
      </c>
      <c r="B65" s="17">
        <v>6312898207</v>
      </c>
      <c r="C65" s="17" t="s">
        <v>29</v>
      </c>
      <c r="D65" s="17" t="s">
        <v>557</v>
      </c>
      <c r="E65" s="17" t="s">
        <v>1139</v>
      </c>
      <c r="F65" s="17" t="s">
        <v>401</v>
      </c>
      <c r="G65" s="17" t="s">
        <v>999</v>
      </c>
      <c r="H65" s="17" t="s">
        <v>735</v>
      </c>
      <c r="I65" s="17" t="s">
        <v>3708</v>
      </c>
      <c r="J65" s="16"/>
      <c r="K65" s="16" t="str">
        <f t="shared" si="0"/>
        <v>ไม่ผ่าน</v>
      </c>
      <c r="L65" s="16" t="s">
        <v>28</v>
      </c>
    </row>
    <row r="66" spans="1:12" ht="18" customHeight="1">
      <c r="A66" s="16">
        <v>64</v>
      </c>
      <c r="B66" s="17">
        <v>6510106101</v>
      </c>
      <c r="C66" s="17" t="s">
        <v>22</v>
      </c>
      <c r="D66" s="17" t="s">
        <v>1140</v>
      </c>
      <c r="E66" s="17" t="s">
        <v>1141</v>
      </c>
      <c r="F66" s="17" t="s">
        <v>1142</v>
      </c>
      <c r="G66" s="17" t="s">
        <v>999</v>
      </c>
      <c r="H66" s="17" t="s">
        <v>1143</v>
      </c>
      <c r="I66" s="17" t="s">
        <v>3710</v>
      </c>
      <c r="J66" s="16"/>
      <c r="K66" s="16" t="str">
        <f t="shared" si="0"/>
        <v>ไม่ผ่าน</v>
      </c>
      <c r="L66" s="16" t="s">
        <v>28</v>
      </c>
    </row>
    <row r="67" spans="1:12" ht="18" customHeight="1">
      <c r="A67" s="16">
        <v>65</v>
      </c>
      <c r="B67" s="17">
        <v>6510106102</v>
      </c>
      <c r="C67" s="17" t="s">
        <v>22</v>
      </c>
      <c r="D67" s="17" t="s">
        <v>1144</v>
      </c>
      <c r="E67" s="17" t="s">
        <v>1145</v>
      </c>
      <c r="F67" s="17" t="s">
        <v>704</v>
      </c>
      <c r="G67" s="17" t="s">
        <v>999</v>
      </c>
      <c r="H67" s="17" t="s">
        <v>1143</v>
      </c>
      <c r="I67" s="17" t="s">
        <v>3710</v>
      </c>
      <c r="J67" s="16"/>
      <c r="K67" s="16" t="str">
        <f t="shared" si="0"/>
        <v>ไม่ผ่าน</v>
      </c>
      <c r="L67" s="16" t="s">
        <v>28</v>
      </c>
    </row>
    <row r="68" spans="1:12" ht="18" customHeight="1">
      <c r="A68" s="16">
        <v>66</v>
      </c>
      <c r="B68" s="17">
        <v>6510106136</v>
      </c>
      <c r="C68" s="17" t="s">
        <v>29</v>
      </c>
      <c r="D68" s="17" t="s">
        <v>1101</v>
      </c>
      <c r="E68" s="17" t="s">
        <v>1146</v>
      </c>
      <c r="F68" s="17" t="s">
        <v>1147</v>
      </c>
      <c r="G68" s="17" t="s">
        <v>999</v>
      </c>
      <c r="H68" s="17" t="s">
        <v>1143</v>
      </c>
      <c r="I68" s="17" t="s">
        <v>3710</v>
      </c>
      <c r="J68" s="16"/>
      <c r="K68" s="16" t="str">
        <f t="shared" si="0"/>
        <v>ไม่ผ่าน</v>
      </c>
      <c r="L68" s="16" t="s">
        <v>28</v>
      </c>
    </row>
    <row r="69" spans="1:12" ht="18" customHeight="1">
      <c r="A69" s="16">
        <v>67</v>
      </c>
      <c r="B69" s="17">
        <v>6410106107</v>
      </c>
      <c r="C69" s="17" t="s">
        <v>29</v>
      </c>
      <c r="D69" s="17" t="s">
        <v>859</v>
      </c>
      <c r="E69" s="17" t="s">
        <v>1148</v>
      </c>
      <c r="F69" s="17" t="s">
        <v>943</v>
      </c>
      <c r="G69" s="17" t="s">
        <v>999</v>
      </c>
      <c r="H69" s="17" t="s">
        <v>1143</v>
      </c>
      <c r="I69" s="17" t="s">
        <v>3707</v>
      </c>
      <c r="J69" s="16"/>
      <c r="K69" s="16" t="str">
        <f t="shared" si="0"/>
        <v>ไม่ผ่าน</v>
      </c>
      <c r="L69" s="16" t="s">
        <v>28</v>
      </c>
    </row>
    <row r="70" spans="1:12" ht="18" customHeight="1">
      <c r="A70" s="16">
        <v>68</v>
      </c>
      <c r="B70" s="17">
        <v>6410106119</v>
      </c>
      <c r="C70" s="17" t="s">
        <v>29</v>
      </c>
      <c r="D70" s="17" t="s">
        <v>1149</v>
      </c>
      <c r="E70" s="17" t="s">
        <v>1150</v>
      </c>
      <c r="F70" s="17" t="s">
        <v>1151</v>
      </c>
      <c r="G70" s="17" t="s">
        <v>999</v>
      </c>
      <c r="H70" s="17" t="s">
        <v>1143</v>
      </c>
      <c r="I70" s="17" t="s">
        <v>3707</v>
      </c>
      <c r="J70" s="16"/>
      <c r="K70" s="16" t="str">
        <f t="shared" si="0"/>
        <v>ไม่ผ่าน</v>
      </c>
      <c r="L70" s="16" t="s">
        <v>28</v>
      </c>
    </row>
    <row r="71" spans="1:12" ht="18" customHeight="1">
      <c r="A71" s="16">
        <v>69</v>
      </c>
      <c r="B71" s="17">
        <v>6410106121</v>
      </c>
      <c r="C71" s="17" t="s">
        <v>29</v>
      </c>
      <c r="D71" s="17" t="s">
        <v>1152</v>
      </c>
      <c r="E71" s="17" t="s">
        <v>1153</v>
      </c>
      <c r="F71" s="17" t="s">
        <v>1154</v>
      </c>
      <c r="G71" s="17" t="s">
        <v>999</v>
      </c>
      <c r="H71" s="17" t="s">
        <v>1143</v>
      </c>
      <c r="I71" s="17" t="s">
        <v>3707</v>
      </c>
      <c r="J71" s="16"/>
      <c r="K71" s="16" t="str">
        <f t="shared" si="0"/>
        <v>ไม่ผ่าน</v>
      </c>
      <c r="L71" s="16" t="s">
        <v>28</v>
      </c>
    </row>
    <row r="72" spans="1:12" ht="18" customHeight="1">
      <c r="A72" s="16">
        <v>70</v>
      </c>
      <c r="B72" s="17">
        <v>6410106130</v>
      </c>
      <c r="C72" s="17" t="s">
        <v>29</v>
      </c>
      <c r="D72" s="17" t="s">
        <v>378</v>
      </c>
      <c r="E72" s="17" t="s">
        <v>1155</v>
      </c>
      <c r="F72" s="17" t="s">
        <v>115</v>
      </c>
      <c r="G72" s="17" t="s">
        <v>999</v>
      </c>
      <c r="H72" s="17" t="s">
        <v>1143</v>
      </c>
      <c r="I72" s="17" t="s">
        <v>3707</v>
      </c>
      <c r="J72" s="16"/>
      <c r="K72" s="16" t="str">
        <f t="shared" si="0"/>
        <v>ไม่ผ่าน</v>
      </c>
      <c r="L72" s="16" t="s">
        <v>28</v>
      </c>
    </row>
    <row r="73" spans="1:12" ht="18" customHeight="1">
      <c r="A73" s="16">
        <v>71</v>
      </c>
      <c r="B73" s="17">
        <v>6410106213</v>
      </c>
      <c r="C73" s="17" t="s">
        <v>29</v>
      </c>
      <c r="D73" s="17" t="s">
        <v>1156</v>
      </c>
      <c r="E73" s="17" t="s">
        <v>1157</v>
      </c>
      <c r="F73" s="17" t="s">
        <v>157</v>
      </c>
      <c r="G73" s="17" t="s">
        <v>999</v>
      </c>
      <c r="H73" s="17" t="s">
        <v>1143</v>
      </c>
      <c r="I73" s="17" t="s">
        <v>3707</v>
      </c>
      <c r="J73" s="16"/>
      <c r="K73" s="16" t="str">
        <f t="shared" si="0"/>
        <v>ไม่ผ่าน</v>
      </c>
      <c r="L73" s="16" t="s">
        <v>28</v>
      </c>
    </row>
    <row r="74" spans="1:12" ht="18" customHeight="1">
      <c r="A74" s="16">
        <v>72</v>
      </c>
      <c r="B74" s="17">
        <v>6410106218</v>
      </c>
      <c r="C74" s="17" t="s">
        <v>29</v>
      </c>
      <c r="D74" s="17" t="s">
        <v>557</v>
      </c>
      <c r="E74" s="17" t="s">
        <v>1158</v>
      </c>
      <c r="F74" s="17" t="s">
        <v>1115</v>
      </c>
      <c r="G74" s="17" t="s">
        <v>999</v>
      </c>
      <c r="H74" s="17" t="s">
        <v>1143</v>
      </c>
      <c r="I74" s="17" t="s">
        <v>3707</v>
      </c>
      <c r="J74" s="16"/>
      <c r="K74" s="16" t="str">
        <f t="shared" si="0"/>
        <v>ไม่ผ่าน</v>
      </c>
      <c r="L74" s="16" t="s">
        <v>28</v>
      </c>
    </row>
    <row r="75" spans="1:12" ht="18" customHeight="1">
      <c r="A75" s="16">
        <v>73</v>
      </c>
      <c r="B75" s="17">
        <v>6410106225</v>
      </c>
      <c r="C75" s="17" t="s">
        <v>29</v>
      </c>
      <c r="D75" s="17" t="s">
        <v>324</v>
      </c>
      <c r="E75" s="17" t="s">
        <v>1159</v>
      </c>
      <c r="F75" s="17" t="s">
        <v>324</v>
      </c>
      <c r="G75" s="17" t="s">
        <v>999</v>
      </c>
      <c r="H75" s="17" t="s">
        <v>1143</v>
      </c>
      <c r="I75" s="17" t="s">
        <v>3707</v>
      </c>
      <c r="J75" s="16"/>
      <c r="K75" s="16" t="str">
        <f t="shared" si="0"/>
        <v>ไม่ผ่าน</v>
      </c>
      <c r="L75" s="16" t="s">
        <v>28</v>
      </c>
    </row>
    <row r="76" spans="1:12" ht="18" customHeight="1">
      <c r="A76" s="16">
        <v>74</v>
      </c>
      <c r="B76" s="17">
        <v>6310106105</v>
      </c>
      <c r="C76" s="17" t="s">
        <v>29</v>
      </c>
      <c r="D76" s="17" t="s">
        <v>469</v>
      </c>
      <c r="E76" s="17" t="s">
        <v>1160</v>
      </c>
      <c r="F76" s="17" t="s">
        <v>356</v>
      </c>
      <c r="G76" s="17" t="s">
        <v>999</v>
      </c>
      <c r="H76" s="17" t="s">
        <v>1143</v>
      </c>
      <c r="I76" s="17" t="s">
        <v>3708</v>
      </c>
      <c r="J76" s="16"/>
      <c r="K76" s="16" t="str">
        <f t="shared" si="0"/>
        <v>ไม่ผ่าน</v>
      </c>
      <c r="L76" s="16" t="s">
        <v>28</v>
      </c>
    </row>
    <row r="77" spans="1:12" ht="18" customHeight="1">
      <c r="A77" s="16">
        <v>75</v>
      </c>
      <c r="B77" s="17">
        <v>6310106114</v>
      </c>
      <c r="C77" s="17" t="s">
        <v>29</v>
      </c>
      <c r="D77" s="17" t="s">
        <v>1161</v>
      </c>
      <c r="E77" s="17" t="s">
        <v>1162</v>
      </c>
      <c r="F77" s="17" t="s">
        <v>130</v>
      </c>
      <c r="G77" s="17" t="s">
        <v>999</v>
      </c>
      <c r="H77" s="17" t="s">
        <v>1143</v>
      </c>
      <c r="I77" s="17" t="s">
        <v>3708</v>
      </c>
      <c r="J77" s="16"/>
      <c r="K77" s="16" t="str">
        <f t="shared" si="0"/>
        <v>ไม่ผ่าน</v>
      </c>
      <c r="L77" s="16" t="s">
        <v>28</v>
      </c>
    </row>
    <row r="78" spans="1:12" ht="18" customHeight="1">
      <c r="A78" s="16">
        <v>76</v>
      </c>
      <c r="B78" s="17">
        <v>6310106202</v>
      </c>
      <c r="C78" s="17" t="s">
        <v>22</v>
      </c>
      <c r="D78" s="17" t="s">
        <v>845</v>
      </c>
      <c r="E78" s="17" t="s">
        <v>1163</v>
      </c>
      <c r="F78" s="17" t="s">
        <v>1164</v>
      </c>
      <c r="G78" s="17" t="s">
        <v>999</v>
      </c>
      <c r="H78" s="17" t="s">
        <v>1143</v>
      </c>
      <c r="I78" s="17" t="s">
        <v>3708</v>
      </c>
      <c r="J78" s="16"/>
      <c r="K78" s="16" t="str">
        <f t="shared" si="0"/>
        <v>ไม่ผ่าน</v>
      </c>
      <c r="L78" s="16" t="s">
        <v>28</v>
      </c>
    </row>
    <row r="79" spans="1:12" ht="18" customHeight="1">
      <c r="A79" s="16">
        <v>77</v>
      </c>
      <c r="B79" s="17">
        <v>6310106214</v>
      </c>
      <c r="C79" s="17" t="s">
        <v>29</v>
      </c>
      <c r="D79" s="17" t="s">
        <v>1165</v>
      </c>
      <c r="E79" s="17" t="s">
        <v>1166</v>
      </c>
      <c r="F79" s="17" t="s">
        <v>453</v>
      </c>
      <c r="G79" s="17" t="s">
        <v>999</v>
      </c>
      <c r="H79" s="17" t="s">
        <v>1143</v>
      </c>
      <c r="I79" s="17" t="s">
        <v>3708</v>
      </c>
      <c r="J79" s="16"/>
      <c r="K79" s="16" t="str">
        <f t="shared" si="0"/>
        <v>ไม่ผ่าน</v>
      </c>
      <c r="L79" s="16" t="s">
        <v>28</v>
      </c>
    </row>
    <row r="80" spans="1:12" ht="18" customHeight="1">
      <c r="A80" s="16">
        <v>78</v>
      </c>
      <c r="B80" s="17">
        <v>6310106203</v>
      </c>
      <c r="C80" s="17" t="s">
        <v>29</v>
      </c>
      <c r="D80" s="17" t="s">
        <v>1167</v>
      </c>
      <c r="E80" s="17" t="s">
        <v>724</v>
      </c>
      <c r="F80" s="17" t="s">
        <v>1168</v>
      </c>
      <c r="G80" s="17" t="s">
        <v>999</v>
      </c>
      <c r="H80" s="17" t="s">
        <v>1169</v>
      </c>
      <c r="I80" s="17" t="s">
        <v>3708</v>
      </c>
      <c r="J80" s="16"/>
      <c r="K80" s="16" t="str">
        <f t="shared" si="0"/>
        <v>ไม่ผ่าน</v>
      </c>
      <c r="L80" s="16" t="s">
        <v>28</v>
      </c>
    </row>
    <row r="81" spans="1:12" ht="18" customHeight="1">
      <c r="A81" s="16">
        <v>79</v>
      </c>
      <c r="B81" s="17">
        <v>6312743106</v>
      </c>
      <c r="C81" s="17" t="s">
        <v>29</v>
      </c>
      <c r="D81" s="17" t="s">
        <v>1170</v>
      </c>
      <c r="E81" s="17" t="s">
        <v>1171</v>
      </c>
      <c r="F81" s="17" t="s">
        <v>1172</v>
      </c>
      <c r="G81" s="17" t="s">
        <v>999</v>
      </c>
      <c r="H81" s="17" t="s">
        <v>761</v>
      </c>
      <c r="I81" s="17" t="s">
        <v>3708</v>
      </c>
      <c r="J81" s="16"/>
      <c r="K81" s="16" t="str">
        <f t="shared" si="0"/>
        <v>ไม่ผ่าน</v>
      </c>
      <c r="L81" s="16" t="s">
        <v>28</v>
      </c>
    </row>
    <row r="82" spans="1:12" ht="18" customHeight="1">
      <c r="A82" s="16">
        <v>80</v>
      </c>
      <c r="B82" s="17">
        <v>6612743113</v>
      </c>
      <c r="C82" s="17" t="s">
        <v>29</v>
      </c>
      <c r="D82" s="17" t="s">
        <v>1173</v>
      </c>
      <c r="E82" s="17" t="s">
        <v>1174</v>
      </c>
      <c r="F82" s="17" t="s">
        <v>332</v>
      </c>
      <c r="G82" s="17" t="s">
        <v>999</v>
      </c>
      <c r="H82" s="17" t="s">
        <v>1175</v>
      </c>
      <c r="I82" s="17" t="s">
        <v>3709</v>
      </c>
      <c r="J82" s="16"/>
      <c r="K82" s="16" t="str">
        <f t="shared" si="0"/>
        <v>ไม่ผ่าน</v>
      </c>
      <c r="L82" s="16" t="s">
        <v>28</v>
      </c>
    </row>
    <row r="83" spans="1:12" ht="18" customHeight="1">
      <c r="A83" s="16">
        <v>81</v>
      </c>
      <c r="B83" s="17">
        <v>6612743120</v>
      </c>
      <c r="C83" s="17" t="s">
        <v>29</v>
      </c>
      <c r="D83" s="17" t="s">
        <v>1176</v>
      </c>
      <c r="E83" s="17" t="s">
        <v>1177</v>
      </c>
      <c r="F83" s="17" t="s">
        <v>59</v>
      </c>
      <c r="G83" s="17" t="s">
        <v>999</v>
      </c>
      <c r="H83" s="17" t="s">
        <v>1175</v>
      </c>
      <c r="I83" s="17" t="s">
        <v>3709</v>
      </c>
      <c r="J83" s="16"/>
      <c r="K83" s="16" t="str">
        <f t="shared" si="0"/>
        <v>ไม่ผ่าน</v>
      </c>
      <c r="L83" s="16" t="s">
        <v>28</v>
      </c>
    </row>
    <row r="84" spans="1:12" ht="18" customHeight="1">
      <c r="A84" s="16">
        <v>82</v>
      </c>
      <c r="B84" s="17">
        <v>6612743212</v>
      </c>
      <c r="C84" s="17" t="s">
        <v>29</v>
      </c>
      <c r="D84" s="17" t="s">
        <v>1028</v>
      </c>
      <c r="E84" s="17" t="s">
        <v>1178</v>
      </c>
      <c r="F84" s="17" t="s">
        <v>594</v>
      </c>
      <c r="G84" s="17" t="s">
        <v>999</v>
      </c>
      <c r="H84" s="17" t="s">
        <v>1175</v>
      </c>
      <c r="I84" s="17" t="s">
        <v>3709</v>
      </c>
      <c r="J84" s="16"/>
      <c r="K84" s="16" t="str">
        <f t="shared" si="0"/>
        <v>ไม่ผ่าน</v>
      </c>
      <c r="L84" s="16" t="s">
        <v>28</v>
      </c>
    </row>
    <row r="85" spans="1:12" ht="18" customHeight="1">
      <c r="A85" s="16">
        <v>83</v>
      </c>
      <c r="B85" s="17">
        <v>6612743223</v>
      </c>
      <c r="C85" s="17" t="s">
        <v>29</v>
      </c>
      <c r="D85" s="17" t="s">
        <v>1179</v>
      </c>
      <c r="E85" s="17" t="s">
        <v>1180</v>
      </c>
      <c r="F85" s="17" t="s">
        <v>507</v>
      </c>
      <c r="G85" s="17" t="s">
        <v>999</v>
      </c>
      <c r="H85" s="17" t="s">
        <v>1175</v>
      </c>
      <c r="I85" s="17" t="s">
        <v>3709</v>
      </c>
      <c r="J85" s="16"/>
      <c r="K85" s="16" t="str">
        <f t="shared" si="0"/>
        <v>ไม่ผ่าน</v>
      </c>
      <c r="L85" s="16" t="s">
        <v>28</v>
      </c>
    </row>
    <row r="86" spans="1:12" ht="18" customHeight="1">
      <c r="A86" s="16">
        <v>84</v>
      </c>
      <c r="B86" s="17">
        <v>6412743109</v>
      </c>
      <c r="C86" s="17" t="s">
        <v>22</v>
      </c>
      <c r="D86" s="17" t="s">
        <v>1181</v>
      </c>
      <c r="E86" s="17"/>
      <c r="F86" s="17" t="s">
        <v>1182</v>
      </c>
      <c r="G86" s="17" t="s">
        <v>999</v>
      </c>
      <c r="H86" s="17" t="s">
        <v>1175</v>
      </c>
      <c r="I86" s="17" t="s">
        <v>3710</v>
      </c>
      <c r="J86" s="16"/>
      <c r="K86" s="16" t="str">
        <f t="shared" si="0"/>
        <v>ไม่ผ่าน</v>
      </c>
      <c r="L86" s="16" t="s">
        <v>28</v>
      </c>
    </row>
    <row r="87" spans="1:12" ht="18" customHeight="1">
      <c r="A87" s="16">
        <v>85</v>
      </c>
      <c r="B87" s="22">
        <v>6512743110</v>
      </c>
      <c r="C87" s="22" t="s">
        <v>22</v>
      </c>
      <c r="D87" s="22" t="s">
        <v>1183</v>
      </c>
      <c r="E87" s="17" t="s">
        <v>1184</v>
      </c>
      <c r="F87" s="22" t="s">
        <v>588</v>
      </c>
      <c r="G87" s="22" t="s">
        <v>999</v>
      </c>
      <c r="H87" s="22" t="s">
        <v>1175</v>
      </c>
      <c r="I87" s="22" t="s">
        <v>3710</v>
      </c>
      <c r="J87" s="16"/>
      <c r="K87" s="16" t="str">
        <f t="shared" si="0"/>
        <v>ไม่ผ่าน</v>
      </c>
      <c r="L87" s="16" t="s">
        <v>28</v>
      </c>
    </row>
    <row r="88" spans="1:12" ht="18" customHeight="1">
      <c r="A88" s="16">
        <v>86</v>
      </c>
      <c r="B88" s="17">
        <v>6512743124</v>
      </c>
      <c r="C88" s="17" t="s">
        <v>29</v>
      </c>
      <c r="D88" s="17" t="s">
        <v>1185</v>
      </c>
      <c r="E88" s="17" t="s">
        <v>1186</v>
      </c>
      <c r="F88" s="17" t="s">
        <v>1187</v>
      </c>
      <c r="G88" s="17" t="s">
        <v>999</v>
      </c>
      <c r="H88" s="17" t="s">
        <v>1175</v>
      </c>
      <c r="I88" s="17" t="s">
        <v>3710</v>
      </c>
      <c r="J88" s="16"/>
      <c r="K88" s="16" t="str">
        <f t="shared" si="0"/>
        <v>ไม่ผ่าน</v>
      </c>
      <c r="L88" s="16" t="s">
        <v>28</v>
      </c>
    </row>
    <row r="89" spans="1:12" ht="18" customHeight="1">
      <c r="A89" s="16">
        <v>87</v>
      </c>
      <c r="B89" s="17">
        <v>6512743215</v>
      </c>
      <c r="C89" s="17" t="s">
        <v>29</v>
      </c>
      <c r="D89" s="17" t="s">
        <v>1188</v>
      </c>
      <c r="E89" s="17" t="s">
        <v>1189</v>
      </c>
      <c r="F89" s="17" t="s">
        <v>216</v>
      </c>
      <c r="G89" s="17" t="s">
        <v>999</v>
      </c>
      <c r="H89" s="17" t="s">
        <v>1175</v>
      </c>
      <c r="I89" s="17" t="s">
        <v>3710</v>
      </c>
      <c r="J89" s="16"/>
      <c r="K89" s="16" t="str">
        <f t="shared" si="0"/>
        <v>ไม่ผ่าน</v>
      </c>
      <c r="L89" s="16" t="s">
        <v>28</v>
      </c>
    </row>
    <row r="90" spans="1:12" ht="18" customHeight="1">
      <c r="A90" s="16">
        <v>88</v>
      </c>
      <c r="B90" s="17">
        <v>6512743224</v>
      </c>
      <c r="C90" s="17" t="s">
        <v>29</v>
      </c>
      <c r="D90" s="17" t="s">
        <v>1190</v>
      </c>
      <c r="E90" s="17" t="s">
        <v>1191</v>
      </c>
      <c r="F90" s="17" t="s">
        <v>1192</v>
      </c>
      <c r="G90" s="17" t="s">
        <v>999</v>
      </c>
      <c r="H90" s="17" t="s">
        <v>1175</v>
      </c>
      <c r="I90" s="17" t="s">
        <v>3710</v>
      </c>
      <c r="J90" s="16"/>
      <c r="K90" s="16" t="str">
        <f t="shared" si="0"/>
        <v>ไม่ผ่าน</v>
      </c>
      <c r="L90" s="16" t="s">
        <v>28</v>
      </c>
    </row>
    <row r="91" spans="1:12" ht="18" customHeight="1">
      <c r="A91" s="16">
        <v>89</v>
      </c>
      <c r="B91" s="17">
        <v>6512743226</v>
      </c>
      <c r="C91" s="17" t="s">
        <v>29</v>
      </c>
      <c r="D91" s="17" t="s">
        <v>1126</v>
      </c>
      <c r="E91" s="17" t="s">
        <v>1193</v>
      </c>
      <c r="F91" s="17" t="s">
        <v>784</v>
      </c>
      <c r="G91" s="17" t="s">
        <v>999</v>
      </c>
      <c r="H91" s="17" t="s">
        <v>1175</v>
      </c>
      <c r="I91" s="17" t="s">
        <v>3710</v>
      </c>
      <c r="J91" s="16"/>
      <c r="K91" s="16" t="str">
        <f t="shared" si="0"/>
        <v>ไม่ผ่าน</v>
      </c>
      <c r="L91" s="16" t="s">
        <v>28</v>
      </c>
    </row>
    <row r="92" spans="1:12" ht="18" customHeight="1">
      <c r="A92" s="16">
        <v>90</v>
      </c>
      <c r="B92" s="17">
        <v>6412743112</v>
      </c>
      <c r="C92" s="17" t="s">
        <v>29</v>
      </c>
      <c r="D92" s="17" t="s">
        <v>1194</v>
      </c>
      <c r="E92" s="17" t="s">
        <v>1195</v>
      </c>
      <c r="F92" s="17" t="s">
        <v>1196</v>
      </c>
      <c r="G92" s="17" t="s">
        <v>999</v>
      </c>
      <c r="H92" s="17" t="s">
        <v>1175</v>
      </c>
      <c r="I92" s="17" t="s">
        <v>3707</v>
      </c>
      <c r="J92" s="16"/>
      <c r="K92" s="16" t="str">
        <f t="shared" si="0"/>
        <v>ไม่ผ่าน</v>
      </c>
      <c r="L92" s="16" t="s">
        <v>28</v>
      </c>
    </row>
    <row r="93" spans="1:12" ht="18" customHeight="1">
      <c r="A93" s="16">
        <v>91</v>
      </c>
      <c r="B93" s="17">
        <v>6412743113</v>
      </c>
      <c r="C93" s="17" t="s">
        <v>29</v>
      </c>
      <c r="D93" s="17" t="s">
        <v>1197</v>
      </c>
      <c r="E93" s="17" t="s">
        <v>1198</v>
      </c>
      <c r="F93" s="17" t="s">
        <v>1132</v>
      </c>
      <c r="G93" s="17" t="s">
        <v>999</v>
      </c>
      <c r="H93" s="17" t="s">
        <v>1175</v>
      </c>
      <c r="I93" s="17" t="s">
        <v>3707</v>
      </c>
      <c r="J93" s="16"/>
      <c r="K93" s="16" t="str">
        <f t="shared" si="0"/>
        <v>ไม่ผ่าน</v>
      </c>
      <c r="L93" s="16" t="s">
        <v>28</v>
      </c>
    </row>
    <row r="94" spans="1:12" ht="18" customHeight="1">
      <c r="A94" s="16">
        <v>92</v>
      </c>
      <c r="B94" s="17">
        <v>6412743122</v>
      </c>
      <c r="C94" s="17" t="s">
        <v>29</v>
      </c>
      <c r="D94" s="17" t="s">
        <v>1199</v>
      </c>
      <c r="E94" s="17" t="s">
        <v>1200</v>
      </c>
      <c r="F94" s="17" t="s">
        <v>1201</v>
      </c>
      <c r="G94" s="17" t="s">
        <v>999</v>
      </c>
      <c r="H94" s="17" t="s">
        <v>1175</v>
      </c>
      <c r="I94" s="17" t="s">
        <v>3707</v>
      </c>
      <c r="J94" s="16"/>
      <c r="K94" s="16" t="str">
        <f t="shared" si="0"/>
        <v>ไม่ผ่าน</v>
      </c>
      <c r="L94" s="16" t="s">
        <v>28</v>
      </c>
    </row>
    <row r="95" spans="1:12" ht="18" customHeight="1">
      <c r="A95" s="16">
        <v>93</v>
      </c>
      <c r="B95" s="17">
        <v>6412743126</v>
      </c>
      <c r="C95" s="17" t="s">
        <v>29</v>
      </c>
      <c r="D95" s="17" t="s">
        <v>1202</v>
      </c>
      <c r="E95" s="17" t="s">
        <v>1203</v>
      </c>
      <c r="F95" s="17" t="s">
        <v>1204</v>
      </c>
      <c r="G95" s="17" t="s">
        <v>999</v>
      </c>
      <c r="H95" s="17" t="s">
        <v>1175</v>
      </c>
      <c r="I95" s="17" t="s">
        <v>3707</v>
      </c>
      <c r="J95" s="16"/>
      <c r="K95" s="16" t="str">
        <f t="shared" si="0"/>
        <v>ไม่ผ่าน</v>
      </c>
      <c r="L95" s="16" t="s">
        <v>28</v>
      </c>
    </row>
    <row r="96" spans="1:12" ht="18" customHeight="1">
      <c r="A96" s="16">
        <v>94</v>
      </c>
      <c r="B96" s="17">
        <v>6412743131</v>
      </c>
      <c r="C96" s="17" t="s">
        <v>29</v>
      </c>
      <c r="D96" s="17" t="s">
        <v>1205</v>
      </c>
      <c r="E96" s="17" t="s">
        <v>1206</v>
      </c>
      <c r="F96" s="17" t="s">
        <v>190</v>
      </c>
      <c r="G96" s="17" t="s">
        <v>999</v>
      </c>
      <c r="H96" s="17" t="s">
        <v>1175</v>
      </c>
      <c r="I96" s="17" t="s">
        <v>3707</v>
      </c>
      <c r="J96" s="16"/>
      <c r="K96" s="16" t="str">
        <f t="shared" si="0"/>
        <v>ไม่ผ่าน</v>
      </c>
      <c r="L96" s="16" t="s">
        <v>28</v>
      </c>
    </row>
    <row r="97" spans="1:12" ht="18" customHeight="1">
      <c r="A97" s="16">
        <v>95</v>
      </c>
      <c r="B97" s="17">
        <v>6412743133</v>
      </c>
      <c r="C97" s="17" t="s">
        <v>29</v>
      </c>
      <c r="D97" s="17" t="s">
        <v>1207</v>
      </c>
      <c r="E97" s="17" t="s">
        <v>1208</v>
      </c>
      <c r="F97" s="17" t="s">
        <v>190</v>
      </c>
      <c r="G97" s="17" t="s">
        <v>999</v>
      </c>
      <c r="H97" s="17" t="s">
        <v>1175</v>
      </c>
      <c r="I97" s="17" t="s">
        <v>3707</v>
      </c>
      <c r="J97" s="16"/>
      <c r="K97" s="16" t="str">
        <f t="shared" si="0"/>
        <v>ไม่ผ่าน</v>
      </c>
      <c r="L97" s="16" t="s">
        <v>28</v>
      </c>
    </row>
    <row r="98" spans="1:12" ht="18" customHeight="1">
      <c r="A98" s="16">
        <v>96</v>
      </c>
      <c r="B98" s="17">
        <v>6412743137</v>
      </c>
      <c r="C98" s="17" t="s">
        <v>29</v>
      </c>
      <c r="D98" s="17" t="s">
        <v>1165</v>
      </c>
      <c r="E98" s="17" t="s">
        <v>1209</v>
      </c>
      <c r="F98" s="17" t="s">
        <v>1210</v>
      </c>
      <c r="G98" s="17" t="s">
        <v>999</v>
      </c>
      <c r="H98" s="17" t="s">
        <v>1175</v>
      </c>
      <c r="I98" s="17" t="s">
        <v>3707</v>
      </c>
      <c r="J98" s="16"/>
      <c r="K98" s="16" t="str">
        <f t="shared" si="0"/>
        <v>ไม่ผ่าน</v>
      </c>
      <c r="L98" s="16" t="s">
        <v>28</v>
      </c>
    </row>
    <row r="99" spans="1:12" ht="18" customHeight="1">
      <c r="A99" s="16">
        <v>97</v>
      </c>
      <c r="B99" s="17">
        <v>6412743138</v>
      </c>
      <c r="C99" s="17" t="s">
        <v>29</v>
      </c>
      <c r="D99" s="17" t="s">
        <v>217</v>
      </c>
      <c r="E99" s="17" t="s">
        <v>1211</v>
      </c>
      <c r="F99" s="17" t="s">
        <v>938</v>
      </c>
      <c r="G99" s="17" t="s">
        <v>999</v>
      </c>
      <c r="H99" s="17" t="s">
        <v>1175</v>
      </c>
      <c r="I99" s="17" t="s">
        <v>3707</v>
      </c>
      <c r="J99" s="16"/>
      <c r="K99" s="16" t="str">
        <f t="shared" si="0"/>
        <v>ไม่ผ่าน</v>
      </c>
      <c r="L99" s="16" t="s">
        <v>28</v>
      </c>
    </row>
    <row r="100" spans="1:12" ht="18" customHeight="1">
      <c r="A100" s="16">
        <v>98</v>
      </c>
      <c r="B100" s="17">
        <v>6412743142</v>
      </c>
      <c r="C100" s="17" t="s">
        <v>29</v>
      </c>
      <c r="D100" s="17" t="s">
        <v>1212</v>
      </c>
      <c r="E100" s="17" t="s">
        <v>1213</v>
      </c>
      <c r="F100" s="17" t="s">
        <v>1214</v>
      </c>
      <c r="G100" s="17" t="s">
        <v>999</v>
      </c>
      <c r="H100" s="17" t="s">
        <v>1175</v>
      </c>
      <c r="I100" s="17" t="s">
        <v>3707</v>
      </c>
      <c r="J100" s="16"/>
      <c r="K100" s="16" t="str">
        <f t="shared" si="0"/>
        <v>ไม่ผ่าน</v>
      </c>
      <c r="L100" s="16" t="s">
        <v>28</v>
      </c>
    </row>
    <row r="101" spans="1:12" ht="18" customHeight="1">
      <c r="A101" s="16">
        <v>99</v>
      </c>
      <c r="B101" s="17">
        <v>6412743149</v>
      </c>
      <c r="C101" s="17" t="s">
        <v>29</v>
      </c>
      <c r="D101" s="17" t="s">
        <v>1170</v>
      </c>
      <c r="E101" s="17" t="s">
        <v>1215</v>
      </c>
      <c r="F101" s="17" t="s">
        <v>1216</v>
      </c>
      <c r="G101" s="17" t="s">
        <v>999</v>
      </c>
      <c r="H101" s="17" t="s">
        <v>1175</v>
      </c>
      <c r="I101" s="17" t="s">
        <v>3707</v>
      </c>
      <c r="J101" s="16"/>
      <c r="K101" s="16" t="str">
        <f t="shared" si="0"/>
        <v>ไม่ผ่าน</v>
      </c>
      <c r="L101" s="16" t="s">
        <v>28</v>
      </c>
    </row>
    <row r="102" spans="1:12" ht="18" customHeight="1">
      <c r="A102" s="16">
        <v>100</v>
      </c>
      <c r="B102" s="17">
        <v>6412743150</v>
      </c>
      <c r="C102" s="17" t="s">
        <v>22</v>
      </c>
      <c r="D102" s="17" t="s">
        <v>1217</v>
      </c>
      <c r="E102" s="17" t="s">
        <v>1218</v>
      </c>
      <c r="F102" s="17" t="s">
        <v>1219</v>
      </c>
      <c r="G102" s="17" t="s">
        <v>999</v>
      </c>
      <c r="H102" s="17" t="s">
        <v>1175</v>
      </c>
      <c r="I102" s="17" t="s">
        <v>3707</v>
      </c>
      <c r="J102" s="16"/>
      <c r="K102" s="16" t="str">
        <f t="shared" si="0"/>
        <v>ไม่ผ่าน</v>
      </c>
      <c r="L102" s="16" t="s">
        <v>28</v>
      </c>
    </row>
    <row r="103" spans="1:12" ht="18" customHeight="1">
      <c r="A103" s="16">
        <v>101</v>
      </c>
      <c r="B103" s="17">
        <v>6412743202</v>
      </c>
      <c r="C103" s="17" t="s">
        <v>22</v>
      </c>
      <c r="D103" s="17" t="s">
        <v>1220</v>
      </c>
      <c r="E103" s="17" t="s">
        <v>1221</v>
      </c>
      <c r="F103" s="17" t="s">
        <v>1222</v>
      </c>
      <c r="G103" s="17" t="s">
        <v>999</v>
      </c>
      <c r="H103" s="17" t="s">
        <v>1175</v>
      </c>
      <c r="I103" s="17" t="s">
        <v>3707</v>
      </c>
      <c r="J103" s="16"/>
      <c r="K103" s="16" t="str">
        <f t="shared" si="0"/>
        <v>ไม่ผ่าน</v>
      </c>
      <c r="L103" s="16" t="s">
        <v>28</v>
      </c>
    </row>
    <row r="104" spans="1:12" ht="18" customHeight="1">
      <c r="A104" s="16">
        <v>102</v>
      </c>
      <c r="B104" s="17">
        <v>6412743204</v>
      </c>
      <c r="C104" s="17" t="s">
        <v>22</v>
      </c>
      <c r="D104" s="17" t="s">
        <v>1223</v>
      </c>
      <c r="E104" s="17" t="s">
        <v>1224</v>
      </c>
      <c r="F104" s="17" t="s">
        <v>1225</v>
      </c>
      <c r="G104" s="17" t="s">
        <v>999</v>
      </c>
      <c r="H104" s="17" t="s">
        <v>1175</v>
      </c>
      <c r="I104" s="17" t="s">
        <v>3707</v>
      </c>
      <c r="J104" s="16"/>
      <c r="K104" s="16" t="str">
        <f t="shared" si="0"/>
        <v>ไม่ผ่าน</v>
      </c>
      <c r="L104" s="16" t="s">
        <v>28</v>
      </c>
    </row>
    <row r="105" spans="1:12" ht="18" customHeight="1">
      <c r="A105" s="16">
        <v>103</v>
      </c>
      <c r="B105" s="17">
        <v>6412743206</v>
      </c>
      <c r="C105" s="17" t="s">
        <v>22</v>
      </c>
      <c r="D105" s="17" t="s">
        <v>1226</v>
      </c>
      <c r="E105" s="17" t="s">
        <v>1227</v>
      </c>
      <c r="F105" s="17" t="s">
        <v>1228</v>
      </c>
      <c r="G105" s="17" t="s">
        <v>999</v>
      </c>
      <c r="H105" s="17" t="s">
        <v>1175</v>
      </c>
      <c r="I105" s="17" t="s">
        <v>3707</v>
      </c>
      <c r="J105" s="16"/>
      <c r="K105" s="16" t="str">
        <f t="shared" si="0"/>
        <v>ไม่ผ่าน</v>
      </c>
      <c r="L105" s="16" t="s">
        <v>28</v>
      </c>
    </row>
    <row r="106" spans="1:12" ht="18" customHeight="1">
      <c r="A106" s="16">
        <v>104</v>
      </c>
      <c r="B106" s="17">
        <v>6412743207</v>
      </c>
      <c r="C106" s="17" t="s">
        <v>22</v>
      </c>
      <c r="D106" s="17" t="s">
        <v>1229</v>
      </c>
      <c r="E106" s="17" t="s">
        <v>1230</v>
      </c>
      <c r="F106" s="17" t="s">
        <v>1231</v>
      </c>
      <c r="G106" s="17" t="s">
        <v>999</v>
      </c>
      <c r="H106" s="17" t="s">
        <v>1175</v>
      </c>
      <c r="I106" s="17" t="s">
        <v>3707</v>
      </c>
      <c r="J106" s="16"/>
      <c r="K106" s="16" t="str">
        <f t="shared" si="0"/>
        <v>ไม่ผ่าน</v>
      </c>
      <c r="L106" s="16" t="s">
        <v>28</v>
      </c>
    </row>
    <row r="107" spans="1:12" ht="18" customHeight="1">
      <c r="A107" s="16">
        <v>105</v>
      </c>
      <c r="B107" s="17">
        <v>6412743215</v>
      </c>
      <c r="C107" s="17" t="s">
        <v>29</v>
      </c>
      <c r="D107" s="17" t="s">
        <v>1232</v>
      </c>
      <c r="E107" s="17" t="s">
        <v>1233</v>
      </c>
      <c r="F107" s="17" t="s">
        <v>1234</v>
      </c>
      <c r="G107" s="17" t="s">
        <v>999</v>
      </c>
      <c r="H107" s="17" t="s">
        <v>1175</v>
      </c>
      <c r="I107" s="17" t="s">
        <v>3707</v>
      </c>
      <c r="J107" s="16"/>
      <c r="K107" s="16" t="str">
        <f t="shared" si="0"/>
        <v>ไม่ผ่าน</v>
      </c>
      <c r="L107" s="16" t="s">
        <v>28</v>
      </c>
    </row>
    <row r="108" spans="1:12" ht="18" customHeight="1">
      <c r="A108" s="16">
        <v>106</v>
      </c>
      <c r="B108" s="17">
        <v>6412743220</v>
      </c>
      <c r="C108" s="17" t="s">
        <v>29</v>
      </c>
      <c r="D108" s="17" t="s">
        <v>1235</v>
      </c>
      <c r="E108" s="17" t="s">
        <v>1236</v>
      </c>
      <c r="F108" s="17" t="s">
        <v>507</v>
      </c>
      <c r="G108" s="17" t="s">
        <v>999</v>
      </c>
      <c r="H108" s="17" t="s">
        <v>1175</v>
      </c>
      <c r="I108" s="17" t="s">
        <v>3707</v>
      </c>
      <c r="J108" s="16"/>
      <c r="K108" s="16" t="str">
        <f t="shared" si="0"/>
        <v>ไม่ผ่าน</v>
      </c>
      <c r="L108" s="16" t="s">
        <v>28</v>
      </c>
    </row>
    <row r="109" spans="1:12" ht="18" customHeight="1">
      <c r="A109" s="16">
        <v>107</v>
      </c>
      <c r="B109" s="17">
        <v>6412743226</v>
      </c>
      <c r="C109" s="17" t="s">
        <v>29</v>
      </c>
      <c r="D109" s="17" t="s">
        <v>1237</v>
      </c>
      <c r="E109" s="17" t="s">
        <v>1238</v>
      </c>
      <c r="F109" s="17" t="s">
        <v>924</v>
      </c>
      <c r="G109" s="17" t="s">
        <v>999</v>
      </c>
      <c r="H109" s="17" t="s">
        <v>1175</v>
      </c>
      <c r="I109" s="17" t="s">
        <v>3707</v>
      </c>
      <c r="J109" s="16"/>
      <c r="K109" s="16" t="str">
        <f t="shared" si="0"/>
        <v>ไม่ผ่าน</v>
      </c>
      <c r="L109" s="16" t="s">
        <v>28</v>
      </c>
    </row>
    <row r="110" spans="1:12" ht="18" customHeight="1">
      <c r="A110" s="16">
        <v>108</v>
      </c>
      <c r="B110" s="17">
        <v>6412743228</v>
      </c>
      <c r="C110" s="17" t="s">
        <v>29</v>
      </c>
      <c r="D110" s="17" t="s">
        <v>1239</v>
      </c>
      <c r="E110" s="17" t="s">
        <v>1240</v>
      </c>
      <c r="F110" s="17" t="s">
        <v>949</v>
      </c>
      <c r="G110" s="17" t="s">
        <v>999</v>
      </c>
      <c r="H110" s="17" t="s">
        <v>1175</v>
      </c>
      <c r="I110" s="17" t="s">
        <v>3707</v>
      </c>
      <c r="J110" s="16"/>
      <c r="K110" s="16" t="str">
        <f t="shared" si="0"/>
        <v>ไม่ผ่าน</v>
      </c>
      <c r="L110" s="16" t="s">
        <v>28</v>
      </c>
    </row>
    <row r="111" spans="1:12" ht="18" customHeight="1">
      <c r="A111" s="16">
        <v>109</v>
      </c>
      <c r="B111" s="17">
        <v>6412743229</v>
      </c>
      <c r="C111" s="17" t="s">
        <v>29</v>
      </c>
      <c r="D111" s="17" t="s">
        <v>1241</v>
      </c>
      <c r="E111" s="17" t="s">
        <v>1242</v>
      </c>
      <c r="F111" s="17" t="s">
        <v>1243</v>
      </c>
      <c r="G111" s="17" t="s">
        <v>999</v>
      </c>
      <c r="H111" s="17" t="s">
        <v>1175</v>
      </c>
      <c r="I111" s="17" t="s">
        <v>3707</v>
      </c>
      <c r="J111" s="16"/>
      <c r="K111" s="16" t="str">
        <f t="shared" si="0"/>
        <v>ไม่ผ่าน</v>
      </c>
      <c r="L111" s="16" t="s">
        <v>28</v>
      </c>
    </row>
    <row r="112" spans="1:12" ht="18" customHeight="1">
      <c r="A112" s="16">
        <v>110</v>
      </c>
      <c r="B112" s="17">
        <v>6412743233</v>
      </c>
      <c r="C112" s="17" t="s">
        <v>29</v>
      </c>
      <c r="D112" s="17" t="s">
        <v>1244</v>
      </c>
      <c r="E112" s="17" t="s">
        <v>1245</v>
      </c>
      <c r="F112" s="17" t="s">
        <v>409</v>
      </c>
      <c r="G112" s="17" t="s">
        <v>999</v>
      </c>
      <c r="H112" s="17" t="s">
        <v>1175</v>
      </c>
      <c r="I112" s="17" t="s">
        <v>3707</v>
      </c>
      <c r="J112" s="16"/>
      <c r="K112" s="16" t="str">
        <f t="shared" si="0"/>
        <v>ไม่ผ่าน</v>
      </c>
      <c r="L112" s="16" t="s">
        <v>28</v>
      </c>
    </row>
    <row r="113" spans="1:12" ht="18" customHeight="1">
      <c r="A113" s="16">
        <v>111</v>
      </c>
      <c r="B113" s="17">
        <v>6412743238</v>
      </c>
      <c r="C113" s="17" t="s">
        <v>29</v>
      </c>
      <c r="D113" s="17" t="s">
        <v>1246</v>
      </c>
      <c r="E113" s="17" t="s">
        <v>1247</v>
      </c>
      <c r="F113" s="17" t="s">
        <v>322</v>
      </c>
      <c r="G113" s="17" t="s">
        <v>999</v>
      </c>
      <c r="H113" s="17" t="s">
        <v>1175</v>
      </c>
      <c r="I113" s="17" t="s">
        <v>3707</v>
      </c>
      <c r="J113" s="16"/>
      <c r="K113" s="16" t="str">
        <f t="shared" si="0"/>
        <v>ไม่ผ่าน</v>
      </c>
      <c r="L113" s="16" t="s">
        <v>28</v>
      </c>
    </row>
    <row r="114" spans="1:12" ht="18" customHeight="1">
      <c r="A114" s="16">
        <v>112</v>
      </c>
      <c r="B114" s="17">
        <v>6412743239</v>
      </c>
      <c r="C114" s="17" t="s">
        <v>29</v>
      </c>
      <c r="D114" s="17" t="s">
        <v>1248</v>
      </c>
      <c r="E114" s="17" t="s">
        <v>1249</v>
      </c>
      <c r="F114" s="17" t="s">
        <v>1250</v>
      </c>
      <c r="G114" s="17" t="s">
        <v>999</v>
      </c>
      <c r="H114" s="17" t="s">
        <v>1175</v>
      </c>
      <c r="I114" s="17" t="s">
        <v>3707</v>
      </c>
      <c r="J114" s="16"/>
      <c r="K114" s="16" t="str">
        <f t="shared" si="0"/>
        <v>ไม่ผ่าน</v>
      </c>
      <c r="L114" s="16" t="s">
        <v>28</v>
      </c>
    </row>
    <row r="115" spans="1:12" ht="18" customHeight="1">
      <c r="A115" s="16">
        <v>113</v>
      </c>
      <c r="B115" s="17">
        <v>6412743241</v>
      </c>
      <c r="C115" s="17" t="s">
        <v>29</v>
      </c>
      <c r="D115" s="17" t="s">
        <v>1251</v>
      </c>
      <c r="E115" s="17" t="s">
        <v>500</v>
      </c>
      <c r="F115" s="17" t="s">
        <v>1252</v>
      </c>
      <c r="G115" s="17" t="s">
        <v>999</v>
      </c>
      <c r="H115" s="17" t="s">
        <v>1175</v>
      </c>
      <c r="I115" s="17" t="s">
        <v>3707</v>
      </c>
      <c r="J115" s="16"/>
      <c r="K115" s="16" t="str">
        <f t="shared" si="0"/>
        <v>ไม่ผ่าน</v>
      </c>
      <c r="L115" s="16" t="s">
        <v>28</v>
      </c>
    </row>
    <row r="116" spans="1:12" ht="18" customHeight="1">
      <c r="A116" s="16">
        <v>114</v>
      </c>
      <c r="B116" s="17">
        <v>6412743246</v>
      </c>
      <c r="C116" s="17" t="s">
        <v>29</v>
      </c>
      <c r="D116" s="17" t="s">
        <v>1099</v>
      </c>
      <c r="E116" s="17" t="s">
        <v>1253</v>
      </c>
      <c r="F116" s="17" t="s">
        <v>1254</v>
      </c>
      <c r="G116" s="17" t="s">
        <v>999</v>
      </c>
      <c r="H116" s="17" t="s">
        <v>1175</v>
      </c>
      <c r="I116" s="17" t="s">
        <v>3707</v>
      </c>
      <c r="J116" s="16"/>
      <c r="K116" s="16" t="str">
        <f t="shared" si="0"/>
        <v>ไม่ผ่าน</v>
      </c>
      <c r="L116" s="16" t="s">
        <v>28</v>
      </c>
    </row>
    <row r="117" spans="1:12" ht="18" customHeight="1">
      <c r="A117" s="16">
        <v>115</v>
      </c>
      <c r="B117" s="17">
        <v>6312743207</v>
      </c>
      <c r="C117" s="17" t="s">
        <v>29</v>
      </c>
      <c r="D117" s="17" t="s">
        <v>1255</v>
      </c>
      <c r="E117" s="17" t="s">
        <v>1256</v>
      </c>
      <c r="F117" s="17" t="s">
        <v>1257</v>
      </c>
      <c r="G117" s="17" t="s">
        <v>999</v>
      </c>
      <c r="H117" s="17" t="s">
        <v>1175</v>
      </c>
      <c r="I117" s="17" t="s">
        <v>3708</v>
      </c>
      <c r="J117" s="16"/>
      <c r="K117" s="16" t="str">
        <f t="shared" si="0"/>
        <v>ไม่ผ่าน</v>
      </c>
      <c r="L117" s="16" t="s">
        <v>28</v>
      </c>
    </row>
    <row r="118" spans="1:12" ht="18" customHeight="1">
      <c r="A118" s="16">
        <v>116</v>
      </c>
      <c r="B118" s="17">
        <v>6312743214</v>
      </c>
      <c r="C118" s="17" t="s">
        <v>29</v>
      </c>
      <c r="D118" s="17" t="s">
        <v>1258</v>
      </c>
      <c r="E118" s="17" t="s">
        <v>1259</v>
      </c>
      <c r="F118" s="17" t="s">
        <v>1260</v>
      </c>
      <c r="G118" s="17" t="s">
        <v>999</v>
      </c>
      <c r="H118" s="17" t="s">
        <v>1175</v>
      </c>
      <c r="I118" s="17" t="s">
        <v>3708</v>
      </c>
      <c r="J118" s="16"/>
      <c r="K118" s="16" t="str">
        <f t="shared" si="0"/>
        <v>ไม่ผ่าน</v>
      </c>
      <c r="L118" s="16" t="s">
        <v>28</v>
      </c>
    </row>
    <row r="119" spans="1:12" ht="18" customHeight="1">
      <c r="A119" s="16">
        <v>117</v>
      </c>
      <c r="B119" s="17">
        <v>6312743215</v>
      </c>
      <c r="C119" s="17" t="s">
        <v>29</v>
      </c>
      <c r="D119" s="17" t="s">
        <v>1261</v>
      </c>
      <c r="E119" s="17" t="s">
        <v>1262</v>
      </c>
      <c r="F119" s="17" t="s">
        <v>816</v>
      </c>
      <c r="G119" s="17" t="s">
        <v>999</v>
      </c>
      <c r="H119" s="17" t="s">
        <v>1175</v>
      </c>
      <c r="I119" s="17" t="s">
        <v>3708</v>
      </c>
      <c r="J119" s="16"/>
      <c r="K119" s="16" t="str">
        <f t="shared" si="0"/>
        <v>ไม่ผ่าน</v>
      </c>
      <c r="L119" s="16" t="s">
        <v>28</v>
      </c>
    </row>
    <row r="120" spans="1:12" ht="18" customHeight="1">
      <c r="A120" s="16">
        <v>118</v>
      </c>
      <c r="B120" s="17">
        <v>6312743223</v>
      </c>
      <c r="C120" s="17" t="s">
        <v>29</v>
      </c>
      <c r="D120" s="17" t="s">
        <v>1263</v>
      </c>
      <c r="E120" s="17" t="s">
        <v>1264</v>
      </c>
      <c r="F120" s="17" t="s">
        <v>946</v>
      </c>
      <c r="G120" s="17" t="s">
        <v>999</v>
      </c>
      <c r="H120" s="17" t="s">
        <v>1175</v>
      </c>
      <c r="I120" s="17" t="s">
        <v>3708</v>
      </c>
      <c r="J120" s="16"/>
      <c r="K120" s="16" t="str">
        <f t="shared" si="0"/>
        <v>ไม่ผ่าน</v>
      </c>
      <c r="L120" s="16" t="s">
        <v>28</v>
      </c>
    </row>
    <row r="121" spans="1:12" ht="18" customHeight="1">
      <c r="A121" s="16">
        <v>119</v>
      </c>
      <c r="B121" s="17">
        <v>6312743232</v>
      </c>
      <c r="C121" s="17" t="s">
        <v>29</v>
      </c>
      <c r="D121" s="17" t="s">
        <v>1265</v>
      </c>
      <c r="E121" s="17" t="s">
        <v>1266</v>
      </c>
      <c r="F121" s="17" t="s">
        <v>1267</v>
      </c>
      <c r="G121" s="17" t="s">
        <v>999</v>
      </c>
      <c r="H121" s="17" t="s">
        <v>1175</v>
      </c>
      <c r="I121" s="17" t="s">
        <v>3708</v>
      </c>
      <c r="J121" s="16"/>
      <c r="K121" s="16" t="str">
        <f t="shared" si="0"/>
        <v>ไม่ผ่าน</v>
      </c>
      <c r="L121" s="16" t="s">
        <v>28</v>
      </c>
    </row>
    <row r="122" spans="1:12" ht="18" customHeight="1">
      <c r="A122" s="16">
        <v>120</v>
      </c>
      <c r="B122" s="17">
        <v>6312743237</v>
      </c>
      <c r="C122" s="17" t="s">
        <v>29</v>
      </c>
      <c r="D122" s="17" t="s">
        <v>508</v>
      </c>
      <c r="E122" s="17" t="s">
        <v>1268</v>
      </c>
      <c r="F122" s="17" t="s">
        <v>489</v>
      </c>
      <c r="G122" s="17" t="s">
        <v>999</v>
      </c>
      <c r="H122" s="17" t="s">
        <v>1175</v>
      </c>
      <c r="I122" s="17" t="s">
        <v>3708</v>
      </c>
      <c r="J122" s="16"/>
      <c r="K122" s="16" t="str">
        <f t="shared" si="0"/>
        <v>ไม่ผ่าน</v>
      </c>
      <c r="L122" s="16" t="s">
        <v>28</v>
      </c>
    </row>
    <row r="123" spans="1:12" ht="18" customHeight="1">
      <c r="A123" s="16">
        <v>121</v>
      </c>
      <c r="B123" s="17">
        <v>6312743239</v>
      </c>
      <c r="C123" s="17" t="s">
        <v>29</v>
      </c>
      <c r="D123" s="17" t="s">
        <v>1269</v>
      </c>
      <c r="E123" s="17" t="s">
        <v>1048</v>
      </c>
      <c r="F123" s="17" t="s">
        <v>406</v>
      </c>
      <c r="G123" s="17" t="s">
        <v>999</v>
      </c>
      <c r="H123" s="17" t="s">
        <v>1175</v>
      </c>
      <c r="I123" s="17" t="s">
        <v>3708</v>
      </c>
      <c r="J123" s="16"/>
      <c r="K123" s="16" t="str">
        <f t="shared" si="0"/>
        <v>ไม่ผ่าน</v>
      </c>
      <c r="L123" s="16" t="s">
        <v>28</v>
      </c>
    </row>
    <row r="124" spans="1:12" ht="18" customHeight="1">
      <c r="A124" s="16">
        <v>122</v>
      </c>
      <c r="B124" s="17">
        <v>6610083114</v>
      </c>
      <c r="C124" s="17" t="s">
        <v>29</v>
      </c>
      <c r="D124" s="17" t="s">
        <v>1270</v>
      </c>
      <c r="E124" s="17" t="s">
        <v>1271</v>
      </c>
      <c r="F124" s="17" t="s">
        <v>1272</v>
      </c>
      <c r="G124" s="17" t="s">
        <v>999</v>
      </c>
      <c r="H124" s="17" t="s">
        <v>1273</v>
      </c>
      <c r="I124" s="17" t="s">
        <v>3709</v>
      </c>
      <c r="J124" s="16"/>
      <c r="K124" s="16" t="str">
        <f t="shared" si="0"/>
        <v>ไม่ผ่าน</v>
      </c>
      <c r="L124" s="16" t="s">
        <v>28</v>
      </c>
    </row>
    <row r="125" spans="1:12" ht="18" customHeight="1">
      <c r="A125" s="16">
        <v>123</v>
      </c>
      <c r="B125" s="17">
        <v>6510083108</v>
      </c>
      <c r="C125" s="17" t="s">
        <v>29</v>
      </c>
      <c r="D125" s="17" t="s">
        <v>1274</v>
      </c>
      <c r="E125" s="17" t="s">
        <v>1275</v>
      </c>
      <c r="F125" s="17" t="s">
        <v>401</v>
      </c>
      <c r="G125" s="17" t="s">
        <v>999</v>
      </c>
      <c r="H125" s="17" t="s">
        <v>1273</v>
      </c>
      <c r="I125" s="17" t="s">
        <v>3710</v>
      </c>
      <c r="J125" s="16"/>
      <c r="K125" s="16" t="str">
        <f t="shared" si="0"/>
        <v>ไม่ผ่าน</v>
      </c>
      <c r="L125" s="16" t="s">
        <v>28</v>
      </c>
    </row>
    <row r="126" spans="1:12" ht="18" customHeight="1">
      <c r="A126" s="16">
        <v>124</v>
      </c>
      <c r="B126" s="17">
        <v>6510083109</v>
      </c>
      <c r="C126" s="17" t="s">
        <v>599</v>
      </c>
      <c r="D126" s="17" t="s">
        <v>1276</v>
      </c>
      <c r="E126" s="17" t="s">
        <v>1277</v>
      </c>
      <c r="F126" s="17" t="s">
        <v>1278</v>
      </c>
      <c r="G126" s="17" t="s">
        <v>999</v>
      </c>
      <c r="H126" s="17" t="s">
        <v>1273</v>
      </c>
      <c r="I126" s="17" t="s">
        <v>3710</v>
      </c>
      <c r="J126" s="16"/>
      <c r="K126" s="16" t="str">
        <f t="shared" si="0"/>
        <v>ไม่ผ่าน</v>
      </c>
      <c r="L126" s="16" t="s">
        <v>28</v>
      </c>
    </row>
    <row r="127" spans="1:12" ht="18" customHeight="1">
      <c r="A127" s="16">
        <v>125</v>
      </c>
      <c r="B127" s="17">
        <v>6410083101</v>
      </c>
      <c r="C127" s="17" t="s">
        <v>22</v>
      </c>
      <c r="D127" s="17" t="s">
        <v>1279</v>
      </c>
      <c r="E127" s="17" t="s">
        <v>1280</v>
      </c>
      <c r="F127" s="17" t="s">
        <v>1281</v>
      </c>
      <c r="G127" s="17" t="s">
        <v>999</v>
      </c>
      <c r="H127" s="17" t="s">
        <v>1273</v>
      </c>
      <c r="I127" s="17" t="s">
        <v>3707</v>
      </c>
      <c r="J127" s="16"/>
      <c r="K127" s="16" t="str">
        <f t="shared" si="0"/>
        <v>ไม่ผ่าน</v>
      </c>
      <c r="L127" s="16" t="s">
        <v>28</v>
      </c>
    </row>
    <row r="128" spans="1:12" ht="18" customHeight="1">
      <c r="A128" s="16">
        <v>126</v>
      </c>
      <c r="B128" s="17">
        <v>6410083103</v>
      </c>
      <c r="C128" s="17" t="s">
        <v>22</v>
      </c>
      <c r="D128" s="17" t="s">
        <v>1282</v>
      </c>
      <c r="E128" s="17" t="s">
        <v>1283</v>
      </c>
      <c r="F128" s="17" t="s">
        <v>982</v>
      </c>
      <c r="G128" s="17" t="s">
        <v>999</v>
      </c>
      <c r="H128" s="17" t="s">
        <v>1273</v>
      </c>
      <c r="I128" s="17" t="s">
        <v>3707</v>
      </c>
      <c r="J128" s="16"/>
      <c r="K128" s="16" t="str">
        <f t="shared" si="0"/>
        <v>ไม่ผ่าน</v>
      </c>
      <c r="L128" s="16" t="s">
        <v>28</v>
      </c>
    </row>
    <row r="129" spans="1:12" ht="18" customHeight="1">
      <c r="A129" s="16">
        <v>127</v>
      </c>
      <c r="B129" s="17">
        <v>6410083104</v>
      </c>
      <c r="C129" s="17" t="s">
        <v>22</v>
      </c>
      <c r="D129" s="17" t="s">
        <v>429</v>
      </c>
      <c r="E129" s="17" t="s">
        <v>1284</v>
      </c>
      <c r="F129" s="17" t="s">
        <v>429</v>
      </c>
      <c r="G129" s="17" t="s">
        <v>999</v>
      </c>
      <c r="H129" s="17" t="s">
        <v>1273</v>
      </c>
      <c r="I129" s="17" t="s">
        <v>3707</v>
      </c>
      <c r="J129" s="16"/>
      <c r="K129" s="16" t="str">
        <f t="shared" si="0"/>
        <v>ไม่ผ่าน</v>
      </c>
      <c r="L129" s="16" t="s">
        <v>28</v>
      </c>
    </row>
    <row r="130" spans="1:12" ht="18" customHeight="1">
      <c r="A130" s="16">
        <v>128</v>
      </c>
      <c r="B130" s="17">
        <v>6410083105</v>
      </c>
      <c r="C130" s="17" t="s">
        <v>22</v>
      </c>
      <c r="D130" s="17" t="s">
        <v>1285</v>
      </c>
      <c r="E130" s="17" t="s">
        <v>1286</v>
      </c>
      <c r="F130" s="17" t="s">
        <v>1287</v>
      </c>
      <c r="G130" s="17" t="s">
        <v>999</v>
      </c>
      <c r="H130" s="17" t="s">
        <v>1273</v>
      </c>
      <c r="I130" s="17" t="s">
        <v>3707</v>
      </c>
      <c r="J130" s="16"/>
      <c r="K130" s="16" t="str">
        <f t="shared" si="0"/>
        <v>ไม่ผ่าน</v>
      </c>
      <c r="L130" s="16" t="s">
        <v>28</v>
      </c>
    </row>
    <row r="131" spans="1:12" ht="18" customHeight="1">
      <c r="A131" s="16">
        <v>129</v>
      </c>
      <c r="B131" s="17">
        <v>6410083106</v>
      </c>
      <c r="C131" s="17" t="s">
        <v>22</v>
      </c>
      <c r="D131" s="17" t="s">
        <v>1288</v>
      </c>
      <c r="E131" s="17" t="s">
        <v>1289</v>
      </c>
      <c r="F131" s="17" t="s">
        <v>1290</v>
      </c>
      <c r="G131" s="17" t="s">
        <v>999</v>
      </c>
      <c r="H131" s="17" t="s">
        <v>1273</v>
      </c>
      <c r="I131" s="17" t="s">
        <v>3707</v>
      </c>
      <c r="J131" s="16"/>
      <c r="K131" s="16" t="str">
        <f t="shared" si="0"/>
        <v>ไม่ผ่าน</v>
      </c>
      <c r="L131" s="16" t="s">
        <v>28</v>
      </c>
    </row>
    <row r="132" spans="1:12" ht="18" customHeight="1">
      <c r="A132" s="16">
        <v>130</v>
      </c>
      <c r="B132" s="17">
        <v>6410083108</v>
      </c>
      <c r="C132" s="17" t="s">
        <v>22</v>
      </c>
      <c r="D132" s="17" t="s">
        <v>827</v>
      </c>
      <c r="E132" s="17" t="s">
        <v>1291</v>
      </c>
      <c r="F132" s="17" t="s">
        <v>140</v>
      </c>
      <c r="G132" s="17" t="s">
        <v>999</v>
      </c>
      <c r="H132" s="17" t="s">
        <v>1273</v>
      </c>
      <c r="I132" s="17" t="s">
        <v>3707</v>
      </c>
      <c r="J132" s="16"/>
      <c r="K132" s="16" t="str">
        <f t="shared" si="0"/>
        <v>ไม่ผ่าน</v>
      </c>
      <c r="L132" s="16" t="s">
        <v>28</v>
      </c>
    </row>
    <row r="133" spans="1:12" ht="18" customHeight="1">
      <c r="A133" s="16">
        <v>131</v>
      </c>
      <c r="B133" s="17">
        <v>6410083110</v>
      </c>
      <c r="C133" s="17" t="s">
        <v>29</v>
      </c>
      <c r="D133" s="17" t="s">
        <v>168</v>
      </c>
      <c r="E133" s="17" t="s">
        <v>1292</v>
      </c>
      <c r="F133" s="17" t="s">
        <v>535</v>
      </c>
      <c r="G133" s="17" t="s">
        <v>999</v>
      </c>
      <c r="H133" s="17" t="s">
        <v>1273</v>
      </c>
      <c r="I133" s="17" t="s">
        <v>3707</v>
      </c>
      <c r="J133" s="16"/>
      <c r="K133" s="16" t="str">
        <f t="shared" si="0"/>
        <v>ไม่ผ่าน</v>
      </c>
      <c r="L133" s="16" t="s">
        <v>28</v>
      </c>
    </row>
    <row r="134" spans="1:12" ht="18" customHeight="1">
      <c r="A134" s="16">
        <v>132</v>
      </c>
      <c r="B134" s="17">
        <v>6410083111</v>
      </c>
      <c r="C134" s="17" t="s">
        <v>29</v>
      </c>
      <c r="D134" s="17" t="s">
        <v>1293</v>
      </c>
      <c r="E134" s="17" t="s">
        <v>1294</v>
      </c>
      <c r="F134" s="17" t="s">
        <v>1295</v>
      </c>
      <c r="G134" s="17" t="s">
        <v>999</v>
      </c>
      <c r="H134" s="17" t="s">
        <v>1273</v>
      </c>
      <c r="I134" s="17" t="s">
        <v>3707</v>
      </c>
      <c r="J134" s="16"/>
      <c r="K134" s="16" t="str">
        <f t="shared" si="0"/>
        <v>ไม่ผ่าน</v>
      </c>
      <c r="L134" s="16" t="s">
        <v>28</v>
      </c>
    </row>
    <row r="135" spans="1:12" ht="18" customHeight="1">
      <c r="A135" s="16">
        <v>133</v>
      </c>
      <c r="B135" s="17">
        <v>6410083112</v>
      </c>
      <c r="C135" s="17" t="s">
        <v>29</v>
      </c>
      <c r="D135" s="17" t="s">
        <v>1296</v>
      </c>
      <c r="E135" s="17" t="s">
        <v>1297</v>
      </c>
      <c r="F135" s="17" t="s">
        <v>1078</v>
      </c>
      <c r="G135" s="17" t="s">
        <v>999</v>
      </c>
      <c r="H135" s="17" t="s">
        <v>1273</v>
      </c>
      <c r="I135" s="17" t="s">
        <v>3707</v>
      </c>
      <c r="J135" s="16"/>
      <c r="K135" s="16" t="str">
        <f t="shared" si="0"/>
        <v>ไม่ผ่าน</v>
      </c>
      <c r="L135" s="16" t="s">
        <v>28</v>
      </c>
    </row>
    <row r="136" spans="1:12" ht="18" customHeight="1">
      <c r="A136" s="23"/>
      <c r="H136" s="99" t="s">
        <v>1711</v>
      </c>
      <c r="I136" s="110"/>
      <c r="J136" s="16">
        <f>COUNT(A3:A135)</f>
        <v>133</v>
      </c>
      <c r="K136" s="18" t="s">
        <v>1712</v>
      </c>
      <c r="L136" s="13"/>
    </row>
    <row r="137" spans="1:12" ht="18" customHeight="1">
      <c r="A137" s="23"/>
      <c r="H137" s="100" t="s">
        <v>1713</v>
      </c>
      <c r="I137" s="110"/>
      <c r="J137" s="16"/>
      <c r="K137" s="19" t="s">
        <v>1712</v>
      </c>
      <c r="L137" s="13"/>
    </row>
    <row r="138" spans="1:12" ht="18" customHeight="1">
      <c r="A138" s="23"/>
      <c r="H138" s="101" t="s">
        <v>1714</v>
      </c>
      <c r="I138" s="110"/>
      <c r="J138" s="16"/>
      <c r="K138" s="20" t="s">
        <v>1712</v>
      </c>
      <c r="L138" s="13"/>
    </row>
    <row r="139" spans="1:12" ht="18" customHeight="1">
      <c r="A139" s="23"/>
      <c r="J139" s="14"/>
      <c r="K139" s="14"/>
      <c r="L139" s="13"/>
    </row>
    <row r="140" spans="1:12" ht="18" customHeight="1">
      <c r="A140" s="23"/>
      <c r="J140" s="14"/>
      <c r="K140" s="14"/>
      <c r="L140" s="13"/>
    </row>
    <row r="141" spans="1:12" ht="18" customHeight="1">
      <c r="A141" s="23"/>
      <c r="J141" s="14"/>
      <c r="K141" s="14"/>
      <c r="L141" s="13"/>
    </row>
    <row r="142" spans="1:12" ht="18" customHeight="1">
      <c r="A142" s="23"/>
      <c r="J142" s="14"/>
      <c r="K142" s="14"/>
      <c r="L142" s="13"/>
    </row>
    <row r="143" spans="1:12" ht="18" customHeight="1">
      <c r="A143" s="23"/>
      <c r="J143" s="14"/>
      <c r="K143" s="14"/>
      <c r="L143" s="13"/>
    </row>
    <row r="144" spans="1:12" ht="18" customHeight="1">
      <c r="A144" s="23"/>
      <c r="J144" s="14"/>
      <c r="K144" s="14"/>
      <c r="L144" s="13"/>
    </row>
    <row r="145" spans="1:12" ht="18" customHeight="1">
      <c r="A145" s="23"/>
      <c r="J145" s="14"/>
      <c r="K145" s="14"/>
      <c r="L145" s="13"/>
    </row>
    <row r="146" spans="1:12" ht="18" customHeight="1">
      <c r="A146" s="23"/>
      <c r="J146" s="14"/>
      <c r="K146" s="14"/>
      <c r="L146" s="13"/>
    </row>
    <row r="147" spans="1:12" ht="18" customHeight="1">
      <c r="A147" s="23"/>
      <c r="J147" s="14"/>
      <c r="K147" s="14"/>
      <c r="L147" s="13"/>
    </row>
    <row r="148" spans="1:12" ht="18" customHeight="1">
      <c r="A148" s="23"/>
      <c r="J148" s="14"/>
      <c r="K148" s="14"/>
      <c r="L148" s="13"/>
    </row>
    <row r="149" spans="1:12" ht="18" customHeight="1">
      <c r="A149" s="23"/>
      <c r="J149" s="14"/>
      <c r="K149" s="14"/>
      <c r="L149" s="13"/>
    </row>
    <row r="150" spans="1:12" ht="18" customHeight="1">
      <c r="A150" s="23"/>
      <c r="J150" s="14"/>
      <c r="K150" s="14"/>
      <c r="L150" s="13"/>
    </row>
    <row r="151" spans="1:12" ht="18" customHeight="1">
      <c r="A151" s="23"/>
      <c r="J151" s="14"/>
      <c r="K151" s="14"/>
      <c r="L151" s="13"/>
    </row>
    <row r="152" spans="1:12" ht="18" customHeight="1">
      <c r="A152" s="23"/>
      <c r="J152" s="14"/>
      <c r="K152" s="14"/>
      <c r="L152" s="13"/>
    </row>
    <row r="153" spans="1:12" ht="18" customHeight="1">
      <c r="A153" s="23"/>
      <c r="J153" s="14"/>
      <c r="K153" s="14"/>
      <c r="L153" s="13"/>
    </row>
    <row r="154" spans="1:12" ht="18" customHeight="1">
      <c r="A154" s="23"/>
      <c r="J154" s="14"/>
      <c r="K154" s="14"/>
      <c r="L154" s="13"/>
    </row>
    <row r="155" spans="1:12" ht="18" customHeight="1">
      <c r="A155" s="23"/>
      <c r="J155" s="14"/>
      <c r="K155" s="14"/>
      <c r="L155" s="13"/>
    </row>
    <row r="156" spans="1:12" ht="18" customHeight="1">
      <c r="A156" s="23"/>
      <c r="J156" s="14"/>
      <c r="K156" s="14"/>
      <c r="L156" s="13"/>
    </row>
    <row r="157" spans="1:12" ht="18" customHeight="1">
      <c r="A157" s="23"/>
      <c r="J157" s="14"/>
      <c r="K157" s="14"/>
      <c r="L157" s="13"/>
    </row>
    <row r="158" spans="1:12" ht="18" customHeight="1">
      <c r="A158" s="23"/>
      <c r="J158" s="14"/>
      <c r="K158" s="14"/>
      <c r="L158" s="13"/>
    </row>
    <row r="159" spans="1:12" ht="18" customHeight="1">
      <c r="A159" s="23"/>
      <c r="J159" s="14"/>
      <c r="K159" s="14"/>
      <c r="L159" s="13"/>
    </row>
    <row r="160" spans="1:12" ht="18" customHeight="1">
      <c r="A160" s="23"/>
      <c r="J160" s="14"/>
      <c r="K160" s="14"/>
      <c r="L160" s="13"/>
    </row>
    <row r="161" spans="1:12" ht="18" customHeight="1">
      <c r="A161" s="23"/>
      <c r="J161" s="14"/>
      <c r="K161" s="14"/>
      <c r="L161" s="13"/>
    </row>
    <row r="162" spans="1:12" ht="18" customHeight="1">
      <c r="A162" s="23"/>
      <c r="J162" s="14"/>
      <c r="K162" s="14"/>
      <c r="L162" s="13"/>
    </row>
    <row r="163" spans="1:12" ht="18" customHeight="1">
      <c r="A163" s="23"/>
      <c r="J163" s="14"/>
      <c r="K163" s="14"/>
      <c r="L163" s="13"/>
    </row>
    <row r="164" spans="1:12" ht="18" customHeight="1">
      <c r="A164" s="23"/>
      <c r="J164" s="14"/>
      <c r="K164" s="14"/>
      <c r="L164" s="13"/>
    </row>
    <row r="165" spans="1:12" ht="18" customHeight="1">
      <c r="A165" s="23"/>
      <c r="J165" s="14"/>
      <c r="K165" s="14"/>
      <c r="L165" s="13"/>
    </row>
    <row r="166" spans="1:12" ht="18" customHeight="1">
      <c r="A166" s="23"/>
      <c r="J166" s="14"/>
      <c r="K166" s="14"/>
      <c r="L166" s="13"/>
    </row>
    <row r="167" spans="1:12" ht="18" customHeight="1">
      <c r="A167" s="23"/>
      <c r="J167" s="14"/>
      <c r="K167" s="14"/>
      <c r="L167" s="13"/>
    </row>
    <row r="168" spans="1:12" ht="18" customHeight="1">
      <c r="A168" s="23"/>
      <c r="J168" s="14"/>
      <c r="K168" s="14"/>
      <c r="L168" s="13"/>
    </row>
    <row r="169" spans="1:12" ht="18" customHeight="1">
      <c r="A169" s="23"/>
      <c r="J169" s="14"/>
      <c r="K169" s="14"/>
      <c r="L169" s="13"/>
    </row>
    <row r="170" spans="1:12" ht="18" customHeight="1">
      <c r="A170" s="23"/>
      <c r="J170" s="14"/>
      <c r="K170" s="14"/>
      <c r="L170" s="13"/>
    </row>
    <row r="171" spans="1:12" ht="18" customHeight="1">
      <c r="A171" s="23"/>
      <c r="J171" s="14"/>
      <c r="K171" s="14"/>
      <c r="L171" s="13"/>
    </row>
    <row r="172" spans="1:12" ht="18" customHeight="1">
      <c r="A172" s="23"/>
      <c r="J172" s="14"/>
      <c r="K172" s="14"/>
      <c r="L172" s="13"/>
    </row>
    <row r="173" spans="1:12" ht="18" customHeight="1">
      <c r="A173" s="23"/>
      <c r="J173" s="14"/>
      <c r="K173" s="14"/>
      <c r="L173" s="13"/>
    </row>
    <row r="174" spans="1:12" ht="18" customHeight="1">
      <c r="A174" s="23"/>
      <c r="J174" s="14"/>
      <c r="K174" s="14"/>
      <c r="L174" s="13"/>
    </row>
    <row r="175" spans="1:12" ht="18" customHeight="1">
      <c r="A175" s="23"/>
      <c r="J175" s="14"/>
      <c r="K175" s="14"/>
      <c r="L175" s="13"/>
    </row>
    <row r="176" spans="1:12" ht="18" customHeight="1">
      <c r="A176" s="23"/>
      <c r="J176" s="14"/>
      <c r="K176" s="14"/>
      <c r="L176" s="13"/>
    </row>
    <row r="177" spans="1:12" ht="18" customHeight="1">
      <c r="A177" s="23"/>
      <c r="J177" s="14"/>
      <c r="K177" s="14"/>
      <c r="L177" s="13"/>
    </row>
    <row r="178" spans="1:12" ht="18" customHeight="1">
      <c r="A178" s="23"/>
      <c r="J178" s="14"/>
      <c r="K178" s="14"/>
      <c r="L178" s="13"/>
    </row>
    <row r="179" spans="1:12" ht="18" customHeight="1">
      <c r="A179" s="23"/>
      <c r="J179" s="14"/>
      <c r="K179" s="14"/>
      <c r="L179" s="13"/>
    </row>
    <row r="180" spans="1:12" ht="18" customHeight="1">
      <c r="A180" s="23"/>
      <c r="J180" s="14"/>
      <c r="K180" s="14"/>
      <c r="L180" s="13"/>
    </row>
    <row r="181" spans="1:12" ht="18" customHeight="1">
      <c r="A181" s="23"/>
      <c r="J181" s="14"/>
      <c r="K181" s="14"/>
      <c r="L181" s="13"/>
    </row>
    <row r="182" spans="1:12" ht="18" customHeight="1">
      <c r="A182" s="23"/>
      <c r="J182" s="14"/>
      <c r="K182" s="14"/>
      <c r="L182" s="13"/>
    </row>
    <row r="183" spans="1:12" ht="18" customHeight="1">
      <c r="A183" s="23"/>
      <c r="J183" s="14"/>
      <c r="K183" s="14"/>
      <c r="L183" s="13"/>
    </row>
    <row r="184" spans="1:12" ht="18" customHeight="1">
      <c r="A184" s="23"/>
      <c r="J184" s="14"/>
      <c r="K184" s="14"/>
      <c r="L184" s="13"/>
    </row>
    <row r="185" spans="1:12" ht="18" customHeight="1">
      <c r="A185" s="23"/>
      <c r="J185" s="14"/>
      <c r="K185" s="14"/>
      <c r="L185" s="13"/>
    </row>
    <row r="186" spans="1:12" ht="18" customHeight="1">
      <c r="A186" s="23"/>
      <c r="J186" s="14"/>
      <c r="K186" s="14"/>
      <c r="L186" s="13"/>
    </row>
    <row r="187" spans="1:12" ht="18" customHeight="1">
      <c r="A187" s="23"/>
      <c r="J187" s="14"/>
      <c r="K187" s="14"/>
      <c r="L187" s="13"/>
    </row>
    <row r="188" spans="1:12" ht="18" customHeight="1">
      <c r="A188" s="23"/>
      <c r="J188" s="14"/>
      <c r="K188" s="14"/>
      <c r="L188" s="13"/>
    </row>
    <row r="189" spans="1:12" ht="18" customHeight="1">
      <c r="A189" s="23"/>
      <c r="J189" s="14"/>
      <c r="K189" s="14"/>
      <c r="L189" s="13"/>
    </row>
    <row r="190" spans="1:12" ht="18" customHeight="1">
      <c r="A190" s="23"/>
      <c r="J190" s="14"/>
      <c r="K190" s="14"/>
      <c r="L190" s="13"/>
    </row>
    <row r="191" spans="1:12" ht="18" customHeight="1">
      <c r="A191" s="23"/>
      <c r="J191" s="14"/>
      <c r="K191" s="14"/>
      <c r="L191" s="13"/>
    </row>
    <row r="192" spans="1:12" ht="18" customHeight="1">
      <c r="A192" s="23"/>
      <c r="J192" s="14"/>
      <c r="K192" s="14"/>
      <c r="L192" s="13"/>
    </row>
    <row r="193" spans="1:12" ht="18" customHeight="1">
      <c r="A193" s="23"/>
      <c r="J193" s="14"/>
      <c r="K193" s="14"/>
      <c r="L193" s="13"/>
    </row>
    <row r="194" spans="1:12" ht="18" customHeight="1">
      <c r="A194" s="23"/>
      <c r="J194" s="14"/>
      <c r="K194" s="14"/>
      <c r="L194" s="13"/>
    </row>
    <row r="195" spans="1:12" ht="18" customHeight="1">
      <c r="A195" s="23"/>
      <c r="J195" s="14"/>
      <c r="K195" s="14"/>
      <c r="L195" s="13"/>
    </row>
    <row r="196" spans="1:12" ht="18" customHeight="1">
      <c r="A196" s="23"/>
      <c r="J196" s="14"/>
      <c r="K196" s="14"/>
      <c r="L196" s="13"/>
    </row>
    <row r="197" spans="1:12" ht="18" customHeight="1">
      <c r="A197" s="23"/>
      <c r="J197" s="14"/>
      <c r="K197" s="14"/>
      <c r="L197" s="13"/>
    </row>
    <row r="198" spans="1:12" ht="18" customHeight="1">
      <c r="A198" s="23"/>
      <c r="J198" s="14"/>
      <c r="K198" s="14"/>
      <c r="L198" s="13"/>
    </row>
    <row r="199" spans="1:12" ht="18" customHeight="1">
      <c r="A199" s="23"/>
      <c r="J199" s="14"/>
      <c r="K199" s="14"/>
      <c r="L199" s="13"/>
    </row>
    <row r="200" spans="1:12" ht="18" customHeight="1">
      <c r="A200" s="23"/>
      <c r="J200" s="14"/>
      <c r="K200" s="14"/>
      <c r="L200" s="13"/>
    </row>
    <row r="201" spans="1:12" ht="18" customHeight="1">
      <c r="A201" s="23"/>
      <c r="J201" s="14"/>
      <c r="K201" s="14"/>
      <c r="L201" s="13"/>
    </row>
    <row r="202" spans="1:12" ht="18" customHeight="1">
      <c r="A202" s="23"/>
      <c r="J202" s="14"/>
      <c r="K202" s="14"/>
      <c r="L202" s="13"/>
    </row>
    <row r="203" spans="1:12" ht="18" customHeight="1">
      <c r="A203" s="23"/>
      <c r="J203" s="14"/>
      <c r="K203" s="14"/>
      <c r="L203" s="13"/>
    </row>
    <row r="204" spans="1:12" ht="18" customHeight="1">
      <c r="A204" s="23"/>
      <c r="J204" s="14"/>
      <c r="K204" s="14"/>
      <c r="L204" s="13"/>
    </row>
    <row r="205" spans="1:12" ht="18" customHeight="1">
      <c r="A205" s="23"/>
      <c r="J205" s="14"/>
      <c r="K205" s="14"/>
      <c r="L205" s="13"/>
    </row>
    <row r="206" spans="1:12" ht="18" customHeight="1">
      <c r="A206" s="23"/>
      <c r="J206" s="14"/>
      <c r="K206" s="14"/>
      <c r="L206" s="13"/>
    </row>
    <row r="207" spans="1:12" ht="18" customHeight="1">
      <c r="A207" s="23"/>
      <c r="J207" s="14"/>
      <c r="K207" s="14"/>
      <c r="L207" s="13"/>
    </row>
    <row r="208" spans="1:12" ht="18" customHeight="1">
      <c r="A208" s="23"/>
      <c r="J208" s="14"/>
      <c r="K208" s="14"/>
      <c r="L208" s="13"/>
    </row>
    <row r="209" spans="1:12" ht="18" customHeight="1">
      <c r="A209" s="23"/>
      <c r="J209" s="14"/>
      <c r="K209" s="14"/>
      <c r="L209" s="13"/>
    </row>
    <row r="210" spans="1:12" ht="18" customHeight="1">
      <c r="A210" s="23"/>
      <c r="J210" s="14"/>
      <c r="K210" s="14"/>
      <c r="L210" s="13"/>
    </row>
    <row r="211" spans="1:12" ht="18" customHeight="1">
      <c r="A211" s="23"/>
      <c r="J211" s="14"/>
      <c r="K211" s="14"/>
      <c r="L211" s="13"/>
    </row>
    <row r="212" spans="1:12" ht="18" customHeight="1">
      <c r="A212" s="23"/>
      <c r="J212" s="14"/>
      <c r="K212" s="14"/>
      <c r="L212" s="13"/>
    </row>
    <row r="213" spans="1:12" ht="18" customHeight="1">
      <c r="A213" s="23"/>
      <c r="J213" s="14"/>
      <c r="K213" s="14"/>
      <c r="L213" s="13"/>
    </row>
    <row r="214" spans="1:12" ht="18" customHeight="1">
      <c r="A214" s="23"/>
      <c r="J214" s="14"/>
      <c r="K214" s="14"/>
      <c r="L214" s="13"/>
    </row>
    <row r="215" spans="1:12" ht="18" customHeight="1">
      <c r="A215" s="23"/>
      <c r="J215" s="14"/>
      <c r="K215" s="14"/>
      <c r="L215" s="13"/>
    </row>
    <row r="216" spans="1:12" ht="18" customHeight="1">
      <c r="A216" s="23"/>
      <c r="J216" s="14"/>
      <c r="K216" s="14"/>
      <c r="L216" s="13"/>
    </row>
    <row r="217" spans="1:12" ht="18" customHeight="1">
      <c r="A217" s="23"/>
      <c r="J217" s="14"/>
      <c r="K217" s="14"/>
      <c r="L217" s="13"/>
    </row>
    <row r="218" spans="1:12" ht="18" customHeight="1">
      <c r="A218" s="23"/>
      <c r="J218" s="14"/>
      <c r="K218" s="14"/>
      <c r="L218" s="13"/>
    </row>
    <row r="219" spans="1:12" ht="18" customHeight="1">
      <c r="A219" s="23"/>
      <c r="J219" s="14"/>
      <c r="K219" s="14"/>
      <c r="L219" s="13"/>
    </row>
    <row r="220" spans="1:12" ht="18" customHeight="1">
      <c r="A220" s="23"/>
      <c r="J220" s="14"/>
      <c r="K220" s="14"/>
      <c r="L220" s="13"/>
    </row>
    <row r="221" spans="1:12" ht="18" customHeight="1">
      <c r="A221" s="23"/>
      <c r="J221" s="14"/>
      <c r="K221" s="14"/>
      <c r="L221" s="13"/>
    </row>
    <row r="222" spans="1:12" ht="18" customHeight="1">
      <c r="A222" s="23"/>
      <c r="J222" s="14"/>
      <c r="K222" s="14"/>
      <c r="L222" s="13"/>
    </row>
    <row r="223" spans="1:12" ht="18" customHeight="1">
      <c r="A223" s="23"/>
      <c r="J223" s="14"/>
      <c r="K223" s="14"/>
      <c r="L223" s="13"/>
    </row>
    <row r="224" spans="1:12" ht="18" customHeight="1">
      <c r="A224" s="23"/>
      <c r="J224" s="14"/>
      <c r="K224" s="14"/>
      <c r="L224" s="13"/>
    </row>
    <row r="225" spans="1:12" ht="18" customHeight="1">
      <c r="A225" s="23"/>
      <c r="J225" s="14"/>
      <c r="K225" s="14"/>
      <c r="L225" s="13"/>
    </row>
    <row r="226" spans="1:12" ht="18" customHeight="1">
      <c r="A226" s="23"/>
      <c r="J226" s="14"/>
      <c r="K226" s="14"/>
      <c r="L226" s="13"/>
    </row>
    <row r="227" spans="1:12" ht="18" customHeight="1">
      <c r="A227" s="23"/>
      <c r="J227" s="14"/>
      <c r="K227" s="14"/>
      <c r="L227" s="13"/>
    </row>
    <row r="228" spans="1:12" ht="18" customHeight="1">
      <c r="A228" s="23"/>
      <c r="J228" s="14"/>
      <c r="K228" s="14"/>
      <c r="L228" s="13"/>
    </row>
    <row r="229" spans="1:12" ht="18" customHeight="1">
      <c r="A229" s="23"/>
      <c r="J229" s="14"/>
      <c r="K229" s="14"/>
      <c r="L229" s="13"/>
    </row>
    <row r="230" spans="1:12" ht="18" customHeight="1">
      <c r="A230" s="23"/>
      <c r="J230" s="14"/>
      <c r="K230" s="14"/>
      <c r="L230" s="13"/>
    </row>
    <row r="231" spans="1:12" ht="18" customHeight="1">
      <c r="A231" s="23"/>
      <c r="J231" s="14"/>
      <c r="K231" s="14"/>
      <c r="L231" s="13"/>
    </row>
    <row r="232" spans="1:12" ht="18" customHeight="1">
      <c r="A232" s="23"/>
      <c r="J232" s="14"/>
      <c r="K232" s="14"/>
      <c r="L232" s="13"/>
    </row>
    <row r="233" spans="1:12" ht="18" customHeight="1">
      <c r="A233" s="23"/>
      <c r="J233" s="14"/>
      <c r="K233" s="14"/>
      <c r="L233" s="13"/>
    </row>
    <row r="234" spans="1:12" ht="18" customHeight="1">
      <c r="A234" s="23"/>
      <c r="J234" s="14"/>
      <c r="K234" s="14"/>
      <c r="L234" s="13"/>
    </row>
    <row r="235" spans="1:12" ht="18" customHeight="1">
      <c r="A235" s="23"/>
      <c r="J235" s="14"/>
      <c r="K235" s="14"/>
      <c r="L235" s="13"/>
    </row>
    <row r="236" spans="1:12" ht="18" customHeight="1">
      <c r="A236" s="23"/>
      <c r="J236" s="14"/>
      <c r="K236" s="14"/>
      <c r="L236" s="13"/>
    </row>
    <row r="237" spans="1:12" ht="18" customHeight="1">
      <c r="A237" s="23"/>
      <c r="J237" s="14"/>
      <c r="K237" s="14"/>
      <c r="L237" s="13"/>
    </row>
    <row r="238" spans="1:12" ht="18" customHeight="1">
      <c r="A238" s="23"/>
      <c r="J238" s="14"/>
      <c r="K238" s="14"/>
      <c r="L238" s="13"/>
    </row>
    <row r="239" spans="1:12" ht="18" customHeight="1">
      <c r="A239" s="23"/>
      <c r="J239" s="14"/>
      <c r="K239" s="14"/>
      <c r="L239" s="13"/>
    </row>
    <row r="240" spans="1:12" ht="18" customHeight="1">
      <c r="A240" s="23"/>
      <c r="J240" s="14"/>
      <c r="K240" s="14"/>
      <c r="L240" s="13"/>
    </row>
    <row r="241" spans="1:12" ht="18" customHeight="1">
      <c r="A241" s="23"/>
      <c r="J241" s="14"/>
      <c r="K241" s="14"/>
      <c r="L241" s="13"/>
    </row>
    <row r="242" spans="1:12" ht="18" customHeight="1">
      <c r="A242" s="23"/>
      <c r="J242" s="14"/>
      <c r="K242" s="14"/>
      <c r="L242" s="13"/>
    </row>
    <row r="243" spans="1:12" ht="18" customHeight="1">
      <c r="A243" s="23"/>
      <c r="J243" s="14"/>
      <c r="K243" s="14"/>
      <c r="L243" s="13"/>
    </row>
    <row r="244" spans="1:12" ht="18" customHeight="1">
      <c r="A244" s="23"/>
      <c r="J244" s="14"/>
      <c r="K244" s="14"/>
      <c r="L244" s="13"/>
    </row>
    <row r="245" spans="1:12" ht="18" customHeight="1">
      <c r="A245" s="23"/>
      <c r="J245" s="14"/>
      <c r="K245" s="14"/>
      <c r="L245" s="13"/>
    </row>
    <row r="246" spans="1:12" ht="18" customHeight="1">
      <c r="A246" s="23"/>
      <c r="J246" s="14"/>
      <c r="K246" s="14"/>
      <c r="L246" s="13"/>
    </row>
    <row r="247" spans="1:12" ht="18" customHeight="1">
      <c r="A247" s="23"/>
      <c r="J247" s="14"/>
      <c r="K247" s="14"/>
      <c r="L247" s="13"/>
    </row>
    <row r="248" spans="1:12" ht="18" customHeight="1">
      <c r="A248" s="23"/>
      <c r="J248" s="14"/>
      <c r="K248" s="14"/>
      <c r="L248" s="13"/>
    </row>
    <row r="249" spans="1:12" ht="18" customHeight="1">
      <c r="A249" s="23"/>
      <c r="J249" s="14"/>
      <c r="K249" s="14"/>
      <c r="L249" s="13"/>
    </row>
    <row r="250" spans="1:12" ht="18" customHeight="1">
      <c r="A250" s="23"/>
      <c r="J250" s="14"/>
      <c r="K250" s="14"/>
      <c r="L250" s="13"/>
    </row>
    <row r="251" spans="1:12" ht="18" customHeight="1">
      <c r="A251" s="23"/>
      <c r="J251" s="14"/>
      <c r="K251" s="14"/>
      <c r="L251" s="13"/>
    </row>
    <row r="252" spans="1:12" ht="18" customHeight="1">
      <c r="A252" s="23"/>
      <c r="J252" s="14"/>
      <c r="K252" s="14"/>
      <c r="L252" s="13"/>
    </row>
    <row r="253" spans="1:12" ht="18" customHeight="1">
      <c r="A253" s="23"/>
      <c r="J253" s="14"/>
      <c r="K253" s="14"/>
      <c r="L253" s="13"/>
    </row>
    <row r="254" spans="1:12" ht="18" customHeight="1">
      <c r="A254" s="23"/>
      <c r="J254" s="14"/>
      <c r="K254" s="14"/>
      <c r="L254" s="13"/>
    </row>
    <row r="255" spans="1:12" ht="18" customHeight="1">
      <c r="A255" s="23"/>
      <c r="J255" s="14"/>
      <c r="K255" s="14"/>
      <c r="L255" s="13"/>
    </row>
    <row r="256" spans="1:12" ht="18" customHeight="1">
      <c r="A256" s="23"/>
      <c r="J256" s="14"/>
      <c r="K256" s="14"/>
      <c r="L256" s="13"/>
    </row>
    <row r="257" spans="1:12" ht="18" customHeight="1">
      <c r="A257" s="23"/>
      <c r="J257" s="14"/>
      <c r="K257" s="14"/>
      <c r="L257" s="13"/>
    </row>
    <row r="258" spans="1:12" ht="18" customHeight="1">
      <c r="A258" s="23"/>
      <c r="J258" s="14"/>
      <c r="K258" s="14"/>
      <c r="L258" s="13"/>
    </row>
    <row r="259" spans="1:12" ht="18" customHeight="1">
      <c r="A259" s="23"/>
      <c r="J259" s="14"/>
      <c r="K259" s="14"/>
      <c r="L259" s="13"/>
    </row>
    <row r="260" spans="1:12" ht="18" customHeight="1">
      <c r="A260" s="23"/>
      <c r="J260" s="14"/>
      <c r="K260" s="14"/>
      <c r="L260" s="13"/>
    </row>
    <row r="261" spans="1:12" ht="18" customHeight="1">
      <c r="A261" s="23"/>
      <c r="J261" s="14"/>
      <c r="K261" s="14"/>
      <c r="L261" s="13"/>
    </row>
    <row r="262" spans="1:12" ht="18" customHeight="1">
      <c r="A262" s="23"/>
      <c r="J262" s="14"/>
      <c r="K262" s="14"/>
      <c r="L262" s="13"/>
    </row>
    <row r="263" spans="1:12" ht="18" customHeight="1">
      <c r="A263" s="23"/>
      <c r="J263" s="14"/>
      <c r="K263" s="14"/>
      <c r="L263" s="13"/>
    </row>
    <row r="264" spans="1:12" ht="18" customHeight="1">
      <c r="A264" s="23"/>
      <c r="J264" s="14"/>
      <c r="K264" s="14"/>
      <c r="L264" s="13"/>
    </row>
    <row r="265" spans="1:12" ht="18" customHeight="1">
      <c r="A265" s="23"/>
      <c r="J265" s="14"/>
      <c r="K265" s="14"/>
      <c r="L265" s="13"/>
    </row>
    <row r="266" spans="1:12" ht="18" customHeight="1">
      <c r="A266" s="23"/>
      <c r="J266" s="14"/>
      <c r="K266" s="14"/>
      <c r="L266" s="13"/>
    </row>
    <row r="267" spans="1:12" ht="18" customHeight="1">
      <c r="A267" s="23"/>
      <c r="J267" s="14"/>
      <c r="K267" s="14"/>
      <c r="L267" s="13"/>
    </row>
    <row r="268" spans="1:12" ht="18" customHeight="1">
      <c r="A268" s="23"/>
      <c r="J268" s="14"/>
      <c r="K268" s="14"/>
      <c r="L268" s="13"/>
    </row>
    <row r="269" spans="1:12" ht="18" customHeight="1">
      <c r="A269" s="23"/>
      <c r="J269" s="14"/>
      <c r="K269" s="14"/>
      <c r="L269" s="13"/>
    </row>
    <row r="270" spans="1:12" ht="18" customHeight="1">
      <c r="A270" s="23"/>
      <c r="J270" s="14"/>
      <c r="K270" s="14"/>
      <c r="L270" s="13"/>
    </row>
    <row r="271" spans="1:12" ht="18" customHeight="1">
      <c r="A271" s="23"/>
      <c r="J271" s="14"/>
      <c r="K271" s="14"/>
      <c r="L271" s="13"/>
    </row>
    <row r="272" spans="1:12" ht="18" customHeight="1">
      <c r="A272" s="23"/>
      <c r="J272" s="14"/>
      <c r="K272" s="14"/>
      <c r="L272" s="13"/>
    </row>
    <row r="273" spans="1:12" ht="18" customHeight="1">
      <c r="A273" s="23"/>
      <c r="J273" s="14"/>
      <c r="K273" s="14"/>
      <c r="L273" s="13"/>
    </row>
    <row r="274" spans="1:12" ht="18" customHeight="1">
      <c r="A274" s="23"/>
      <c r="J274" s="14"/>
      <c r="K274" s="14"/>
      <c r="L274" s="13"/>
    </row>
    <row r="275" spans="1:12" ht="18" customHeight="1">
      <c r="A275" s="23"/>
      <c r="J275" s="14"/>
      <c r="K275" s="14"/>
      <c r="L275" s="13"/>
    </row>
    <row r="276" spans="1:12" ht="18" customHeight="1">
      <c r="A276" s="23"/>
      <c r="J276" s="14"/>
      <c r="K276" s="14"/>
      <c r="L276" s="13"/>
    </row>
    <row r="277" spans="1:12" ht="18" customHeight="1">
      <c r="A277" s="23"/>
      <c r="J277" s="14"/>
      <c r="K277" s="14"/>
      <c r="L277" s="13"/>
    </row>
    <row r="278" spans="1:12" ht="18" customHeight="1">
      <c r="A278" s="23"/>
      <c r="J278" s="14"/>
      <c r="K278" s="14"/>
      <c r="L278" s="13"/>
    </row>
    <row r="279" spans="1:12" ht="18" customHeight="1">
      <c r="A279" s="23"/>
      <c r="J279" s="14"/>
      <c r="K279" s="14"/>
      <c r="L279" s="13"/>
    </row>
    <row r="280" spans="1:12" ht="18" customHeight="1">
      <c r="A280" s="23"/>
      <c r="J280" s="14"/>
      <c r="K280" s="14"/>
      <c r="L280" s="13"/>
    </row>
    <row r="281" spans="1:12" ht="18" customHeight="1">
      <c r="A281" s="23"/>
      <c r="J281" s="14"/>
      <c r="K281" s="14"/>
      <c r="L281" s="13"/>
    </row>
    <row r="282" spans="1:12" ht="18" customHeight="1">
      <c r="A282" s="23"/>
      <c r="J282" s="14"/>
      <c r="K282" s="14"/>
      <c r="L282" s="13"/>
    </row>
    <row r="283" spans="1:12" ht="18" customHeight="1">
      <c r="A283" s="23"/>
      <c r="J283" s="14"/>
      <c r="K283" s="14"/>
      <c r="L283" s="13"/>
    </row>
    <row r="284" spans="1:12" ht="18" customHeight="1">
      <c r="A284" s="23"/>
      <c r="J284" s="14"/>
      <c r="K284" s="14"/>
      <c r="L284" s="13"/>
    </row>
    <row r="285" spans="1:12" ht="18" customHeight="1">
      <c r="A285" s="23"/>
      <c r="J285" s="14"/>
      <c r="K285" s="14"/>
      <c r="L285" s="13"/>
    </row>
    <row r="286" spans="1:12" ht="18" customHeight="1">
      <c r="A286" s="23"/>
      <c r="J286" s="14"/>
      <c r="K286" s="14"/>
      <c r="L286" s="13"/>
    </row>
    <row r="287" spans="1:12" ht="18" customHeight="1">
      <c r="A287" s="23"/>
      <c r="J287" s="14"/>
      <c r="K287" s="14"/>
      <c r="L287" s="13"/>
    </row>
    <row r="288" spans="1:12" ht="18" customHeight="1">
      <c r="A288" s="23"/>
      <c r="J288" s="14"/>
      <c r="K288" s="14"/>
      <c r="L288" s="13"/>
    </row>
    <row r="289" spans="1:12" ht="18" customHeight="1">
      <c r="A289" s="23"/>
      <c r="J289" s="14"/>
      <c r="K289" s="14"/>
      <c r="L289" s="13"/>
    </row>
    <row r="290" spans="1:12" ht="18" customHeight="1">
      <c r="A290" s="23"/>
      <c r="J290" s="14"/>
      <c r="K290" s="14"/>
      <c r="L290" s="13"/>
    </row>
    <row r="291" spans="1:12" ht="18" customHeight="1">
      <c r="A291" s="23"/>
      <c r="J291" s="14"/>
      <c r="K291" s="14"/>
      <c r="L291" s="13"/>
    </row>
    <row r="292" spans="1:12" ht="18" customHeight="1">
      <c r="A292" s="23"/>
      <c r="J292" s="14"/>
      <c r="K292" s="14"/>
      <c r="L292" s="13"/>
    </row>
    <row r="293" spans="1:12" ht="18" customHeight="1">
      <c r="A293" s="23"/>
      <c r="J293" s="14"/>
      <c r="K293" s="14"/>
      <c r="L293" s="13"/>
    </row>
    <row r="294" spans="1:12" ht="18" customHeight="1">
      <c r="A294" s="23"/>
      <c r="J294" s="14"/>
      <c r="K294" s="14"/>
      <c r="L294" s="13"/>
    </row>
    <row r="295" spans="1:12" ht="18" customHeight="1">
      <c r="A295" s="23"/>
      <c r="J295" s="14"/>
      <c r="K295" s="14"/>
      <c r="L295" s="13"/>
    </row>
    <row r="296" spans="1:12" ht="18" customHeight="1">
      <c r="A296" s="23"/>
      <c r="J296" s="14"/>
      <c r="K296" s="14"/>
      <c r="L296" s="13"/>
    </row>
    <row r="297" spans="1:12" ht="18" customHeight="1">
      <c r="A297" s="23"/>
      <c r="J297" s="14"/>
      <c r="K297" s="14"/>
      <c r="L297" s="13"/>
    </row>
    <row r="298" spans="1:12" ht="18" customHeight="1">
      <c r="A298" s="23"/>
      <c r="J298" s="14"/>
      <c r="K298" s="14"/>
      <c r="L298" s="13"/>
    </row>
    <row r="299" spans="1:12" ht="18" customHeight="1">
      <c r="A299" s="23"/>
      <c r="J299" s="14"/>
      <c r="K299" s="14"/>
      <c r="L299" s="13"/>
    </row>
    <row r="300" spans="1:12" ht="18" customHeight="1">
      <c r="A300" s="23"/>
      <c r="J300" s="14"/>
      <c r="K300" s="14"/>
      <c r="L300" s="13"/>
    </row>
    <row r="301" spans="1:12" ht="18" customHeight="1">
      <c r="A301" s="23"/>
      <c r="J301" s="14"/>
      <c r="K301" s="14"/>
      <c r="L301" s="13"/>
    </row>
    <row r="302" spans="1:12" ht="18" customHeight="1">
      <c r="A302" s="23"/>
      <c r="J302" s="14"/>
      <c r="K302" s="14"/>
      <c r="L302" s="13"/>
    </row>
    <row r="303" spans="1:12" ht="18" customHeight="1">
      <c r="A303" s="23"/>
      <c r="J303" s="14"/>
      <c r="K303" s="14"/>
      <c r="L303" s="13"/>
    </row>
    <row r="304" spans="1:12" ht="18" customHeight="1">
      <c r="A304" s="23"/>
      <c r="J304" s="14"/>
      <c r="K304" s="14"/>
      <c r="L304" s="13"/>
    </row>
    <row r="305" spans="1:12" ht="18" customHeight="1">
      <c r="A305" s="23"/>
      <c r="J305" s="14"/>
      <c r="K305" s="14"/>
      <c r="L305" s="13"/>
    </row>
    <row r="306" spans="1:12" ht="18" customHeight="1">
      <c r="A306" s="23"/>
      <c r="J306" s="14"/>
      <c r="K306" s="14"/>
      <c r="L306" s="13"/>
    </row>
    <row r="307" spans="1:12" ht="18" customHeight="1">
      <c r="A307" s="23"/>
      <c r="J307" s="14"/>
      <c r="K307" s="14"/>
      <c r="L307" s="13"/>
    </row>
    <row r="308" spans="1:12" ht="18" customHeight="1">
      <c r="A308" s="23"/>
      <c r="J308" s="14"/>
      <c r="K308" s="14"/>
      <c r="L308" s="13"/>
    </row>
    <row r="309" spans="1:12" ht="18" customHeight="1">
      <c r="A309" s="23"/>
      <c r="J309" s="14"/>
      <c r="K309" s="14"/>
      <c r="L309" s="13"/>
    </row>
    <row r="310" spans="1:12" ht="18" customHeight="1">
      <c r="A310" s="23"/>
      <c r="J310" s="14"/>
      <c r="K310" s="14"/>
      <c r="L310" s="13"/>
    </row>
    <row r="311" spans="1:12" ht="18" customHeight="1">
      <c r="A311" s="23"/>
      <c r="J311" s="14"/>
      <c r="K311" s="14"/>
      <c r="L311" s="13"/>
    </row>
    <row r="312" spans="1:12" ht="18" customHeight="1">
      <c r="A312" s="23"/>
      <c r="J312" s="14"/>
      <c r="K312" s="14"/>
      <c r="L312" s="13"/>
    </row>
    <row r="313" spans="1:12" ht="18" customHeight="1">
      <c r="A313" s="23"/>
      <c r="J313" s="14"/>
      <c r="K313" s="14"/>
      <c r="L313" s="13"/>
    </row>
    <row r="314" spans="1:12" ht="18" customHeight="1">
      <c r="A314" s="23"/>
      <c r="J314" s="14"/>
      <c r="K314" s="14"/>
      <c r="L314" s="13"/>
    </row>
    <row r="315" spans="1:12" ht="18" customHeight="1">
      <c r="A315" s="23"/>
      <c r="J315" s="14"/>
      <c r="K315" s="14"/>
      <c r="L315" s="13"/>
    </row>
    <row r="316" spans="1:12" ht="18" customHeight="1">
      <c r="A316" s="23"/>
      <c r="J316" s="14"/>
      <c r="K316" s="14"/>
      <c r="L316" s="13"/>
    </row>
    <row r="317" spans="1:12" ht="18" customHeight="1">
      <c r="A317" s="23"/>
      <c r="J317" s="14"/>
      <c r="K317" s="14"/>
      <c r="L317" s="13"/>
    </row>
    <row r="318" spans="1:12" ht="18" customHeight="1">
      <c r="A318" s="23"/>
      <c r="J318" s="14"/>
      <c r="K318" s="14"/>
      <c r="L318" s="13"/>
    </row>
    <row r="319" spans="1:12" ht="18" customHeight="1">
      <c r="A319" s="23"/>
      <c r="J319" s="14"/>
      <c r="K319" s="14"/>
      <c r="L319" s="13"/>
    </row>
    <row r="320" spans="1:12" ht="18" customHeight="1">
      <c r="A320" s="23"/>
      <c r="J320" s="14"/>
      <c r="K320" s="14"/>
      <c r="L320" s="13"/>
    </row>
    <row r="321" spans="1:12" ht="18" customHeight="1">
      <c r="A321" s="23"/>
      <c r="J321" s="14"/>
      <c r="K321" s="14"/>
      <c r="L321" s="13"/>
    </row>
    <row r="322" spans="1:12" ht="18" customHeight="1">
      <c r="A322" s="23"/>
      <c r="J322" s="14"/>
      <c r="K322" s="14"/>
      <c r="L322" s="13"/>
    </row>
    <row r="323" spans="1:12" ht="18" customHeight="1">
      <c r="A323" s="23"/>
      <c r="J323" s="14"/>
      <c r="K323" s="14"/>
      <c r="L323" s="13"/>
    </row>
    <row r="324" spans="1:12" ht="18" customHeight="1">
      <c r="A324" s="23"/>
      <c r="J324" s="14"/>
      <c r="K324" s="14"/>
      <c r="L324" s="13"/>
    </row>
    <row r="325" spans="1:12" ht="18" customHeight="1">
      <c r="A325" s="23"/>
      <c r="J325" s="14"/>
      <c r="K325" s="14"/>
      <c r="L325" s="13"/>
    </row>
    <row r="326" spans="1:12" ht="18" customHeight="1">
      <c r="A326" s="23"/>
      <c r="J326" s="14"/>
      <c r="K326" s="14"/>
      <c r="L326" s="13"/>
    </row>
    <row r="327" spans="1:12" ht="18" customHeight="1">
      <c r="A327" s="23"/>
      <c r="J327" s="14"/>
      <c r="K327" s="14"/>
      <c r="L327" s="13"/>
    </row>
    <row r="328" spans="1:12" ht="18" customHeight="1">
      <c r="A328" s="23"/>
      <c r="J328" s="14"/>
      <c r="K328" s="14"/>
      <c r="L328" s="13"/>
    </row>
    <row r="329" spans="1:12" ht="18" customHeight="1">
      <c r="A329" s="23"/>
      <c r="J329" s="14"/>
      <c r="K329" s="14"/>
      <c r="L329" s="13"/>
    </row>
    <row r="330" spans="1:12" ht="18" customHeight="1">
      <c r="A330" s="23"/>
      <c r="J330" s="14"/>
      <c r="K330" s="14"/>
      <c r="L330" s="13"/>
    </row>
    <row r="331" spans="1:12" ht="18" customHeight="1">
      <c r="A331" s="23"/>
      <c r="J331" s="14"/>
      <c r="K331" s="14"/>
      <c r="L331" s="13"/>
    </row>
    <row r="332" spans="1:12" ht="18" customHeight="1">
      <c r="A332" s="23"/>
      <c r="J332" s="14"/>
      <c r="K332" s="14"/>
      <c r="L332" s="13"/>
    </row>
    <row r="333" spans="1:12" ht="18" customHeight="1">
      <c r="A333" s="23"/>
      <c r="J333" s="14"/>
      <c r="K333" s="14"/>
      <c r="L333" s="13"/>
    </row>
    <row r="334" spans="1:12" ht="18" customHeight="1">
      <c r="A334" s="23"/>
      <c r="J334" s="14"/>
      <c r="K334" s="14"/>
      <c r="L334" s="13"/>
    </row>
    <row r="335" spans="1:12" ht="18" customHeight="1">
      <c r="A335" s="23"/>
      <c r="J335" s="14"/>
      <c r="K335" s="14"/>
      <c r="L335" s="13"/>
    </row>
    <row r="336" spans="1:12" ht="18" customHeight="1">
      <c r="A336" s="23"/>
      <c r="J336" s="14"/>
      <c r="K336" s="14"/>
      <c r="L336" s="13"/>
    </row>
    <row r="337" spans="1:12" ht="18" customHeight="1">
      <c r="A337" s="23"/>
      <c r="J337" s="14"/>
      <c r="K337" s="14"/>
      <c r="L337" s="13"/>
    </row>
    <row r="338" spans="1:12" ht="18" customHeight="1">
      <c r="A338" s="23"/>
      <c r="J338" s="14"/>
      <c r="K338" s="14"/>
      <c r="L338" s="13"/>
    </row>
    <row r="339" spans="1:12" ht="18" customHeight="1">
      <c r="A339" s="23"/>
      <c r="J339" s="14"/>
      <c r="K339" s="14"/>
      <c r="L339" s="13"/>
    </row>
    <row r="340" spans="1:12" ht="18" customHeight="1">
      <c r="A340" s="23"/>
      <c r="J340" s="14"/>
      <c r="K340" s="14"/>
      <c r="L340" s="13"/>
    </row>
    <row r="341" spans="1:12" ht="18" customHeight="1">
      <c r="A341" s="23"/>
      <c r="J341" s="14"/>
      <c r="K341" s="14"/>
      <c r="L341" s="13"/>
    </row>
    <row r="342" spans="1:12" ht="18" customHeight="1">
      <c r="A342" s="23"/>
      <c r="J342" s="14"/>
      <c r="K342" s="14"/>
      <c r="L342" s="13"/>
    </row>
    <row r="343" spans="1:12" ht="18" customHeight="1">
      <c r="A343" s="23"/>
      <c r="J343" s="14"/>
      <c r="K343" s="14"/>
      <c r="L343" s="13"/>
    </row>
    <row r="344" spans="1:12" ht="18" customHeight="1">
      <c r="A344" s="23"/>
      <c r="J344" s="14"/>
      <c r="K344" s="14"/>
      <c r="L344" s="13"/>
    </row>
    <row r="345" spans="1:12" ht="18" customHeight="1">
      <c r="A345" s="23"/>
      <c r="J345" s="14"/>
      <c r="K345" s="14"/>
      <c r="L345" s="13"/>
    </row>
    <row r="346" spans="1:12" ht="18" customHeight="1">
      <c r="A346" s="23"/>
      <c r="J346" s="14"/>
      <c r="K346" s="14"/>
      <c r="L346" s="13"/>
    </row>
    <row r="347" spans="1:12" ht="18" customHeight="1">
      <c r="A347" s="23"/>
      <c r="J347" s="14"/>
      <c r="K347" s="14"/>
      <c r="L347" s="13"/>
    </row>
    <row r="348" spans="1:12" ht="18" customHeight="1">
      <c r="A348" s="23"/>
      <c r="J348" s="14"/>
      <c r="K348" s="14"/>
      <c r="L348" s="13"/>
    </row>
    <row r="349" spans="1:12" ht="18" customHeight="1">
      <c r="A349" s="23"/>
      <c r="J349" s="14"/>
      <c r="K349" s="14"/>
      <c r="L349" s="13"/>
    </row>
    <row r="350" spans="1:12" ht="18" customHeight="1">
      <c r="A350" s="23"/>
      <c r="J350" s="14"/>
      <c r="K350" s="14"/>
      <c r="L350" s="13"/>
    </row>
    <row r="351" spans="1:12" ht="18" customHeight="1">
      <c r="A351" s="23"/>
      <c r="J351" s="14"/>
      <c r="K351" s="14"/>
      <c r="L351" s="13"/>
    </row>
    <row r="352" spans="1:12" ht="18" customHeight="1">
      <c r="A352" s="23"/>
      <c r="J352" s="14"/>
      <c r="K352" s="14"/>
      <c r="L352" s="13"/>
    </row>
    <row r="353" spans="1:12" ht="18" customHeight="1">
      <c r="A353" s="23"/>
      <c r="J353" s="14"/>
      <c r="K353" s="14"/>
      <c r="L353" s="13"/>
    </row>
    <row r="354" spans="1:12" ht="18" customHeight="1">
      <c r="A354" s="23"/>
      <c r="J354" s="14"/>
      <c r="K354" s="14"/>
      <c r="L354" s="13"/>
    </row>
    <row r="355" spans="1:12" ht="18" customHeight="1">
      <c r="A355" s="23"/>
      <c r="J355" s="14"/>
      <c r="K355" s="14"/>
      <c r="L355" s="13"/>
    </row>
    <row r="356" spans="1:12" ht="18" customHeight="1">
      <c r="A356" s="23"/>
      <c r="J356" s="14"/>
      <c r="K356" s="14"/>
      <c r="L356" s="13"/>
    </row>
    <row r="357" spans="1:12" ht="18" customHeight="1">
      <c r="A357" s="23"/>
      <c r="J357" s="14"/>
      <c r="K357" s="14"/>
      <c r="L357" s="13"/>
    </row>
    <row r="358" spans="1:12" ht="18" customHeight="1">
      <c r="A358" s="23"/>
      <c r="J358" s="14"/>
      <c r="K358" s="14"/>
      <c r="L358" s="13"/>
    </row>
    <row r="359" spans="1:12" ht="18" customHeight="1">
      <c r="A359" s="23"/>
      <c r="J359" s="14"/>
      <c r="K359" s="14"/>
      <c r="L359" s="13"/>
    </row>
    <row r="360" spans="1:12" ht="18" customHeight="1">
      <c r="A360" s="23"/>
      <c r="J360" s="14"/>
      <c r="K360" s="14"/>
      <c r="L360" s="13"/>
    </row>
    <row r="361" spans="1:12" ht="18" customHeight="1">
      <c r="A361" s="23"/>
      <c r="J361" s="14"/>
      <c r="K361" s="14"/>
      <c r="L361" s="13"/>
    </row>
    <row r="362" spans="1:12" ht="18" customHeight="1">
      <c r="A362" s="23"/>
      <c r="J362" s="14"/>
      <c r="K362" s="14"/>
      <c r="L362" s="13"/>
    </row>
    <row r="363" spans="1:12" ht="18" customHeight="1">
      <c r="A363" s="23"/>
      <c r="J363" s="14"/>
      <c r="K363" s="14"/>
      <c r="L363" s="13"/>
    </row>
    <row r="364" spans="1:12" ht="18" customHeight="1">
      <c r="A364" s="23"/>
      <c r="J364" s="14"/>
      <c r="K364" s="14"/>
      <c r="L364" s="13"/>
    </row>
    <row r="365" spans="1:12" ht="18" customHeight="1">
      <c r="A365" s="23"/>
      <c r="J365" s="14"/>
      <c r="K365" s="14"/>
      <c r="L365" s="13"/>
    </row>
    <row r="366" spans="1:12" ht="18" customHeight="1">
      <c r="A366" s="23"/>
      <c r="J366" s="14"/>
      <c r="K366" s="14"/>
      <c r="L366" s="13"/>
    </row>
    <row r="367" spans="1:12" ht="18" customHeight="1">
      <c r="A367" s="23"/>
      <c r="J367" s="14"/>
      <c r="K367" s="14"/>
      <c r="L367" s="13"/>
    </row>
    <row r="368" spans="1:12" ht="18" customHeight="1">
      <c r="A368" s="23"/>
      <c r="J368" s="14"/>
      <c r="K368" s="14"/>
      <c r="L368" s="13"/>
    </row>
    <row r="369" spans="1:12" ht="18" customHeight="1">
      <c r="A369" s="23"/>
      <c r="J369" s="14"/>
      <c r="K369" s="14"/>
      <c r="L369" s="13"/>
    </row>
    <row r="370" spans="1:12" ht="18" customHeight="1">
      <c r="A370" s="23"/>
      <c r="J370" s="14"/>
      <c r="K370" s="14"/>
      <c r="L370" s="13"/>
    </row>
    <row r="371" spans="1:12" ht="18" customHeight="1">
      <c r="A371" s="23"/>
      <c r="J371" s="14"/>
      <c r="K371" s="14"/>
      <c r="L371" s="13"/>
    </row>
    <row r="372" spans="1:12" ht="18" customHeight="1">
      <c r="A372" s="23"/>
      <c r="J372" s="14"/>
      <c r="K372" s="14"/>
      <c r="L372" s="13"/>
    </row>
    <row r="373" spans="1:12" ht="18" customHeight="1">
      <c r="A373" s="23"/>
      <c r="J373" s="14"/>
      <c r="K373" s="14"/>
      <c r="L373" s="13"/>
    </row>
    <row r="374" spans="1:12" ht="18" customHeight="1">
      <c r="A374" s="23"/>
      <c r="J374" s="14"/>
      <c r="K374" s="14"/>
      <c r="L374" s="13"/>
    </row>
    <row r="375" spans="1:12" ht="18" customHeight="1">
      <c r="A375" s="23"/>
      <c r="J375" s="14"/>
      <c r="K375" s="14"/>
      <c r="L375" s="13"/>
    </row>
    <row r="376" spans="1:12" ht="18" customHeight="1">
      <c r="A376" s="23"/>
      <c r="J376" s="14"/>
      <c r="K376" s="14"/>
      <c r="L376" s="13"/>
    </row>
    <row r="377" spans="1:12" ht="18" customHeight="1">
      <c r="A377" s="23"/>
      <c r="J377" s="14"/>
      <c r="K377" s="14"/>
      <c r="L377" s="13"/>
    </row>
    <row r="378" spans="1:12" ht="18" customHeight="1">
      <c r="A378" s="23"/>
      <c r="J378" s="14"/>
      <c r="K378" s="14"/>
      <c r="L378" s="13"/>
    </row>
    <row r="379" spans="1:12" ht="18" customHeight="1">
      <c r="A379" s="23"/>
      <c r="J379" s="14"/>
      <c r="K379" s="14"/>
      <c r="L379" s="13"/>
    </row>
    <row r="380" spans="1:12" ht="18" customHeight="1">
      <c r="A380" s="23"/>
      <c r="J380" s="14"/>
      <c r="K380" s="14"/>
      <c r="L380" s="13"/>
    </row>
    <row r="381" spans="1:12" ht="18" customHeight="1">
      <c r="A381" s="23"/>
      <c r="J381" s="14"/>
      <c r="K381" s="14"/>
      <c r="L381" s="13"/>
    </row>
    <row r="382" spans="1:12" ht="18" customHeight="1">
      <c r="A382" s="23"/>
      <c r="J382" s="14"/>
      <c r="K382" s="14"/>
      <c r="L382" s="13"/>
    </row>
    <row r="383" spans="1:12" ht="18" customHeight="1">
      <c r="A383" s="23"/>
      <c r="J383" s="14"/>
      <c r="K383" s="14"/>
      <c r="L383" s="13"/>
    </row>
    <row r="384" spans="1:12" ht="18" customHeight="1">
      <c r="A384" s="23"/>
      <c r="J384" s="14"/>
      <c r="K384" s="14"/>
      <c r="L384" s="13"/>
    </row>
    <row r="385" spans="1:12" ht="18" customHeight="1">
      <c r="A385" s="23"/>
      <c r="J385" s="14"/>
      <c r="K385" s="14"/>
      <c r="L385" s="13"/>
    </row>
    <row r="386" spans="1:12" ht="18" customHeight="1">
      <c r="A386" s="23"/>
      <c r="J386" s="14"/>
      <c r="K386" s="14"/>
      <c r="L386" s="13"/>
    </row>
    <row r="387" spans="1:12" ht="18" customHeight="1">
      <c r="A387" s="23"/>
      <c r="J387" s="14"/>
      <c r="K387" s="14"/>
      <c r="L387" s="13"/>
    </row>
    <row r="388" spans="1:12" ht="18" customHeight="1">
      <c r="A388" s="23"/>
      <c r="J388" s="14"/>
      <c r="K388" s="14"/>
      <c r="L388" s="13"/>
    </row>
    <row r="389" spans="1:12" ht="18" customHeight="1">
      <c r="A389" s="23"/>
      <c r="J389" s="14"/>
      <c r="K389" s="14"/>
      <c r="L389" s="13"/>
    </row>
    <row r="390" spans="1:12" ht="18" customHeight="1">
      <c r="A390" s="23"/>
      <c r="J390" s="14"/>
      <c r="K390" s="14"/>
      <c r="L390" s="13"/>
    </row>
    <row r="391" spans="1:12" ht="18" customHeight="1">
      <c r="A391" s="23"/>
      <c r="J391" s="14"/>
      <c r="K391" s="14"/>
      <c r="L391" s="13"/>
    </row>
    <row r="392" spans="1:12" ht="18" customHeight="1">
      <c r="A392" s="23"/>
      <c r="J392" s="14"/>
      <c r="K392" s="14"/>
      <c r="L392" s="13"/>
    </row>
    <row r="393" spans="1:12" ht="18" customHeight="1">
      <c r="A393" s="23"/>
      <c r="J393" s="14"/>
      <c r="K393" s="14"/>
      <c r="L393" s="13"/>
    </row>
    <row r="394" spans="1:12" ht="18" customHeight="1">
      <c r="A394" s="23"/>
      <c r="J394" s="14"/>
      <c r="K394" s="14"/>
      <c r="L394" s="13"/>
    </row>
    <row r="395" spans="1:12" ht="18" customHeight="1">
      <c r="A395" s="23"/>
      <c r="J395" s="14"/>
      <c r="K395" s="14"/>
      <c r="L395" s="13"/>
    </row>
    <row r="396" spans="1:12" ht="18" customHeight="1">
      <c r="A396" s="23"/>
      <c r="J396" s="14"/>
      <c r="K396" s="14"/>
      <c r="L396" s="13"/>
    </row>
    <row r="397" spans="1:12" ht="18" customHeight="1">
      <c r="A397" s="23"/>
      <c r="J397" s="14"/>
      <c r="K397" s="14"/>
      <c r="L397" s="13"/>
    </row>
    <row r="398" spans="1:12" ht="18" customHeight="1">
      <c r="A398" s="23"/>
      <c r="J398" s="14"/>
      <c r="K398" s="14"/>
      <c r="L398" s="13"/>
    </row>
    <row r="399" spans="1:12" ht="18" customHeight="1">
      <c r="A399" s="23"/>
      <c r="J399" s="14"/>
      <c r="K399" s="14"/>
      <c r="L399" s="13"/>
    </row>
    <row r="400" spans="1:12" ht="18" customHeight="1">
      <c r="A400" s="23"/>
      <c r="J400" s="14"/>
      <c r="K400" s="14"/>
      <c r="L400" s="13"/>
    </row>
    <row r="401" spans="1:12" ht="18" customHeight="1">
      <c r="A401" s="23"/>
      <c r="J401" s="14"/>
      <c r="K401" s="14"/>
      <c r="L401" s="13"/>
    </row>
    <row r="402" spans="1:12" ht="18" customHeight="1">
      <c r="A402" s="23"/>
      <c r="J402" s="14"/>
      <c r="K402" s="14"/>
      <c r="L402" s="13"/>
    </row>
    <row r="403" spans="1:12" ht="18" customHeight="1">
      <c r="A403" s="23"/>
      <c r="J403" s="14"/>
      <c r="K403" s="14"/>
      <c r="L403" s="13"/>
    </row>
    <row r="404" spans="1:12" ht="18" customHeight="1">
      <c r="A404" s="23"/>
      <c r="J404" s="14"/>
      <c r="K404" s="14"/>
      <c r="L404" s="13"/>
    </row>
    <row r="405" spans="1:12" ht="18" customHeight="1">
      <c r="A405" s="23"/>
      <c r="J405" s="14"/>
      <c r="K405" s="14"/>
      <c r="L405" s="13"/>
    </row>
    <row r="406" spans="1:12" ht="18" customHeight="1">
      <c r="A406" s="23"/>
      <c r="J406" s="14"/>
      <c r="K406" s="14"/>
      <c r="L406" s="13"/>
    </row>
    <row r="407" spans="1:12" ht="18" customHeight="1">
      <c r="A407" s="23"/>
      <c r="J407" s="14"/>
      <c r="K407" s="14"/>
      <c r="L407" s="13"/>
    </row>
    <row r="408" spans="1:12" ht="18" customHeight="1">
      <c r="A408" s="23"/>
      <c r="J408" s="14"/>
      <c r="K408" s="14"/>
      <c r="L408" s="13"/>
    </row>
    <row r="409" spans="1:12" ht="18" customHeight="1">
      <c r="A409" s="23"/>
      <c r="J409" s="14"/>
      <c r="K409" s="14"/>
      <c r="L409" s="13"/>
    </row>
    <row r="410" spans="1:12" ht="18" customHeight="1">
      <c r="A410" s="23"/>
      <c r="J410" s="14"/>
      <c r="K410" s="14"/>
      <c r="L410" s="13"/>
    </row>
    <row r="411" spans="1:12" ht="18" customHeight="1">
      <c r="A411" s="23"/>
      <c r="J411" s="14"/>
      <c r="K411" s="14"/>
      <c r="L411" s="13"/>
    </row>
    <row r="412" spans="1:12" ht="18" customHeight="1">
      <c r="A412" s="23"/>
      <c r="J412" s="14"/>
      <c r="K412" s="14"/>
      <c r="L412" s="13"/>
    </row>
    <row r="413" spans="1:12" ht="18" customHeight="1">
      <c r="A413" s="23"/>
      <c r="J413" s="14"/>
      <c r="K413" s="14"/>
      <c r="L413" s="13"/>
    </row>
    <row r="414" spans="1:12" ht="18" customHeight="1">
      <c r="A414" s="23"/>
      <c r="J414" s="14"/>
      <c r="K414" s="14"/>
      <c r="L414" s="13"/>
    </row>
    <row r="415" spans="1:12" ht="18" customHeight="1">
      <c r="A415" s="23"/>
      <c r="J415" s="14"/>
      <c r="K415" s="14"/>
      <c r="L415" s="13"/>
    </row>
    <row r="416" spans="1:12" ht="18" customHeight="1">
      <c r="A416" s="23"/>
      <c r="J416" s="14"/>
      <c r="K416" s="14"/>
      <c r="L416" s="13"/>
    </row>
    <row r="417" spans="1:12" ht="18" customHeight="1">
      <c r="A417" s="23"/>
      <c r="J417" s="14"/>
      <c r="K417" s="14"/>
      <c r="L417" s="13"/>
    </row>
    <row r="418" spans="1:12" ht="18" customHeight="1">
      <c r="A418" s="23"/>
      <c r="J418" s="14"/>
      <c r="K418" s="14"/>
      <c r="L418" s="13"/>
    </row>
    <row r="419" spans="1:12" ht="18" customHeight="1">
      <c r="A419" s="23"/>
      <c r="J419" s="14"/>
      <c r="K419" s="14"/>
      <c r="L419" s="13"/>
    </row>
    <row r="420" spans="1:12" ht="18" customHeight="1">
      <c r="A420" s="23"/>
      <c r="J420" s="14"/>
      <c r="K420" s="14"/>
      <c r="L420" s="13"/>
    </row>
    <row r="421" spans="1:12" ht="18" customHeight="1">
      <c r="A421" s="23"/>
      <c r="J421" s="14"/>
      <c r="K421" s="14"/>
      <c r="L421" s="13"/>
    </row>
    <row r="422" spans="1:12" ht="18" customHeight="1">
      <c r="A422" s="23"/>
      <c r="J422" s="14"/>
      <c r="K422" s="14"/>
      <c r="L422" s="13"/>
    </row>
    <row r="423" spans="1:12" ht="18" customHeight="1">
      <c r="A423" s="23"/>
      <c r="J423" s="14"/>
      <c r="K423" s="14"/>
      <c r="L423" s="13"/>
    </row>
    <row r="424" spans="1:12" ht="18" customHeight="1">
      <c r="A424" s="23"/>
      <c r="J424" s="14"/>
      <c r="K424" s="14"/>
      <c r="L424" s="13"/>
    </row>
    <row r="425" spans="1:12" ht="18" customHeight="1">
      <c r="A425" s="23"/>
      <c r="J425" s="14"/>
      <c r="K425" s="14"/>
      <c r="L425" s="13"/>
    </row>
    <row r="426" spans="1:12" ht="18" customHeight="1">
      <c r="A426" s="23"/>
      <c r="J426" s="14"/>
      <c r="K426" s="14"/>
      <c r="L426" s="13"/>
    </row>
    <row r="427" spans="1:12" ht="18" customHeight="1">
      <c r="A427" s="23"/>
      <c r="J427" s="14"/>
      <c r="K427" s="14"/>
      <c r="L427" s="13"/>
    </row>
    <row r="428" spans="1:12" ht="18" customHeight="1">
      <c r="A428" s="23"/>
      <c r="J428" s="14"/>
      <c r="K428" s="14"/>
      <c r="L428" s="13"/>
    </row>
    <row r="429" spans="1:12" ht="18" customHeight="1">
      <c r="A429" s="23"/>
      <c r="J429" s="14"/>
      <c r="K429" s="14"/>
      <c r="L429" s="13"/>
    </row>
    <row r="430" spans="1:12" ht="18" customHeight="1">
      <c r="A430" s="23"/>
      <c r="J430" s="14"/>
      <c r="K430" s="14"/>
      <c r="L430" s="13"/>
    </row>
    <row r="431" spans="1:12" ht="18" customHeight="1">
      <c r="A431" s="23"/>
      <c r="J431" s="14"/>
      <c r="K431" s="14"/>
      <c r="L431" s="13"/>
    </row>
    <row r="432" spans="1:12" ht="18" customHeight="1">
      <c r="A432" s="23"/>
      <c r="J432" s="14"/>
      <c r="K432" s="14"/>
      <c r="L432" s="13"/>
    </row>
    <row r="433" spans="1:12" ht="18" customHeight="1">
      <c r="A433" s="23"/>
      <c r="J433" s="14"/>
      <c r="K433" s="14"/>
      <c r="L433" s="13"/>
    </row>
    <row r="434" spans="1:12" ht="18" customHeight="1">
      <c r="A434" s="23"/>
      <c r="J434" s="14"/>
      <c r="K434" s="14"/>
      <c r="L434" s="13"/>
    </row>
    <row r="435" spans="1:12" ht="18" customHeight="1">
      <c r="A435" s="23"/>
      <c r="J435" s="14"/>
      <c r="K435" s="14"/>
      <c r="L435" s="13"/>
    </row>
    <row r="436" spans="1:12" ht="18" customHeight="1">
      <c r="A436" s="23"/>
      <c r="J436" s="14"/>
      <c r="K436" s="14"/>
      <c r="L436" s="13"/>
    </row>
    <row r="437" spans="1:12" ht="18" customHeight="1">
      <c r="A437" s="23"/>
      <c r="J437" s="14"/>
      <c r="K437" s="14"/>
      <c r="L437" s="13"/>
    </row>
    <row r="438" spans="1:12" ht="18" customHeight="1">
      <c r="A438" s="23"/>
      <c r="J438" s="14"/>
      <c r="K438" s="14"/>
      <c r="L438" s="13"/>
    </row>
    <row r="439" spans="1:12" ht="18" customHeight="1">
      <c r="A439" s="23"/>
      <c r="J439" s="14"/>
      <c r="K439" s="14"/>
      <c r="L439" s="13"/>
    </row>
    <row r="440" spans="1:12" ht="18" customHeight="1">
      <c r="A440" s="23"/>
      <c r="J440" s="14"/>
      <c r="K440" s="14"/>
      <c r="L440" s="13"/>
    </row>
    <row r="441" spans="1:12" ht="18" customHeight="1">
      <c r="A441" s="23"/>
      <c r="J441" s="14"/>
      <c r="K441" s="14"/>
      <c r="L441" s="13"/>
    </row>
    <row r="442" spans="1:12" ht="18" customHeight="1">
      <c r="A442" s="23"/>
      <c r="J442" s="14"/>
      <c r="K442" s="14"/>
      <c r="L442" s="13"/>
    </row>
    <row r="443" spans="1:12" ht="18" customHeight="1">
      <c r="A443" s="23"/>
      <c r="J443" s="14"/>
      <c r="K443" s="14"/>
      <c r="L443" s="13"/>
    </row>
    <row r="444" spans="1:12" ht="18" customHeight="1">
      <c r="A444" s="23"/>
      <c r="J444" s="14"/>
      <c r="K444" s="14"/>
      <c r="L444" s="13"/>
    </row>
    <row r="445" spans="1:12" ht="18" customHeight="1">
      <c r="A445" s="23"/>
      <c r="J445" s="14"/>
      <c r="K445" s="14"/>
      <c r="L445" s="13"/>
    </row>
    <row r="446" spans="1:12" ht="18" customHeight="1">
      <c r="A446" s="23"/>
      <c r="J446" s="14"/>
      <c r="K446" s="14"/>
      <c r="L446" s="13"/>
    </row>
    <row r="447" spans="1:12" ht="18" customHeight="1">
      <c r="A447" s="23"/>
      <c r="J447" s="14"/>
      <c r="K447" s="14"/>
      <c r="L447" s="13"/>
    </row>
    <row r="448" spans="1:12" ht="18" customHeight="1">
      <c r="A448" s="23"/>
      <c r="J448" s="14"/>
      <c r="K448" s="14"/>
      <c r="L448" s="13"/>
    </row>
    <row r="449" spans="1:12" ht="18" customHeight="1">
      <c r="A449" s="23"/>
      <c r="J449" s="14"/>
      <c r="K449" s="14"/>
      <c r="L449" s="13"/>
    </row>
    <row r="450" spans="1:12" ht="18" customHeight="1">
      <c r="A450" s="23"/>
      <c r="J450" s="14"/>
      <c r="K450" s="14"/>
      <c r="L450" s="13"/>
    </row>
    <row r="451" spans="1:12" ht="18" customHeight="1">
      <c r="A451" s="23"/>
      <c r="J451" s="14"/>
      <c r="K451" s="14"/>
      <c r="L451" s="13"/>
    </row>
    <row r="452" spans="1:12" ht="18" customHeight="1">
      <c r="A452" s="23"/>
      <c r="J452" s="14"/>
      <c r="K452" s="14"/>
      <c r="L452" s="13"/>
    </row>
    <row r="453" spans="1:12" ht="18" customHeight="1">
      <c r="A453" s="23"/>
      <c r="J453" s="14"/>
      <c r="K453" s="14"/>
      <c r="L453" s="13"/>
    </row>
    <row r="454" spans="1:12" ht="18" customHeight="1">
      <c r="A454" s="23"/>
      <c r="J454" s="14"/>
      <c r="K454" s="14"/>
      <c r="L454" s="13"/>
    </row>
    <row r="455" spans="1:12" ht="18" customHeight="1">
      <c r="A455" s="23"/>
      <c r="J455" s="14"/>
      <c r="K455" s="14"/>
      <c r="L455" s="13"/>
    </row>
    <row r="456" spans="1:12" ht="18" customHeight="1">
      <c r="A456" s="23"/>
      <c r="J456" s="14"/>
      <c r="K456" s="14"/>
      <c r="L456" s="13"/>
    </row>
    <row r="457" spans="1:12" ht="18" customHeight="1">
      <c r="A457" s="23"/>
      <c r="J457" s="14"/>
      <c r="K457" s="14"/>
      <c r="L457" s="13"/>
    </row>
    <row r="458" spans="1:12" ht="18" customHeight="1">
      <c r="A458" s="23"/>
      <c r="J458" s="14"/>
      <c r="K458" s="14"/>
      <c r="L458" s="13"/>
    </row>
    <row r="459" spans="1:12" ht="18" customHeight="1">
      <c r="A459" s="23"/>
      <c r="J459" s="14"/>
      <c r="K459" s="14"/>
      <c r="L459" s="13"/>
    </row>
    <row r="460" spans="1:12" ht="18" customHeight="1">
      <c r="A460" s="23"/>
      <c r="J460" s="14"/>
      <c r="K460" s="14"/>
      <c r="L460" s="13"/>
    </row>
    <row r="461" spans="1:12" ht="18" customHeight="1">
      <c r="A461" s="23"/>
      <c r="J461" s="14"/>
      <c r="K461" s="14"/>
      <c r="L461" s="13"/>
    </row>
    <row r="462" spans="1:12" ht="18" customHeight="1">
      <c r="A462" s="23"/>
      <c r="J462" s="14"/>
      <c r="K462" s="14"/>
      <c r="L462" s="13"/>
    </row>
    <row r="463" spans="1:12" ht="18" customHeight="1">
      <c r="A463" s="23"/>
      <c r="J463" s="14"/>
      <c r="K463" s="14"/>
      <c r="L463" s="13"/>
    </row>
    <row r="464" spans="1:12" ht="18" customHeight="1">
      <c r="A464" s="23"/>
      <c r="J464" s="14"/>
      <c r="K464" s="14"/>
      <c r="L464" s="13"/>
    </row>
    <row r="465" spans="1:12" ht="18" customHeight="1">
      <c r="A465" s="23"/>
      <c r="J465" s="14"/>
      <c r="K465" s="14"/>
      <c r="L465" s="13"/>
    </row>
    <row r="466" spans="1:12" ht="18" customHeight="1">
      <c r="A466" s="23"/>
      <c r="J466" s="14"/>
      <c r="K466" s="14"/>
      <c r="L466" s="13"/>
    </row>
    <row r="467" spans="1:12" ht="18" customHeight="1">
      <c r="A467" s="23"/>
      <c r="J467" s="14"/>
      <c r="K467" s="14"/>
      <c r="L467" s="13"/>
    </row>
    <row r="468" spans="1:12" ht="18" customHeight="1">
      <c r="A468" s="23"/>
      <c r="J468" s="14"/>
      <c r="K468" s="14"/>
      <c r="L468" s="13"/>
    </row>
    <row r="469" spans="1:12" ht="18" customHeight="1">
      <c r="A469" s="23"/>
      <c r="J469" s="14"/>
      <c r="K469" s="14"/>
      <c r="L469" s="13"/>
    </row>
    <row r="470" spans="1:12" ht="18" customHeight="1">
      <c r="A470" s="23"/>
      <c r="J470" s="14"/>
      <c r="K470" s="14"/>
      <c r="L470" s="13"/>
    </row>
    <row r="471" spans="1:12" ht="18" customHeight="1">
      <c r="A471" s="23"/>
      <c r="J471" s="14"/>
      <c r="K471" s="14"/>
      <c r="L471" s="13"/>
    </row>
    <row r="472" spans="1:12" ht="18" customHeight="1">
      <c r="A472" s="23"/>
      <c r="J472" s="14"/>
      <c r="K472" s="14"/>
      <c r="L472" s="13"/>
    </row>
    <row r="473" spans="1:12" ht="18" customHeight="1">
      <c r="A473" s="23"/>
      <c r="J473" s="14"/>
      <c r="K473" s="14"/>
      <c r="L473" s="13"/>
    </row>
    <row r="474" spans="1:12" ht="18" customHeight="1">
      <c r="A474" s="23"/>
      <c r="J474" s="14"/>
      <c r="K474" s="14"/>
      <c r="L474" s="13"/>
    </row>
    <row r="475" spans="1:12" ht="18" customHeight="1">
      <c r="A475" s="23"/>
      <c r="J475" s="14"/>
      <c r="K475" s="14"/>
      <c r="L475" s="13"/>
    </row>
    <row r="476" spans="1:12" ht="18" customHeight="1">
      <c r="A476" s="23"/>
      <c r="J476" s="14"/>
      <c r="K476" s="14"/>
      <c r="L476" s="13"/>
    </row>
    <row r="477" spans="1:12" ht="18" customHeight="1">
      <c r="A477" s="23"/>
      <c r="J477" s="14"/>
      <c r="K477" s="14"/>
      <c r="L477" s="13"/>
    </row>
    <row r="478" spans="1:12" ht="18" customHeight="1">
      <c r="A478" s="23"/>
      <c r="J478" s="14"/>
      <c r="K478" s="14"/>
      <c r="L478" s="13"/>
    </row>
    <row r="479" spans="1:12" ht="18" customHeight="1">
      <c r="A479" s="23"/>
      <c r="J479" s="14"/>
      <c r="K479" s="14"/>
      <c r="L479" s="13"/>
    </row>
    <row r="480" spans="1:12" ht="18" customHeight="1">
      <c r="A480" s="23"/>
      <c r="J480" s="14"/>
      <c r="K480" s="14"/>
      <c r="L480" s="13"/>
    </row>
    <row r="481" spans="1:12" ht="18" customHeight="1">
      <c r="A481" s="23"/>
      <c r="J481" s="14"/>
      <c r="K481" s="14"/>
      <c r="L481" s="13"/>
    </row>
    <row r="482" spans="1:12" ht="18" customHeight="1">
      <c r="A482" s="23"/>
      <c r="J482" s="14"/>
      <c r="K482" s="14"/>
      <c r="L482" s="13"/>
    </row>
    <row r="483" spans="1:12" ht="18" customHeight="1">
      <c r="A483" s="23"/>
      <c r="J483" s="14"/>
      <c r="K483" s="14"/>
      <c r="L483" s="13"/>
    </row>
    <row r="484" spans="1:12" ht="18" customHeight="1">
      <c r="A484" s="23"/>
      <c r="J484" s="14"/>
      <c r="K484" s="14"/>
      <c r="L484" s="13"/>
    </row>
    <row r="485" spans="1:12" ht="18" customHeight="1">
      <c r="A485" s="23"/>
      <c r="J485" s="14"/>
      <c r="K485" s="14"/>
      <c r="L485" s="13"/>
    </row>
    <row r="486" spans="1:12" ht="18" customHeight="1">
      <c r="A486" s="23"/>
      <c r="J486" s="14"/>
      <c r="K486" s="14"/>
      <c r="L486" s="13"/>
    </row>
    <row r="487" spans="1:12" ht="18" customHeight="1">
      <c r="A487" s="23"/>
      <c r="J487" s="14"/>
      <c r="K487" s="14"/>
      <c r="L487" s="13"/>
    </row>
    <row r="488" spans="1:12" ht="18" customHeight="1">
      <c r="A488" s="23"/>
      <c r="J488" s="14"/>
      <c r="K488" s="14"/>
      <c r="L488" s="13"/>
    </row>
    <row r="489" spans="1:12" ht="18" customHeight="1">
      <c r="A489" s="23"/>
      <c r="J489" s="14"/>
      <c r="K489" s="14"/>
      <c r="L489" s="13"/>
    </row>
    <row r="490" spans="1:12" ht="18" customHeight="1">
      <c r="A490" s="23"/>
      <c r="J490" s="14"/>
      <c r="K490" s="14"/>
      <c r="L490" s="13"/>
    </row>
    <row r="491" spans="1:12" ht="18" customHeight="1">
      <c r="A491" s="23"/>
      <c r="J491" s="14"/>
      <c r="K491" s="14"/>
      <c r="L491" s="13"/>
    </row>
    <row r="492" spans="1:12" ht="18" customHeight="1">
      <c r="A492" s="23"/>
      <c r="J492" s="14"/>
      <c r="K492" s="14"/>
      <c r="L492" s="13"/>
    </row>
    <row r="493" spans="1:12" ht="18" customHeight="1">
      <c r="A493" s="23"/>
      <c r="J493" s="14"/>
      <c r="K493" s="14"/>
      <c r="L493" s="13"/>
    </row>
    <row r="494" spans="1:12" ht="18" customHeight="1">
      <c r="A494" s="23"/>
      <c r="J494" s="14"/>
      <c r="K494" s="14"/>
      <c r="L494" s="13"/>
    </row>
    <row r="495" spans="1:12" ht="18" customHeight="1">
      <c r="A495" s="23"/>
      <c r="J495" s="14"/>
      <c r="K495" s="14"/>
      <c r="L495" s="13"/>
    </row>
    <row r="496" spans="1:12" ht="18" customHeight="1">
      <c r="A496" s="23"/>
      <c r="J496" s="14"/>
      <c r="K496" s="14"/>
      <c r="L496" s="13"/>
    </row>
    <row r="497" spans="1:12" ht="18" customHeight="1">
      <c r="A497" s="23"/>
      <c r="J497" s="14"/>
      <c r="K497" s="14"/>
      <c r="L497" s="13"/>
    </row>
    <row r="498" spans="1:12" ht="18" customHeight="1">
      <c r="A498" s="23"/>
      <c r="J498" s="14"/>
      <c r="K498" s="14"/>
      <c r="L498" s="13"/>
    </row>
    <row r="499" spans="1:12" ht="18" customHeight="1">
      <c r="A499" s="23"/>
      <c r="J499" s="14"/>
      <c r="K499" s="14"/>
      <c r="L499" s="13"/>
    </row>
    <row r="500" spans="1:12" ht="18" customHeight="1">
      <c r="A500" s="23"/>
      <c r="J500" s="14"/>
      <c r="K500" s="14"/>
      <c r="L500" s="13"/>
    </row>
    <row r="501" spans="1:12" ht="18" customHeight="1">
      <c r="A501" s="23"/>
      <c r="J501" s="14"/>
      <c r="K501" s="14"/>
      <c r="L501" s="13"/>
    </row>
    <row r="502" spans="1:12" ht="18" customHeight="1">
      <c r="A502" s="23"/>
      <c r="J502" s="14"/>
      <c r="K502" s="14"/>
      <c r="L502" s="13"/>
    </row>
    <row r="503" spans="1:12" ht="18" customHeight="1">
      <c r="A503" s="23"/>
      <c r="J503" s="14"/>
      <c r="K503" s="14"/>
      <c r="L503" s="13"/>
    </row>
    <row r="504" spans="1:12" ht="18" customHeight="1">
      <c r="A504" s="23"/>
      <c r="J504" s="14"/>
      <c r="K504" s="14"/>
      <c r="L504" s="13"/>
    </row>
    <row r="505" spans="1:12" ht="18" customHeight="1">
      <c r="A505" s="23"/>
      <c r="J505" s="14"/>
      <c r="K505" s="14"/>
      <c r="L505" s="13"/>
    </row>
    <row r="506" spans="1:12" ht="18" customHeight="1">
      <c r="A506" s="23"/>
      <c r="J506" s="14"/>
      <c r="K506" s="14"/>
      <c r="L506" s="13"/>
    </row>
    <row r="507" spans="1:12" ht="18" customHeight="1">
      <c r="A507" s="23"/>
      <c r="J507" s="14"/>
      <c r="K507" s="14"/>
      <c r="L507" s="13"/>
    </row>
    <row r="508" spans="1:12" ht="18" customHeight="1">
      <c r="A508" s="23"/>
      <c r="J508" s="14"/>
      <c r="K508" s="14"/>
      <c r="L508" s="13"/>
    </row>
    <row r="509" spans="1:12" ht="18" customHeight="1">
      <c r="A509" s="23"/>
      <c r="J509" s="14"/>
      <c r="K509" s="14"/>
      <c r="L509" s="13"/>
    </row>
    <row r="510" spans="1:12" ht="18" customHeight="1">
      <c r="A510" s="23"/>
      <c r="J510" s="14"/>
      <c r="K510" s="14"/>
      <c r="L510" s="13"/>
    </row>
    <row r="511" spans="1:12" ht="18" customHeight="1">
      <c r="A511" s="23"/>
      <c r="J511" s="14"/>
      <c r="K511" s="14"/>
      <c r="L511" s="13"/>
    </row>
    <row r="512" spans="1:12" ht="18" customHeight="1">
      <c r="A512" s="23"/>
      <c r="J512" s="14"/>
      <c r="K512" s="14"/>
      <c r="L512" s="13"/>
    </row>
    <row r="513" spans="1:12" ht="18" customHeight="1">
      <c r="A513" s="23"/>
      <c r="J513" s="14"/>
      <c r="K513" s="14"/>
      <c r="L513" s="13"/>
    </row>
    <row r="514" spans="1:12" ht="18" customHeight="1">
      <c r="A514" s="23"/>
      <c r="J514" s="14"/>
      <c r="K514" s="14"/>
      <c r="L514" s="13"/>
    </row>
    <row r="515" spans="1:12" ht="18" customHeight="1">
      <c r="A515" s="23"/>
      <c r="J515" s="14"/>
      <c r="K515" s="14"/>
      <c r="L515" s="13"/>
    </row>
    <row r="516" spans="1:12" ht="18" customHeight="1">
      <c r="A516" s="23"/>
      <c r="J516" s="14"/>
      <c r="K516" s="14"/>
      <c r="L516" s="13"/>
    </row>
    <row r="517" spans="1:12" ht="18" customHeight="1">
      <c r="A517" s="23"/>
      <c r="J517" s="14"/>
      <c r="K517" s="14"/>
      <c r="L517" s="13"/>
    </row>
    <row r="518" spans="1:12" ht="18" customHeight="1">
      <c r="A518" s="23"/>
      <c r="J518" s="14"/>
      <c r="K518" s="14"/>
      <c r="L518" s="13"/>
    </row>
    <row r="519" spans="1:12" ht="18" customHeight="1">
      <c r="A519" s="23"/>
      <c r="J519" s="14"/>
      <c r="K519" s="14"/>
      <c r="L519" s="13"/>
    </row>
    <row r="520" spans="1:12" ht="18" customHeight="1">
      <c r="A520" s="23"/>
      <c r="J520" s="14"/>
      <c r="K520" s="14"/>
      <c r="L520" s="13"/>
    </row>
    <row r="521" spans="1:12" ht="18" customHeight="1">
      <c r="A521" s="23"/>
      <c r="J521" s="14"/>
      <c r="K521" s="14"/>
      <c r="L521" s="13"/>
    </row>
    <row r="522" spans="1:12" ht="18" customHeight="1">
      <c r="A522" s="23"/>
      <c r="J522" s="14"/>
      <c r="K522" s="14"/>
      <c r="L522" s="13"/>
    </row>
    <row r="523" spans="1:12" ht="18" customHeight="1">
      <c r="A523" s="23"/>
      <c r="J523" s="14"/>
      <c r="K523" s="14"/>
      <c r="L523" s="13"/>
    </row>
    <row r="524" spans="1:12" ht="18" customHeight="1">
      <c r="A524" s="23"/>
      <c r="J524" s="14"/>
      <c r="K524" s="14"/>
      <c r="L524" s="13"/>
    </row>
    <row r="525" spans="1:12" ht="18" customHeight="1">
      <c r="A525" s="23"/>
      <c r="J525" s="14"/>
      <c r="K525" s="14"/>
      <c r="L525" s="13"/>
    </row>
    <row r="526" spans="1:12" ht="18" customHeight="1">
      <c r="A526" s="23"/>
      <c r="J526" s="14"/>
      <c r="K526" s="14"/>
      <c r="L526" s="13"/>
    </row>
    <row r="527" spans="1:12" ht="18" customHeight="1">
      <c r="A527" s="23"/>
      <c r="J527" s="14"/>
      <c r="K527" s="14"/>
      <c r="L527" s="13"/>
    </row>
    <row r="528" spans="1:12" ht="18" customHeight="1">
      <c r="A528" s="23"/>
      <c r="J528" s="14"/>
      <c r="K528" s="14"/>
      <c r="L528" s="13"/>
    </row>
    <row r="529" spans="1:12" ht="18" customHeight="1">
      <c r="A529" s="23"/>
      <c r="J529" s="14"/>
      <c r="K529" s="14"/>
      <c r="L529" s="13"/>
    </row>
    <row r="530" spans="1:12" ht="18" customHeight="1">
      <c r="A530" s="23"/>
      <c r="J530" s="14"/>
      <c r="K530" s="14"/>
      <c r="L530" s="13"/>
    </row>
    <row r="531" spans="1:12" ht="18" customHeight="1">
      <c r="A531" s="23"/>
      <c r="J531" s="14"/>
      <c r="K531" s="14"/>
      <c r="L531" s="13"/>
    </row>
    <row r="532" spans="1:12" ht="18" customHeight="1">
      <c r="A532" s="23"/>
      <c r="J532" s="14"/>
      <c r="K532" s="14"/>
      <c r="L532" s="13"/>
    </row>
    <row r="533" spans="1:12" ht="18" customHeight="1">
      <c r="A533" s="23"/>
      <c r="J533" s="14"/>
      <c r="K533" s="14"/>
      <c r="L533" s="13"/>
    </row>
    <row r="534" spans="1:12" ht="18" customHeight="1">
      <c r="A534" s="23"/>
      <c r="J534" s="14"/>
      <c r="K534" s="14"/>
      <c r="L534" s="13"/>
    </row>
    <row r="535" spans="1:12" ht="18" customHeight="1">
      <c r="A535" s="23"/>
      <c r="J535" s="14"/>
      <c r="K535" s="14"/>
      <c r="L535" s="13"/>
    </row>
    <row r="536" spans="1:12" ht="18" customHeight="1">
      <c r="A536" s="23"/>
      <c r="J536" s="14"/>
      <c r="K536" s="14"/>
      <c r="L536" s="13"/>
    </row>
    <row r="537" spans="1:12" ht="18" customHeight="1">
      <c r="A537" s="23"/>
      <c r="J537" s="14"/>
      <c r="K537" s="14"/>
      <c r="L537" s="13"/>
    </row>
    <row r="538" spans="1:12" ht="18" customHeight="1">
      <c r="A538" s="23"/>
      <c r="J538" s="14"/>
      <c r="K538" s="14"/>
      <c r="L538" s="13"/>
    </row>
    <row r="539" spans="1:12" ht="18" customHeight="1">
      <c r="A539" s="23"/>
      <c r="J539" s="14"/>
      <c r="K539" s="14"/>
      <c r="L539" s="13"/>
    </row>
    <row r="540" spans="1:12" ht="18" customHeight="1">
      <c r="A540" s="23"/>
      <c r="J540" s="14"/>
      <c r="K540" s="14"/>
      <c r="L540" s="13"/>
    </row>
    <row r="541" spans="1:12" ht="18" customHeight="1">
      <c r="A541" s="23"/>
      <c r="J541" s="14"/>
      <c r="K541" s="14"/>
      <c r="L541" s="13"/>
    </row>
    <row r="542" spans="1:12" ht="18" customHeight="1">
      <c r="A542" s="23"/>
      <c r="J542" s="14"/>
      <c r="K542" s="14"/>
      <c r="L542" s="13"/>
    </row>
    <row r="543" spans="1:12" ht="18" customHeight="1">
      <c r="A543" s="23"/>
      <c r="J543" s="14"/>
      <c r="K543" s="14"/>
      <c r="L543" s="13"/>
    </row>
    <row r="544" spans="1:12" ht="18" customHeight="1">
      <c r="A544" s="23"/>
      <c r="J544" s="14"/>
      <c r="K544" s="14"/>
      <c r="L544" s="13"/>
    </row>
    <row r="545" spans="1:12" ht="18" customHeight="1">
      <c r="A545" s="23"/>
      <c r="J545" s="14"/>
      <c r="K545" s="14"/>
      <c r="L545" s="13"/>
    </row>
    <row r="546" spans="1:12" ht="18" customHeight="1">
      <c r="A546" s="23"/>
      <c r="J546" s="14"/>
      <c r="K546" s="14"/>
      <c r="L546" s="13"/>
    </row>
    <row r="547" spans="1:12" ht="18" customHeight="1">
      <c r="A547" s="23"/>
      <c r="J547" s="14"/>
      <c r="K547" s="14"/>
      <c r="L547" s="13"/>
    </row>
    <row r="548" spans="1:12" ht="18" customHeight="1">
      <c r="A548" s="23"/>
      <c r="J548" s="14"/>
      <c r="K548" s="14"/>
      <c r="L548" s="13"/>
    </row>
    <row r="549" spans="1:12" ht="18" customHeight="1">
      <c r="A549" s="23"/>
      <c r="J549" s="14"/>
      <c r="K549" s="14"/>
      <c r="L549" s="13"/>
    </row>
    <row r="550" spans="1:12" ht="18" customHeight="1">
      <c r="A550" s="23"/>
      <c r="J550" s="14"/>
      <c r="K550" s="14"/>
      <c r="L550" s="13"/>
    </row>
    <row r="551" spans="1:12" ht="18" customHeight="1">
      <c r="A551" s="23"/>
      <c r="J551" s="14"/>
      <c r="K551" s="14"/>
      <c r="L551" s="13"/>
    </row>
    <row r="552" spans="1:12" ht="18" customHeight="1">
      <c r="A552" s="23"/>
      <c r="J552" s="14"/>
      <c r="K552" s="14"/>
      <c r="L552" s="13"/>
    </row>
    <row r="553" spans="1:12" ht="18" customHeight="1">
      <c r="A553" s="23"/>
      <c r="J553" s="14"/>
      <c r="K553" s="14"/>
      <c r="L553" s="13"/>
    </row>
    <row r="554" spans="1:12" ht="18" customHeight="1">
      <c r="A554" s="23"/>
      <c r="J554" s="14"/>
      <c r="K554" s="14"/>
      <c r="L554" s="13"/>
    </row>
    <row r="555" spans="1:12" ht="18" customHeight="1">
      <c r="A555" s="23"/>
      <c r="J555" s="14"/>
      <c r="K555" s="14"/>
      <c r="L555" s="13"/>
    </row>
    <row r="556" spans="1:12" ht="18" customHeight="1">
      <c r="A556" s="23"/>
      <c r="J556" s="14"/>
      <c r="K556" s="14"/>
      <c r="L556" s="13"/>
    </row>
    <row r="557" spans="1:12" ht="18" customHeight="1">
      <c r="A557" s="23"/>
      <c r="J557" s="14"/>
      <c r="K557" s="14"/>
      <c r="L557" s="13"/>
    </row>
    <row r="558" spans="1:12" ht="18" customHeight="1">
      <c r="A558" s="23"/>
      <c r="J558" s="14"/>
      <c r="K558" s="14"/>
      <c r="L558" s="13"/>
    </row>
    <row r="559" spans="1:12" ht="18" customHeight="1">
      <c r="A559" s="23"/>
      <c r="J559" s="14"/>
      <c r="K559" s="14"/>
      <c r="L559" s="13"/>
    </row>
    <row r="560" spans="1:12" ht="18" customHeight="1">
      <c r="A560" s="23"/>
      <c r="J560" s="14"/>
      <c r="K560" s="14"/>
      <c r="L560" s="13"/>
    </row>
    <row r="561" spans="1:12" ht="18" customHeight="1">
      <c r="A561" s="23"/>
      <c r="J561" s="14"/>
      <c r="K561" s="14"/>
      <c r="L561" s="13"/>
    </row>
    <row r="562" spans="1:12" ht="18" customHeight="1">
      <c r="A562" s="23"/>
      <c r="J562" s="14"/>
      <c r="K562" s="14"/>
      <c r="L562" s="13"/>
    </row>
    <row r="563" spans="1:12" ht="18" customHeight="1">
      <c r="A563" s="23"/>
      <c r="J563" s="14"/>
      <c r="K563" s="14"/>
      <c r="L563" s="13"/>
    </row>
    <row r="564" spans="1:12" ht="18" customHeight="1">
      <c r="A564" s="23"/>
      <c r="J564" s="14"/>
      <c r="K564" s="14"/>
      <c r="L564" s="13"/>
    </row>
    <row r="565" spans="1:12" ht="18" customHeight="1">
      <c r="A565" s="23"/>
      <c r="J565" s="14"/>
      <c r="K565" s="14"/>
      <c r="L565" s="13"/>
    </row>
    <row r="566" spans="1:12" ht="18" customHeight="1">
      <c r="A566" s="23"/>
      <c r="J566" s="14"/>
      <c r="K566" s="14"/>
      <c r="L566" s="13"/>
    </row>
    <row r="567" spans="1:12" ht="18" customHeight="1">
      <c r="A567" s="23"/>
      <c r="J567" s="14"/>
      <c r="K567" s="14"/>
      <c r="L567" s="13"/>
    </row>
    <row r="568" spans="1:12" ht="18" customHeight="1">
      <c r="A568" s="23"/>
      <c r="J568" s="14"/>
      <c r="K568" s="14"/>
      <c r="L568" s="13"/>
    </row>
    <row r="569" spans="1:12" ht="18" customHeight="1">
      <c r="A569" s="23"/>
      <c r="J569" s="14"/>
      <c r="K569" s="14"/>
      <c r="L569" s="13"/>
    </row>
    <row r="570" spans="1:12" ht="18" customHeight="1">
      <c r="A570" s="23"/>
      <c r="J570" s="14"/>
      <c r="K570" s="14"/>
      <c r="L570" s="13"/>
    </row>
    <row r="571" spans="1:12" ht="18" customHeight="1">
      <c r="A571" s="23"/>
      <c r="J571" s="14"/>
      <c r="K571" s="14"/>
      <c r="L571" s="13"/>
    </row>
    <row r="572" spans="1:12" ht="18" customHeight="1">
      <c r="A572" s="23"/>
      <c r="J572" s="14"/>
      <c r="K572" s="14"/>
      <c r="L572" s="13"/>
    </row>
    <row r="573" spans="1:12" ht="18" customHeight="1">
      <c r="A573" s="23"/>
      <c r="J573" s="14"/>
      <c r="K573" s="14"/>
      <c r="L573" s="13"/>
    </row>
    <row r="574" spans="1:12" ht="18" customHeight="1">
      <c r="A574" s="23"/>
      <c r="J574" s="14"/>
      <c r="K574" s="14"/>
      <c r="L574" s="13"/>
    </row>
    <row r="575" spans="1:12" ht="18" customHeight="1">
      <c r="A575" s="23"/>
      <c r="J575" s="14"/>
      <c r="K575" s="14"/>
      <c r="L575" s="13"/>
    </row>
    <row r="576" spans="1:12" ht="18" customHeight="1">
      <c r="A576" s="23"/>
      <c r="J576" s="14"/>
      <c r="K576" s="14"/>
      <c r="L576" s="13"/>
    </row>
    <row r="577" spans="1:12" ht="18" customHeight="1">
      <c r="A577" s="23"/>
      <c r="J577" s="14"/>
      <c r="K577" s="14"/>
      <c r="L577" s="13"/>
    </row>
    <row r="578" spans="1:12" ht="18" customHeight="1">
      <c r="A578" s="23"/>
      <c r="J578" s="14"/>
      <c r="K578" s="14"/>
      <c r="L578" s="13"/>
    </row>
    <row r="579" spans="1:12" ht="18" customHeight="1">
      <c r="A579" s="23"/>
      <c r="J579" s="14"/>
      <c r="K579" s="14"/>
      <c r="L579" s="13"/>
    </row>
    <row r="580" spans="1:12" ht="18" customHeight="1">
      <c r="A580" s="23"/>
      <c r="J580" s="14"/>
      <c r="K580" s="14"/>
      <c r="L580" s="13"/>
    </row>
    <row r="581" spans="1:12" ht="18" customHeight="1">
      <c r="A581" s="23"/>
      <c r="J581" s="14"/>
      <c r="K581" s="14"/>
      <c r="L581" s="13"/>
    </row>
    <row r="582" spans="1:12" ht="18" customHeight="1">
      <c r="A582" s="23"/>
      <c r="J582" s="14"/>
      <c r="K582" s="14"/>
      <c r="L582" s="13"/>
    </row>
    <row r="583" spans="1:12" ht="18" customHeight="1">
      <c r="A583" s="23"/>
      <c r="J583" s="14"/>
      <c r="K583" s="14"/>
      <c r="L583" s="13"/>
    </row>
    <row r="584" spans="1:12" ht="18" customHeight="1">
      <c r="A584" s="23"/>
      <c r="J584" s="14"/>
      <c r="K584" s="14"/>
      <c r="L584" s="13"/>
    </row>
    <row r="585" spans="1:12" ht="18" customHeight="1">
      <c r="A585" s="23"/>
      <c r="J585" s="14"/>
      <c r="K585" s="14"/>
      <c r="L585" s="13"/>
    </row>
    <row r="586" spans="1:12" ht="18" customHeight="1">
      <c r="A586" s="23"/>
      <c r="J586" s="14"/>
      <c r="K586" s="14"/>
      <c r="L586" s="13"/>
    </row>
    <row r="587" spans="1:12" ht="18" customHeight="1">
      <c r="A587" s="23"/>
      <c r="J587" s="14"/>
      <c r="K587" s="14"/>
      <c r="L587" s="13"/>
    </row>
    <row r="588" spans="1:12" ht="18" customHeight="1">
      <c r="A588" s="23"/>
      <c r="J588" s="14"/>
      <c r="K588" s="14"/>
      <c r="L588" s="13"/>
    </row>
    <row r="589" spans="1:12" ht="18" customHeight="1">
      <c r="A589" s="23"/>
      <c r="J589" s="14"/>
      <c r="K589" s="14"/>
      <c r="L589" s="13"/>
    </row>
    <row r="590" spans="1:12" ht="18" customHeight="1">
      <c r="A590" s="23"/>
      <c r="J590" s="14"/>
      <c r="K590" s="14"/>
      <c r="L590" s="13"/>
    </row>
    <row r="591" spans="1:12" ht="18" customHeight="1">
      <c r="A591" s="23"/>
      <c r="J591" s="14"/>
      <c r="K591" s="14"/>
      <c r="L591" s="13"/>
    </row>
    <row r="592" spans="1:12" ht="18" customHeight="1">
      <c r="A592" s="23"/>
      <c r="J592" s="14"/>
      <c r="K592" s="14"/>
      <c r="L592" s="13"/>
    </row>
    <row r="593" spans="1:12" ht="18" customHeight="1">
      <c r="A593" s="23"/>
      <c r="J593" s="14"/>
      <c r="K593" s="14"/>
      <c r="L593" s="13"/>
    </row>
    <row r="594" spans="1:12" ht="18" customHeight="1">
      <c r="A594" s="23"/>
      <c r="J594" s="14"/>
      <c r="K594" s="14"/>
      <c r="L594" s="13"/>
    </row>
    <row r="595" spans="1:12" ht="18" customHeight="1">
      <c r="A595" s="23"/>
      <c r="J595" s="14"/>
      <c r="K595" s="14"/>
      <c r="L595" s="13"/>
    </row>
    <row r="596" spans="1:12" ht="18" customHeight="1">
      <c r="A596" s="23"/>
      <c r="J596" s="14"/>
      <c r="K596" s="14"/>
      <c r="L596" s="13"/>
    </row>
    <row r="597" spans="1:12" ht="18" customHeight="1">
      <c r="A597" s="23"/>
      <c r="J597" s="14"/>
      <c r="K597" s="14"/>
      <c r="L597" s="13"/>
    </row>
    <row r="598" spans="1:12" ht="18" customHeight="1">
      <c r="A598" s="23"/>
      <c r="J598" s="14"/>
      <c r="K598" s="14"/>
      <c r="L598" s="13"/>
    </row>
    <row r="599" spans="1:12" ht="18" customHeight="1">
      <c r="A599" s="23"/>
      <c r="J599" s="14"/>
      <c r="K599" s="14"/>
      <c r="L599" s="13"/>
    </row>
    <row r="600" spans="1:12" ht="18" customHeight="1">
      <c r="A600" s="23"/>
      <c r="J600" s="14"/>
      <c r="K600" s="14"/>
      <c r="L600" s="13"/>
    </row>
    <row r="601" spans="1:12" ht="18" customHeight="1">
      <c r="A601" s="23"/>
      <c r="J601" s="14"/>
      <c r="K601" s="14"/>
      <c r="L601" s="13"/>
    </row>
    <row r="602" spans="1:12" ht="18" customHeight="1">
      <c r="A602" s="23"/>
      <c r="J602" s="14"/>
      <c r="K602" s="14"/>
      <c r="L602" s="13"/>
    </row>
    <row r="603" spans="1:12" ht="18" customHeight="1">
      <c r="A603" s="23"/>
      <c r="J603" s="14"/>
      <c r="K603" s="14"/>
      <c r="L603" s="13"/>
    </row>
    <row r="604" spans="1:12" ht="18" customHeight="1">
      <c r="A604" s="23"/>
      <c r="J604" s="14"/>
      <c r="K604" s="14"/>
      <c r="L604" s="13"/>
    </row>
    <row r="605" spans="1:12" ht="18" customHeight="1">
      <c r="A605" s="23"/>
      <c r="J605" s="14"/>
      <c r="K605" s="14"/>
      <c r="L605" s="13"/>
    </row>
    <row r="606" spans="1:12" ht="18" customHeight="1">
      <c r="A606" s="23"/>
      <c r="J606" s="14"/>
      <c r="K606" s="14"/>
      <c r="L606" s="13"/>
    </row>
    <row r="607" spans="1:12" ht="18" customHeight="1">
      <c r="A607" s="23"/>
      <c r="J607" s="14"/>
      <c r="K607" s="14"/>
      <c r="L607" s="13"/>
    </row>
    <row r="608" spans="1:12" ht="18" customHeight="1">
      <c r="A608" s="23"/>
      <c r="J608" s="14"/>
      <c r="K608" s="14"/>
      <c r="L608" s="13"/>
    </row>
    <row r="609" spans="1:12" ht="18" customHeight="1">
      <c r="A609" s="23"/>
      <c r="J609" s="14"/>
      <c r="K609" s="14"/>
      <c r="L609" s="13"/>
    </row>
    <row r="610" spans="1:12" ht="18" customHeight="1">
      <c r="A610" s="23"/>
      <c r="J610" s="14"/>
      <c r="K610" s="14"/>
      <c r="L610" s="13"/>
    </row>
    <row r="611" spans="1:12" ht="18" customHeight="1">
      <c r="A611" s="23"/>
      <c r="J611" s="14"/>
      <c r="K611" s="14"/>
      <c r="L611" s="13"/>
    </row>
    <row r="612" spans="1:12" ht="18" customHeight="1">
      <c r="A612" s="23"/>
      <c r="J612" s="14"/>
      <c r="K612" s="14"/>
      <c r="L612" s="13"/>
    </row>
    <row r="613" spans="1:12" ht="18" customHeight="1">
      <c r="A613" s="23"/>
      <c r="J613" s="14"/>
      <c r="K613" s="14"/>
      <c r="L613" s="13"/>
    </row>
    <row r="614" spans="1:12" ht="18" customHeight="1">
      <c r="A614" s="23"/>
      <c r="J614" s="14"/>
      <c r="K614" s="14"/>
      <c r="L614" s="13"/>
    </row>
    <row r="615" spans="1:12" ht="18" customHeight="1">
      <c r="A615" s="23"/>
      <c r="J615" s="14"/>
      <c r="K615" s="14"/>
      <c r="L615" s="13"/>
    </row>
    <row r="616" spans="1:12" ht="18" customHeight="1">
      <c r="A616" s="23"/>
      <c r="J616" s="14"/>
      <c r="K616" s="14"/>
      <c r="L616" s="13"/>
    </row>
    <row r="617" spans="1:12" ht="18" customHeight="1">
      <c r="A617" s="23"/>
      <c r="J617" s="14"/>
      <c r="K617" s="14"/>
      <c r="L617" s="13"/>
    </row>
    <row r="618" spans="1:12" ht="18" customHeight="1">
      <c r="A618" s="23"/>
      <c r="J618" s="14"/>
      <c r="K618" s="14"/>
      <c r="L618" s="13"/>
    </row>
    <row r="619" spans="1:12" ht="18" customHeight="1">
      <c r="A619" s="23"/>
      <c r="J619" s="14"/>
      <c r="K619" s="14"/>
      <c r="L619" s="13"/>
    </row>
    <row r="620" spans="1:12" ht="18" customHeight="1">
      <c r="A620" s="23"/>
      <c r="J620" s="14"/>
      <c r="K620" s="14"/>
      <c r="L620" s="13"/>
    </row>
    <row r="621" spans="1:12" ht="18" customHeight="1">
      <c r="A621" s="23"/>
      <c r="J621" s="14"/>
      <c r="K621" s="14"/>
      <c r="L621" s="13"/>
    </row>
    <row r="622" spans="1:12" ht="18" customHeight="1">
      <c r="A622" s="23"/>
      <c r="J622" s="14"/>
      <c r="K622" s="14"/>
      <c r="L622" s="13"/>
    </row>
    <row r="623" spans="1:12" ht="18" customHeight="1">
      <c r="A623" s="23"/>
      <c r="J623" s="14"/>
      <c r="K623" s="14"/>
      <c r="L623" s="13"/>
    </row>
    <row r="624" spans="1:12" ht="18" customHeight="1">
      <c r="A624" s="23"/>
      <c r="J624" s="14"/>
      <c r="K624" s="14"/>
      <c r="L624" s="13"/>
    </row>
    <row r="625" spans="1:12" ht="18" customHeight="1">
      <c r="A625" s="23"/>
      <c r="J625" s="14"/>
      <c r="K625" s="14"/>
      <c r="L625" s="13"/>
    </row>
    <row r="626" spans="1:12" ht="18" customHeight="1">
      <c r="A626" s="23"/>
      <c r="J626" s="14"/>
      <c r="K626" s="14"/>
      <c r="L626" s="13"/>
    </row>
    <row r="627" spans="1:12" ht="18" customHeight="1">
      <c r="A627" s="23"/>
      <c r="J627" s="14"/>
      <c r="K627" s="14"/>
      <c r="L627" s="13"/>
    </row>
    <row r="628" spans="1:12" ht="18" customHeight="1">
      <c r="A628" s="23"/>
      <c r="J628" s="14"/>
      <c r="K628" s="14"/>
      <c r="L628" s="13"/>
    </row>
    <row r="629" spans="1:12" ht="18" customHeight="1">
      <c r="A629" s="23"/>
      <c r="J629" s="14"/>
      <c r="K629" s="14"/>
      <c r="L629" s="13"/>
    </row>
    <row r="630" spans="1:12" ht="18" customHeight="1">
      <c r="A630" s="23"/>
      <c r="J630" s="14"/>
      <c r="K630" s="14"/>
      <c r="L630" s="13"/>
    </row>
    <row r="631" spans="1:12" ht="18" customHeight="1">
      <c r="A631" s="23"/>
      <c r="J631" s="14"/>
      <c r="K631" s="14"/>
      <c r="L631" s="13"/>
    </row>
    <row r="632" spans="1:12" ht="18" customHeight="1">
      <c r="A632" s="23"/>
      <c r="J632" s="14"/>
      <c r="K632" s="14"/>
      <c r="L632" s="13"/>
    </row>
    <row r="633" spans="1:12" ht="18" customHeight="1">
      <c r="A633" s="23"/>
      <c r="J633" s="14"/>
      <c r="K633" s="14"/>
      <c r="L633" s="13"/>
    </row>
    <row r="634" spans="1:12" ht="18" customHeight="1">
      <c r="A634" s="23"/>
      <c r="J634" s="14"/>
      <c r="K634" s="14"/>
      <c r="L634" s="13"/>
    </row>
    <row r="635" spans="1:12" ht="18" customHeight="1">
      <c r="A635" s="23"/>
      <c r="J635" s="14"/>
      <c r="K635" s="14"/>
      <c r="L635" s="13"/>
    </row>
    <row r="636" spans="1:12" ht="18" customHeight="1">
      <c r="A636" s="23"/>
      <c r="J636" s="14"/>
      <c r="K636" s="14"/>
      <c r="L636" s="13"/>
    </row>
    <row r="637" spans="1:12" ht="18" customHeight="1">
      <c r="A637" s="23"/>
      <c r="J637" s="14"/>
      <c r="K637" s="14"/>
      <c r="L637" s="13"/>
    </row>
    <row r="638" spans="1:12" ht="18" customHeight="1">
      <c r="A638" s="23"/>
      <c r="J638" s="14"/>
      <c r="K638" s="14"/>
      <c r="L638" s="13"/>
    </row>
    <row r="639" spans="1:12" ht="18" customHeight="1">
      <c r="A639" s="23"/>
      <c r="J639" s="14"/>
      <c r="K639" s="14"/>
      <c r="L639" s="13"/>
    </row>
    <row r="640" spans="1:12" ht="18" customHeight="1">
      <c r="A640" s="23"/>
      <c r="J640" s="14"/>
      <c r="K640" s="14"/>
      <c r="L640" s="13"/>
    </row>
    <row r="641" spans="1:12" ht="18" customHeight="1">
      <c r="A641" s="23"/>
      <c r="J641" s="14"/>
      <c r="K641" s="14"/>
      <c r="L641" s="13"/>
    </row>
    <row r="642" spans="1:12" ht="18" customHeight="1">
      <c r="A642" s="23"/>
      <c r="J642" s="14"/>
      <c r="K642" s="14"/>
      <c r="L642" s="13"/>
    </row>
    <row r="643" spans="1:12" ht="18" customHeight="1">
      <c r="A643" s="23"/>
      <c r="J643" s="14"/>
      <c r="K643" s="14"/>
      <c r="L643" s="13"/>
    </row>
    <row r="644" spans="1:12" ht="18" customHeight="1">
      <c r="A644" s="23"/>
      <c r="J644" s="14"/>
      <c r="K644" s="14"/>
      <c r="L644" s="13"/>
    </row>
    <row r="645" spans="1:12" ht="18" customHeight="1">
      <c r="A645" s="23"/>
      <c r="J645" s="14"/>
      <c r="K645" s="14"/>
      <c r="L645" s="13"/>
    </row>
    <row r="646" spans="1:12" ht="18" customHeight="1">
      <c r="A646" s="23"/>
      <c r="J646" s="14"/>
      <c r="K646" s="14"/>
      <c r="L646" s="13"/>
    </row>
    <row r="647" spans="1:12" ht="18" customHeight="1">
      <c r="A647" s="23"/>
      <c r="J647" s="14"/>
      <c r="K647" s="14"/>
      <c r="L647" s="13"/>
    </row>
    <row r="648" spans="1:12" ht="18" customHeight="1">
      <c r="A648" s="23"/>
      <c r="J648" s="14"/>
      <c r="K648" s="14"/>
      <c r="L648" s="13"/>
    </row>
    <row r="649" spans="1:12" ht="18" customHeight="1">
      <c r="A649" s="23"/>
      <c r="J649" s="14"/>
      <c r="K649" s="14"/>
      <c r="L649" s="13"/>
    </row>
    <row r="650" spans="1:12" ht="18" customHeight="1">
      <c r="A650" s="23"/>
      <c r="J650" s="14"/>
      <c r="K650" s="14"/>
      <c r="L650" s="13"/>
    </row>
    <row r="651" spans="1:12" ht="18" customHeight="1">
      <c r="A651" s="23"/>
      <c r="J651" s="14"/>
      <c r="K651" s="14"/>
      <c r="L651" s="13"/>
    </row>
    <row r="652" spans="1:12" ht="18" customHeight="1">
      <c r="A652" s="23"/>
      <c r="J652" s="14"/>
      <c r="K652" s="14"/>
      <c r="L652" s="13"/>
    </row>
    <row r="653" spans="1:12" ht="18" customHeight="1">
      <c r="A653" s="23"/>
      <c r="J653" s="14"/>
      <c r="K653" s="14"/>
      <c r="L653" s="13"/>
    </row>
    <row r="654" spans="1:12" ht="18" customHeight="1">
      <c r="A654" s="23"/>
      <c r="J654" s="14"/>
      <c r="K654" s="14"/>
      <c r="L654" s="13"/>
    </row>
    <row r="655" spans="1:12" ht="18" customHeight="1">
      <c r="A655" s="23"/>
      <c r="J655" s="14"/>
      <c r="K655" s="14"/>
      <c r="L655" s="13"/>
    </row>
    <row r="656" spans="1:12" ht="18" customHeight="1">
      <c r="A656" s="23"/>
      <c r="J656" s="14"/>
      <c r="K656" s="14"/>
      <c r="L656" s="13"/>
    </row>
    <row r="657" spans="1:12" ht="18" customHeight="1">
      <c r="A657" s="23"/>
      <c r="J657" s="14"/>
      <c r="K657" s="14"/>
      <c r="L657" s="13"/>
    </row>
    <row r="658" spans="1:12" ht="18" customHeight="1">
      <c r="A658" s="23"/>
      <c r="J658" s="14"/>
      <c r="K658" s="14"/>
      <c r="L658" s="13"/>
    </row>
    <row r="659" spans="1:12" ht="18" customHeight="1">
      <c r="A659" s="23"/>
      <c r="J659" s="14"/>
      <c r="K659" s="14"/>
      <c r="L659" s="13"/>
    </row>
    <row r="660" spans="1:12" ht="18" customHeight="1">
      <c r="A660" s="23"/>
      <c r="J660" s="14"/>
      <c r="K660" s="14"/>
      <c r="L660" s="13"/>
    </row>
    <row r="661" spans="1:12" ht="18" customHeight="1">
      <c r="A661" s="23"/>
      <c r="J661" s="14"/>
      <c r="K661" s="14"/>
      <c r="L661" s="13"/>
    </row>
    <row r="662" spans="1:12" ht="18" customHeight="1">
      <c r="A662" s="23"/>
      <c r="J662" s="14"/>
      <c r="K662" s="14"/>
      <c r="L662" s="13"/>
    </row>
    <row r="663" spans="1:12" ht="18" customHeight="1">
      <c r="A663" s="23"/>
      <c r="J663" s="14"/>
      <c r="K663" s="14"/>
      <c r="L663" s="13"/>
    </row>
    <row r="664" spans="1:12" ht="18" customHeight="1">
      <c r="A664" s="23"/>
      <c r="J664" s="14"/>
      <c r="K664" s="14"/>
      <c r="L664" s="13"/>
    </row>
    <row r="665" spans="1:12" ht="18" customHeight="1">
      <c r="A665" s="23"/>
      <c r="J665" s="14"/>
      <c r="K665" s="14"/>
      <c r="L665" s="13"/>
    </row>
    <row r="666" spans="1:12" ht="18" customHeight="1">
      <c r="A666" s="23"/>
      <c r="J666" s="14"/>
      <c r="K666" s="14"/>
      <c r="L666" s="13"/>
    </row>
    <row r="667" spans="1:12" ht="18" customHeight="1">
      <c r="A667" s="23"/>
      <c r="J667" s="14"/>
      <c r="K667" s="14"/>
      <c r="L667" s="13"/>
    </row>
    <row r="668" spans="1:12" ht="18" customHeight="1">
      <c r="A668" s="23"/>
      <c r="J668" s="14"/>
      <c r="K668" s="14"/>
      <c r="L668" s="13"/>
    </row>
    <row r="669" spans="1:12" ht="18" customHeight="1">
      <c r="A669" s="23"/>
      <c r="J669" s="14"/>
      <c r="K669" s="14"/>
      <c r="L669" s="13"/>
    </row>
    <row r="670" spans="1:12" ht="18" customHeight="1">
      <c r="A670" s="23"/>
      <c r="J670" s="14"/>
      <c r="K670" s="14"/>
      <c r="L670" s="13"/>
    </row>
    <row r="671" spans="1:12" ht="18" customHeight="1">
      <c r="A671" s="23"/>
      <c r="J671" s="14"/>
      <c r="K671" s="14"/>
      <c r="L671" s="13"/>
    </row>
    <row r="672" spans="1:12" ht="18" customHeight="1">
      <c r="A672" s="23"/>
      <c r="J672" s="14"/>
      <c r="K672" s="14"/>
      <c r="L672" s="13"/>
    </row>
    <row r="673" spans="1:12" ht="18" customHeight="1">
      <c r="A673" s="23"/>
      <c r="J673" s="14"/>
      <c r="K673" s="14"/>
      <c r="L673" s="13"/>
    </row>
    <row r="674" spans="1:12" ht="18" customHeight="1">
      <c r="A674" s="23"/>
      <c r="J674" s="14"/>
      <c r="K674" s="14"/>
      <c r="L674" s="13"/>
    </row>
    <row r="675" spans="1:12" ht="18" customHeight="1">
      <c r="A675" s="23"/>
      <c r="J675" s="14"/>
      <c r="K675" s="14"/>
      <c r="L675" s="13"/>
    </row>
    <row r="676" spans="1:12" ht="18" customHeight="1">
      <c r="A676" s="23"/>
      <c r="J676" s="14"/>
      <c r="K676" s="14"/>
      <c r="L676" s="13"/>
    </row>
    <row r="677" spans="1:12" ht="18" customHeight="1">
      <c r="A677" s="23"/>
      <c r="J677" s="14"/>
      <c r="K677" s="14"/>
      <c r="L677" s="13"/>
    </row>
    <row r="678" spans="1:12" ht="18" customHeight="1">
      <c r="A678" s="23"/>
      <c r="J678" s="14"/>
      <c r="K678" s="14"/>
      <c r="L678" s="13"/>
    </row>
    <row r="679" spans="1:12" ht="18" customHeight="1">
      <c r="A679" s="23"/>
      <c r="J679" s="14"/>
      <c r="K679" s="14"/>
      <c r="L679" s="13"/>
    </row>
    <row r="680" spans="1:12" ht="18" customHeight="1">
      <c r="A680" s="23"/>
      <c r="J680" s="14"/>
      <c r="K680" s="14"/>
      <c r="L680" s="13"/>
    </row>
    <row r="681" spans="1:12" ht="18" customHeight="1">
      <c r="A681" s="23"/>
      <c r="J681" s="14"/>
      <c r="K681" s="14"/>
      <c r="L681" s="13"/>
    </row>
    <row r="682" spans="1:12" ht="18" customHeight="1">
      <c r="A682" s="23"/>
      <c r="J682" s="14"/>
      <c r="K682" s="14"/>
      <c r="L682" s="13"/>
    </row>
    <row r="683" spans="1:12" ht="18" customHeight="1">
      <c r="A683" s="23"/>
      <c r="J683" s="14"/>
      <c r="K683" s="14"/>
      <c r="L683" s="13"/>
    </row>
    <row r="684" spans="1:12" ht="18" customHeight="1">
      <c r="A684" s="23"/>
      <c r="J684" s="14"/>
      <c r="K684" s="14"/>
      <c r="L684" s="13"/>
    </row>
    <row r="685" spans="1:12" ht="18" customHeight="1">
      <c r="A685" s="23"/>
      <c r="J685" s="14"/>
      <c r="K685" s="14"/>
      <c r="L685" s="13"/>
    </row>
    <row r="686" spans="1:12" ht="18" customHeight="1">
      <c r="A686" s="23"/>
      <c r="J686" s="14"/>
      <c r="K686" s="14"/>
      <c r="L686" s="13"/>
    </row>
    <row r="687" spans="1:12" ht="18" customHeight="1">
      <c r="A687" s="23"/>
      <c r="J687" s="14"/>
      <c r="K687" s="14"/>
      <c r="L687" s="13"/>
    </row>
    <row r="688" spans="1:12" ht="18" customHeight="1">
      <c r="A688" s="23"/>
      <c r="J688" s="14"/>
      <c r="K688" s="14"/>
      <c r="L688" s="13"/>
    </row>
    <row r="689" spans="1:12" ht="18" customHeight="1">
      <c r="A689" s="23"/>
      <c r="J689" s="14"/>
      <c r="K689" s="14"/>
      <c r="L689" s="13"/>
    </row>
    <row r="690" spans="1:12" ht="18" customHeight="1">
      <c r="A690" s="23"/>
      <c r="J690" s="14"/>
      <c r="K690" s="14"/>
      <c r="L690" s="13"/>
    </row>
    <row r="691" spans="1:12" ht="18" customHeight="1">
      <c r="A691" s="23"/>
      <c r="J691" s="14"/>
      <c r="K691" s="14"/>
      <c r="L691" s="13"/>
    </row>
    <row r="692" spans="1:12" ht="18" customHeight="1">
      <c r="A692" s="23"/>
      <c r="J692" s="14"/>
      <c r="K692" s="14"/>
      <c r="L692" s="13"/>
    </row>
    <row r="693" spans="1:12" ht="18" customHeight="1">
      <c r="A693" s="23"/>
      <c r="J693" s="14"/>
      <c r="K693" s="14"/>
      <c r="L693" s="13"/>
    </row>
    <row r="694" spans="1:12" ht="18" customHeight="1">
      <c r="A694" s="23"/>
      <c r="J694" s="14"/>
      <c r="K694" s="14"/>
      <c r="L694" s="13"/>
    </row>
    <row r="695" spans="1:12" ht="18" customHeight="1">
      <c r="A695" s="23"/>
      <c r="J695" s="14"/>
      <c r="K695" s="14"/>
      <c r="L695" s="13"/>
    </row>
    <row r="696" spans="1:12" ht="18" customHeight="1">
      <c r="A696" s="23"/>
      <c r="J696" s="14"/>
      <c r="K696" s="14"/>
      <c r="L696" s="13"/>
    </row>
    <row r="697" spans="1:12" ht="18" customHeight="1">
      <c r="A697" s="23"/>
      <c r="J697" s="14"/>
      <c r="K697" s="14"/>
      <c r="L697" s="13"/>
    </row>
    <row r="698" spans="1:12" ht="18" customHeight="1">
      <c r="A698" s="23"/>
      <c r="J698" s="14"/>
      <c r="K698" s="14"/>
      <c r="L698" s="13"/>
    </row>
    <row r="699" spans="1:12" ht="18" customHeight="1">
      <c r="A699" s="23"/>
      <c r="J699" s="14"/>
      <c r="K699" s="14"/>
      <c r="L699" s="13"/>
    </row>
    <row r="700" spans="1:12" ht="18" customHeight="1">
      <c r="A700" s="23"/>
      <c r="J700" s="14"/>
      <c r="K700" s="14"/>
      <c r="L700" s="13"/>
    </row>
    <row r="701" spans="1:12" ht="18" customHeight="1">
      <c r="A701" s="23"/>
      <c r="J701" s="14"/>
      <c r="K701" s="14"/>
      <c r="L701" s="13"/>
    </row>
    <row r="702" spans="1:12" ht="18" customHeight="1">
      <c r="A702" s="23"/>
      <c r="J702" s="14"/>
      <c r="K702" s="14"/>
      <c r="L702" s="13"/>
    </row>
    <row r="703" spans="1:12" ht="18" customHeight="1">
      <c r="A703" s="23"/>
      <c r="J703" s="14"/>
      <c r="K703" s="14"/>
      <c r="L703" s="13"/>
    </row>
    <row r="704" spans="1:12" ht="18" customHeight="1">
      <c r="A704" s="23"/>
      <c r="J704" s="14"/>
      <c r="K704" s="14"/>
      <c r="L704" s="13"/>
    </row>
    <row r="705" spans="1:12" ht="18" customHeight="1">
      <c r="A705" s="23"/>
      <c r="J705" s="14"/>
      <c r="K705" s="14"/>
      <c r="L705" s="13"/>
    </row>
    <row r="706" spans="1:12" ht="18" customHeight="1">
      <c r="A706" s="23"/>
      <c r="J706" s="14"/>
      <c r="K706" s="14"/>
      <c r="L706" s="13"/>
    </row>
    <row r="707" spans="1:12" ht="18" customHeight="1">
      <c r="A707" s="23"/>
      <c r="J707" s="14"/>
      <c r="K707" s="14"/>
      <c r="L707" s="13"/>
    </row>
    <row r="708" spans="1:12" ht="18" customHeight="1">
      <c r="A708" s="23"/>
      <c r="J708" s="14"/>
      <c r="K708" s="14"/>
      <c r="L708" s="13"/>
    </row>
    <row r="709" spans="1:12" ht="18" customHeight="1">
      <c r="A709" s="23"/>
      <c r="J709" s="14"/>
      <c r="K709" s="14"/>
      <c r="L709" s="13"/>
    </row>
    <row r="710" spans="1:12" ht="18" customHeight="1">
      <c r="A710" s="23"/>
      <c r="J710" s="14"/>
      <c r="K710" s="14"/>
      <c r="L710" s="13"/>
    </row>
    <row r="711" spans="1:12" ht="18" customHeight="1">
      <c r="A711" s="23"/>
      <c r="J711" s="14"/>
      <c r="K711" s="14"/>
      <c r="L711" s="13"/>
    </row>
    <row r="712" spans="1:12" ht="18" customHeight="1">
      <c r="A712" s="23"/>
      <c r="J712" s="14"/>
      <c r="K712" s="14"/>
      <c r="L712" s="13"/>
    </row>
    <row r="713" spans="1:12" ht="18" customHeight="1">
      <c r="A713" s="23"/>
      <c r="J713" s="14"/>
      <c r="K713" s="14"/>
      <c r="L713" s="13"/>
    </row>
    <row r="714" spans="1:12" ht="18" customHeight="1">
      <c r="A714" s="23"/>
      <c r="J714" s="14"/>
      <c r="K714" s="14"/>
      <c r="L714" s="13"/>
    </row>
    <row r="715" spans="1:12" ht="18" customHeight="1">
      <c r="A715" s="23"/>
      <c r="J715" s="14"/>
      <c r="K715" s="14"/>
      <c r="L715" s="13"/>
    </row>
    <row r="716" spans="1:12" ht="18" customHeight="1">
      <c r="A716" s="23"/>
      <c r="J716" s="14"/>
      <c r="K716" s="14"/>
      <c r="L716" s="13"/>
    </row>
    <row r="717" spans="1:12" ht="18" customHeight="1">
      <c r="A717" s="23"/>
      <c r="J717" s="14"/>
      <c r="K717" s="14"/>
      <c r="L717" s="13"/>
    </row>
    <row r="718" spans="1:12" ht="18" customHeight="1">
      <c r="A718" s="23"/>
      <c r="J718" s="14"/>
      <c r="K718" s="14"/>
      <c r="L718" s="13"/>
    </row>
    <row r="719" spans="1:12" ht="18" customHeight="1">
      <c r="A719" s="23"/>
      <c r="J719" s="14"/>
      <c r="K719" s="14"/>
      <c r="L719" s="13"/>
    </row>
    <row r="720" spans="1:12" ht="18" customHeight="1">
      <c r="A720" s="23"/>
      <c r="J720" s="14"/>
      <c r="K720" s="14"/>
      <c r="L720" s="13"/>
    </row>
    <row r="721" spans="1:12" ht="18" customHeight="1">
      <c r="A721" s="23"/>
      <c r="J721" s="14"/>
      <c r="K721" s="14"/>
      <c r="L721" s="13"/>
    </row>
    <row r="722" spans="1:12" ht="18" customHeight="1">
      <c r="A722" s="23"/>
      <c r="J722" s="14"/>
      <c r="K722" s="14"/>
      <c r="L722" s="13"/>
    </row>
    <row r="723" spans="1:12" ht="18" customHeight="1">
      <c r="A723" s="23"/>
      <c r="J723" s="14"/>
      <c r="K723" s="14"/>
      <c r="L723" s="13"/>
    </row>
    <row r="724" spans="1:12" ht="18" customHeight="1">
      <c r="A724" s="23"/>
      <c r="J724" s="14"/>
      <c r="K724" s="14"/>
      <c r="L724" s="13"/>
    </row>
    <row r="725" spans="1:12" ht="18" customHeight="1">
      <c r="A725" s="23"/>
      <c r="J725" s="14"/>
      <c r="K725" s="14"/>
      <c r="L725" s="13"/>
    </row>
    <row r="726" spans="1:12" ht="18" customHeight="1">
      <c r="A726" s="23"/>
      <c r="J726" s="14"/>
      <c r="K726" s="14"/>
      <c r="L726" s="13"/>
    </row>
    <row r="727" spans="1:12" ht="18" customHeight="1">
      <c r="A727" s="23"/>
      <c r="J727" s="14"/>
      <c r="K727" s="14"/>
      <c r="L727" s="13"/>
    </row>
    <row r="728" spans="1:12" ht="18" customHeight="1">
      <c r="A728" s="23"/>
      <c r="J728" s="14"/>
      <c r="K728" s="14"/>
      <c r="L728" s="13"/>
    </row>
    <row r="729" spans="1:12" ht="18" customHeight="1">
      <c r="A729" s="23"/>
      <c r="J729" s="14"/>
      <c r="K729" s="14"/>
      <c r="L729" s="13"/>
    </row>
    <row r="730" spans="1:12" ht="18" customHeight="1">
      <c r="A730" s="23"/>
      <c r="J730" s="14"/>
      <c r="K730" s="14"/>
      <c r="L730" s="13"/>
    </row>
    <row r="731" spans="1:12" ht="18" customHeight="1">
      <c r="A731" s="23"/>
      <c r="J731" s="14"/>
      <c r="K731" s="14"/>
      <c r="L731" s="13"/>
    </row>
    <row r="732" spans="1:12" ht="18" customHeight="1">
      <c r="A732" s="23"/>
      <c r="J732" s="14"/>
      <c r="K732" s="14"/>
      <c r="L732" s="13"/>
    </row>
    <row r="733" spans="1:12" ht="18" customHeight="1">
      <c r="A733" s="23"/>
      <c r="J733" s="14"/>
      <c r="K733" s="14"/>
      <c r="L733" s="13"/>
    </row>
    <row r="734" spans="1:12" ht="18" customHeight="1">
      <c r="A734" s="23"/>
      <c r="J734" s="14"/>
      <c r="K734" s="14"/>
      <c r="L734" s="13"/>
    </row>
    <row r="735" spans="1:12" ht="18" customHeight="1">
      <c r="A735" s="23"/>
      <c r="J735" s="14"/>
      <c r="K735" s="14"/>
      <c r="L735" s="13"/>
    </row>
    <row r="736" spans="1:12" ht="18" customHeight="1">
      <c r="A736" s="23"/>
      <c r="J736" s="14"/>
      <c r="K736" s="14"/>
      <c r="L736" s="13"/>
    </row>
    <row r="737" spans="1:12" ht="18" customHeight="1">
      <c r="A737" s="23"/>
      <c r="J737" s="14"/>
      <c r="K737" s="14"/>
      <c r="L737" s="13"/>
    </row>
    <row r="738" spans="1:12" ht="18" customHeight="1">
      <c r="A738" s="23"/>
      <c r="J738" s="14"/>
      <c r="K738" s="14"/>
      <c r="L738" s="13"/>
    </row>
    <row r="739" spans="1:12" ht="18" customHeight="1">
      <c r="A739" s="23"/>
      <c r="J739" s="14"/>
      <c r="K739" s="14"/>
      <c r="L739" s="13"/>
    </row>
    <row r="740" spans="1:12" ht="18" customHeight="1">
      <c r="A740" s="23"/>
      <c r="J740" s="14"/>
      <c r="K740" s="14"/>
      <c r="L740" s="13"/>
    </row>
    <row r="741" spans="1:12" ht="18" customHeight="1">
      <c r="A741" s="23"/>
      <c r="J741" s="14"/>
      <c r="K741" s="14"/>
      <c r="L741" s="13"/>
    </row>
    <row r="742" spans="1:12" ht="18" customHeight="1">
      <c r="A742" s="23"/>
      <c r="J742" s="14"/>
      <c r="K742" s="14"/>
      <c r="L742" s="13"/>
    </row>
    <row r="743" spans="1:12" ht="18" customHeight="1">
      <c r="A743" s="23"/>
      <c r="J743" s="14"/>
      <c r="K743" s="14"/>
      <c r="L743" s="13"/>
    </row>
    <row r="744" spans="1:12" ht="18" customHeight="1">
      <c r="A744" s="23"/>
      <c r="J744" s="14"/>
      <c r="K744" s="14"/>
      <c r="L744" s="13"/>
    </row>
    <row r="745" spans="1:12" ht="18" customHeight="1">
      <c r="A745" s="23"/>
      <c r="J745" s="14"/>
      <c r="K745" s="14"/>
      <c r="L745" s="13"/>
    </row>
    <row r="746" spans="1:12" ht="18" customHeight="1">
      <c r="A746" s="23"/>
      <c r="J746" s="14"/>
      <c r="K746" s="14"/>
      <c r="L746" s="13"/>
    </row>
    <row r="747" spans="1:12" ht="18" customHeight="1">
      <c r="A747" s="23"/>
      <c r="J747" s="14"/>
      <c r="K747" s="14"/>
      <c r="L747" s="13"/>
    </row>
    <row r="748" spans="1:12" ht="18" customHeight="1">
      <c r="A748" s="23"/>
      <c r="J748" s="14"/>
      <c r="K748" s="14"/>
      <c r="L748" s="13"/>
    </row>
    <row r="749" spans="1:12" ht="18" customHeight="1">
      <c r="A749" s="23"/>
      <c r="J749" s="14"/>
      <c r="K749" s="14"/>
      <c r="L749" s="13"/>
    </row>
    <row r="750" spans="1:12" ht="18" customHeight="1">
      <c r="A750" s="23"/>
      <c r="J750" s="14"/>
      <c r="K750" s="14"/>
      <c r="L750" s="13"/>
    </row>
    <row r="751" spans="1:12" ht="18" customHeight="1">
      <c r="A751" s="23"/>
      <c r="J751" s="14"/>
      <c r="K751" s="14"/>
      <c r="L751" s="13"/>
    </row>
    <row r="752" spans="1:12" ht="18" customHeight="1">
      <c r="A752" s="23"/>
      <c r="J752" s="14"/>
      <c r="K752" s="14"/>
      <c r="L752" s="13"/>
    </row>
    <row r="753" spans="1:12" ht="18" customHeight="1">
      <c r="A753" s="23"/>
      <c r="J753" s="14"/>
      <c r="K753" s="14"/>
      <c r="L753" s="13"/>
    </row>
    <row r="754" spans="1:12" ht="18" customHeight="1">
      <c r="A754" s="23"/>
      <c r="J754" s="14"/>
      <c r="K754" s="14"/>
      <c r="L754" s="13"/>
    </row>
    <row r="755" spans="1:12" ht="18" customHeight="1">
      <c r="A755" s="23"/>
      <c r="J755" s="14"/>
      <c r="K755" s="14"/>
      <c r="L755" s="13"/>
    </row>
    <row r="756" spans="1:12" ht="18" customHeight="1">
      <c r="A756" s="23"/>
      <c r="J756" s="14"/>
      <c r="K756" s="14"/>
      <c r="L756" s="13"/>
    </row>
    <row r="757" spans="1:12" ht="18" customHeight="1">
      <c r="A757" s="23"/>
      <c r="J757" s="14"/>
      <c r="K757" s="14"/>
      <c r="L757" s="13"/>
    </row>
    <row r="758" spans="1:12" ht="18" customHeight="1">
      <c r="A758" s="23"/>
      <c r="J758" s="14"/>
      <c r="K758" s="14"/>
      <c r="L758" s="13"/>
    </row>
    <row r="759" spans="1:12" ht="18" customHeight="1">
      <c r="A759" s="23"/>
      <c r="J759" s="14"/>
      <c r="K759" s="14"/>
      <c r="L759" s="13"/>
    </row>
    <row r="760" spans="1:12" ht="18" customHeight="1">
      <c r="A760" s="23"/>
      <c r="J760" s="14"/>
      <c r="K760" s="14"/>
      <c r="L760" s="13"/>
    </row>
    <row r="761" spans="1:12" ht="18" customHeight="1">
      <c r="A761" s="23"/>
      <c r="J761" s="14"/>
      <c r="K761" s="14"/>
      <c r="L761" s="13"/>
    </row>
    <row r="762" spans="1:12" ht="18" customHeight="1">
      <c r="A762" s="23"/>
      <c r="J762" s="14"/>
      <c r="K762" s="14"/>
      <c r="L762" s="13"/>
    </row>
    <row r="763" spans="1:12" ht="18" customHeight="1">
      <c r="A763" s="23"/>
      <c r="J763" s="14"/>
      <c r="K763" s="14"/>
      <c r="L763" s="13"/>
    </row>
    <row r="764" spans="1:12" ht="18" customHeight="1">
      <c r="A764" s="23"/>
      <c r="J764" s="14"/>
      <c r="K764" s="14"/>
      <c r="L764" s="13"/>
    </row>
    <row r="765" spans="1:12" ht="18" customHeight="1">
      <c r="A765" s="23"/>
      <c r="J765" s="14"/>
      <c r="K765" s="14"/>
      <c r="L765" s="13"/>
    </row>
    <row r="766" spans="1:12" ht="18" customHeight="1">
      <c r="A766" s="23"/>
      <c r="J766" s="14"/>
      <c r="K766" s="14"/>
      <c r="L766" s="13"/>
    </row>
    <row r="767" spans="1:12" ht="18" customHeight="1">
      <c r="A767" s="23"/>
      <c r="J767" s="14"/>
      <c r="K767" s="14"/>
      <c r="L767" s="13"/>
    </row>
    <row r="768" spans="1:12" ht="18" customHeight="1">
      <c r="A768" s="23"/>
      <c r="J768" s="14"/>
      <c r="K768" s="14"/>
      <c r="L768" s="13"/>
    </row>
    <row r="769" spans="1:12" ht="18" customHeight="1">
      <c r="A769" s="23"/>
      <c r="J769" s="14"/>
      <c r="K769" s="14"/>
      <c r="L769" s="13"/>
    </row>
    <row r="770" spans="1:12" ht="18" customHeight="1">
      <c r="A770" s="23"/>
      <c r="J770" s="14"/>
      <c r="K770" s="14"/>
      <c r="L770" s="13"/>
    </row>
    <row r="771" spans="1:12" ht="18" customHeight="1">
      <c r="A771" s="23"/>
      <c r="J771" s="14"/>
      <c r="K771" s="14"/>
      <c r="L771" s="13"/>
    </row>
    <row r="772" spans="1:12" ht="18" customHeight="1">
      <c r="A772" s="23"/>
      <c r="J772" s="14"/>
      <c r="K772" s="14"/>
      <c r="L772" s="13"/>
    </row>
    <row r="773" spans="1:12" ht="18" customHeight="1">
      <c r="A773" s="23"/>
      <c r="J773" s="14"/>
      <c r="K773" s="14"/>
      <c r="L773" s="13"/>
    </row>
    <row r="774" spans="1:12" ht="18" customHeight="1">
      <c r="A774" s="23"/>
      <c r="J774" s="14"/>
      <c r="K774" s="14"/>
      <c r="L774" s="13"/>
    </row>
    <row r="775" spans="1:12" ht="18" customHeight="1">
      <c r="A775" s="23"/>
      <c r="J775" s="14"/>
      <c r="K775" s="14"/>
      <c r="L775" s="13"/>
    </row>
    <row r="776" spans="1:12" ht="18" customHeight="1">
      <c r="A776" s="23"/>
      <c r="J776" s="14"/>
      <c r="K776" s="14"/>
      <c r="L776" s="13"/>
    </row>
    <row r="777" spans="1:12" ht="18" customHeight="1">
      <c r="A777" s="23"/>
      <c r="J777" s="14"/>
      <c r="K777" s="14"/>
      <c r="L777" s="13"/>
    </row>
    <row r="778" spans="1:12" ht="18" customHeight="1">
      <c r="A778" s="23"/>
      <c r="J778" s="14"/>
      <c r="K778" s="14"/>
      <c r="L778" s="13"/>
    </row>
    <row r="779" spans="1:12" ht="18" customHeight="1">
      <c r="A779" s="23"/>
      <c r="J779" s="14"/>
      <c r="K779" s="14"/>
      <c r="L779" s="13"/>
    </row>
    <row r="780" spans="1:12" ht="18" customHeight="1">
      <c r="A780" s="23"/>
      <c r="J780" s="14"/>
      <c r="K780" s="14"/>
      <c r="L780" s="13"/>
    </row>
    <row r="781" spans="1:12" ht="18" customHeight="1">
      <c r="A781" s="23"/>
      <c r="J781" s="14"/>
      <c r="K781" s="14"/>
      <c r="L781" s="13"/>
    </row>
    <row r="782" spans="1:12" ht="18" customHeight="1">
      <c r="A782" s="23"/>
      <c r="J782" s="14"/>
      <c r="K782" s="14"/>
      <c r="L782" s="13"/>
    </row>
    <row r="783" spans="1:12" ht="18" customHeight="1">
      <c r="A783" s="23"/>
      <c r="J783" s="14"/>
      <c r="K783" s="14"/>
      <c r="L783" s="13"/>
    </row>
    <row r="784" spans="1:12" ht="18" customHeight="1">
      <c r="A784" s="23"/>
      <c r="J784" s="14"/>
      <c r="K784" s="14"/>
      <c r="L784" s="13"/>
    </row>
    <row r="785" spans="1:12" ht="18" customHeight="1">
      <c r="A785" s="23"/>
      <c r="J785" s="14"/>
      <c r="K785" s="14"/>
      <c r="L785" s="13"/>
    </row>
    <row r="786" spans="1:12" ht="18" customHeight="1">
      <c r="A786" s="23"/>
      <c r="J786" s="14"/>
      <c r="K786" s="14"/>
      <c r="L786" s="13"/>
    </row>
    <row r="787" spans="1:12" ht="18" customHeight="1">
      <c r="A787" s="23"/>
      <c r="J787" s="14"/>
      <c r="K787" s="14"/>
      <c r="L787" s="13"/>
    </row>
    <row r="788" spans="1:12" ht="18" customHeight="1">
      <c r="A788" s="23"/>
      <c r="J788" s="14"/>
      <c r="K788" s="14"/>
      <c r="L788" s="13"/>
    </row>
    <row r="789" spans="1:12" ht="18" customHeight="1">
      <c r="A789" s="23"/>
      <c r="J789" s="14"/>
      <c r="K789" s="14"/>
      <c r="L789" s="13"/>
    </row>
    <row r="790" spans="1:12" ht="18" customHeight="1">
      <c r="A790" s="23"/>
      <c r="J790" s="14"/>
      <c r="K790" s="14"/>
      <c r="L790" s="13"/>
    </row>
    <row r="791" spans="1:12" ht="18" customHeight="1">
      <c r="A791" s="23"/>
      <c r="J791" s="14"/>
      <c r="K791" s="14"/>
      <c r="L791" s="13"/>
    </row>
    <row r="792" spans="1:12" ht="18" customHeight="1">
      <c r="A792" s="23"/>
      <c r="J792" s="14"/>
      <c r="K792" s="14"/>
      <c r="L792" s="13"/>
    </row>
    <row r="793" spans="1:12" ht="18" customHeight="1">
      <c r="A793" s="23"/>
      <c r="J793" s="14"/>
      <c r="K793" s="14"/>
      <c r="L793" s="13"/>
    </row>
    <row r="794" spans="1:12" ht="18" customHeight="1">
      <c r="A794" s="23"/>
      <c r="J794" s="14"/>
      <c r="K794" s="14"/>
      <c r="L794" s="13"/>
    </row>
    <row r="795" spans="1:12" ht="18" customHeight="1">
      <c r="A795" s="23"/>
      <c r="J795" s="14"/>
      <c r="K795" s="14"/>
      <c r="L795" s="13"/>
    </row>
    <row r="796" spans="1:12" ht="18" customHeight="1">
      <c r="A796" s="23"/>
      <c r="J796" s="14"/>
      <c r="K796" s="14"/>
      <c r="L796" s="13"/>
    </row>
    <row r="797" spans="1:12" ht="18" customHeight="1">
      <c r="A797" s="23"/>
      <c r="J797" s="14"/>
      <c r="K797" s="14"/>
      <c r="L797" s="13"/>
    </row>
    <row r="798" spans="1:12" ht="18" customHeight="1">
      <c r="A798" s="23"/>
      <c r="J798" s="14"/>
      <c r="K798" s="14"/>
      <c r="L798" s="13"/>
    </row>
    <row r="799" spans="1:12" ht="18" customHeight="1">
      <c r="A799" s="23"/>
      <c r="J799" s="14"/>
      <c r="K799" s="14"/>
      <c r="L799" s="13"/>
    </row>
    <row r="800" spans="1:12" ht="18" customHeight="1">
      <c r="A800" s="23"/>
      <c r="J800" s="14"/>
      <c r="K800" s="14"/>
      <c r="L800" s="13"/>
    </row>
    <row r="801" spans="1:12" ht="18" customHeight="1">
      <c r="A801" s="23"/>
      <c r="J801" s="14"/>
      <c r="K801" s="14"/>
      <c r="L801" s="13"/>
    </row>
    <row r="802" spans="1:12" ht="18" customHeight="1">
      <c r="A802" s="23"/>
      <c r="J802" s="14"/>
      <c r="K802" s="14"/>
      <c r="L802" s="13"/>
    </row>
    <row r="803" spans="1:12" ht="18" customHeight="1">
      <c r="A803" s="23"/>
      <c r="J803" s="14"/>
      <c r="K803" s="14"/>
      <c r="L803" s="13"/>
    </row>
    <row r="804" spans="1:12" ht="18" customHeight="1">
      <c r="A804" s="23"/>
      <c r="J804" s="14"/>
      <c r="K804" s="14"/>
      <c r="L804" s="13"/>
    </row>
    <row r="805" spans="1:12" ht="18" customHeight="1">
      <c r="A805" s="23"/>
      <c r="J805" s="14"/>
      <c r="K805" s="14"/>
      <c r="L805" s="13"/>
    </row>
    <row r="806" spans="1:12" ht="18" customHeight="1">
      <c r="A806" s="23"/>
      <c r="J806" s="14"/>
      <c r="K806" s="14"/>
      <c r="L806" s="13"/>
    </row>
    <row r="807" spans="1:12" ht="18" customHeight="1">
      <c r="A807" s="23"/>
      <c r="J807" s="14"/>
      <c r="K807" s="14"/>
      <c r="L807" s="13"/>
    </row>
    <row r="808" spans="1:12" ht="18" customHeight="1">
      <c r="A808" s="23"/>
      <c r="J808" s="14"/>
      <c r="K808" s="14"/>
      <c r="L808" s="13"/>
    </row>
    <row r="809" spans="1:12" ht="18" customHeight="1">
      <c r="A809" s="23"/>
      <c r="J809" s="14"/>
      <c r="K809" s="14"/>
      <c r="L809" s="13"/>
    </row>
    <row r="810" spans="1:12" ht="18" customHeight="1">
      <c r="A810" s="23"/>
      <c r="J810" s="14"/>
      <c r="K810" s="14"/>
      <c r="L810" s="13"/>
    </row>
    <row r="811" spans="1:12" ht="18" customHeight="1">
      <c r="A811" s="23"/>
      <c r="J811" s="14"/>
      <c r="K811" s="14"/>
      <c r="L811" s="13"/>
    </row>
    <row r="812" spans="1:12" ht="18" customHeight="1">
      <c r="A812" s="23"/>
      <c r="J812" s="14"/>
      <c r="K812" s="14"/>
      <c r="L812" s="13"/>
    </row>
    <row r="813" spans="1:12" ht="18" customHeight="1">
      <c r="A813" s="23"/>
      <c r="J813" s="14"/>
      <c r="K813" s="14"/>
      <c r="L813" s="13"/>
    </row>
    <row r="814" spans="1:12" ht="18" customHeight="1">
      <c r="A814" s="23"/>
      <c r="J814" s="14"/>
      <c r="K814" s="14"/>
      <c r="L814" s="13"/>
    </row>
    <row r="815" spans="1:12" ht="18" customHeight="1">
      <c r="A815" s="23"/>
      <c r="J815" s="14"/>
      <c r="K815" s="14"/>
      <c r="L815" s="13"/>
    </row>
    <row r="816" spans="1:12" ht="18" customHeight="1">
      <c r="A816" s="23"/>
      <c r="J816" s="14"/>
      <c r="K816" s="14"/>
      <c r="L816" s="13"/>
    </row>
    <row r="817" spans="1:12" ht="18" customHeight="1">
      <c r="A817" s="23"/>
      <c r="J817" s="14"/>
      <c r="K817" s="14"/>
      <c r="L817" s="13"/>
    </row>
    <row r="818" spans="1:12" ht="18" customHeight="1">
      <c r="A818" s="23"/>
      <c r="J818" s="14"/>
      <c r="K818" s="14"/>
      <c r="L818" s="13"/>
    </row>
    <row r="819" spans="1:12" ht="18" customHeight="1">
      <c r="A819" s="23"/>
      <c r="J819" s="14"/>
      <c r="K819" s="14"/>
      <c r="L819" s="13"/>
    </row>
    <row r="820" spans="1:12" ht="18" customHeight="1">
      <c r="A820" s="23"/>
      <c r="J820" s="14"/>
      <c r="K820" s="14"/>
      <c r="L820" s="13"/>
    </row>
    <row r="821" spans="1:12" ht="18" customHeight="1">
      <c r="A821" s="23"/>
      <c r="J821" s="14"/>
      <c r="K821" s="14"/>
      <c r="L821" s="13"/>
    </row>
    <row r="822" spans="1:12" ht="18" customHeight="1">
      <c r="A822" s="23"/>
      <c r="J822" s="14"/>
      <c r="K822" s="14"/>
      <c r="L822" s="13"/>
    </row>
    <row r="823" spans="1:12" ht="18" customHeight="1">
      <c r="A823" s="23"/>
      <c r="J823" s="14"/>
      <c r="K823" s="14"/>
      <c r="L823" s="13"/>
    </row>
    <row r="824" spans="1:12" ht="18" customHeight="1">
      <c r="A824" s="23"/>
      <c r="J824" s="14"/>
      <c r="K824" s="14"/>
      <c r="L824" s="13"/>
    </row>
    <row r="825" spans="1:12" ht="18" customHeight="1">
      <c r="A825" s="23"/>
      <c r="J825" s="14"/>
      <c r="K825" s="14"/>
      <c r="L825" s="13"/>
    </row>
    <row r="826" spans="1:12" ht="18" customHeight="1">
      <c r="A826" s="23"/>
      <c r="J826" s="14"/>
      <c r="K826" s="14"/>
      <c r="L826" s="13"/>
    </row>
    <row r="827" spans="1:12" ht="18" customHeight="1">
      <c r="A827" s="23"/>
      <c r="J827" s="14"/>
      <c r="K827" s="14"/>
      <c r="L827" s="13"/>
    </row>
    <row r="828" spans="1:12" ht="18" customHeight="1">
      <c r="A828" s="23"/>
      <c r="J828" s="14"/>
      <c r="K828" s="14"/>
      <c r="L828" s="13"/>
    </row>
    <row r="829" spans="1:12" ht="18" customHeight="1">
      <c r="A829" s="23"/>
      <c r="J829" s="14"/>
      <c r="K829" s="14"/>
      <c r="L829" s="13"/>
    </row>
    <row r="830" spans="1:12" ht="18" customHeight="1">
      <c r="A830" s="23"/>
      <c r="J830" s="14"/>
      <c r="K830" s="14"/>
      <c r="L830" s="13"/>
    </row>
    <row r="831" spans="1:12" ht="18" customHeight="1">
      <c r="A831" s="23"/>
      <c r="J831" s="14"/>
      <c r="K831" s="14"/>
      <c r="L831" s="13"/>
    </row>
    <row r="832" spans="1:12" ht="18" customHeight="1">
      <c r="A832" s="23"/>
      <c r="J832" s="14"/>
      <c r="K832" s="14"/>
      <c r="L832" s="13"/>
    </row>
    <row r="833" spans="1:12" ht="18" customHeight="1">
      <c r="A833" s="23"/>
      <c r="J833" s="14"/>
      <c r="K833" s="14"/>
      <c r="L833" s="13"/>
    </row>
    <row r="834" spans="1:12" ht="18" customHeight="1">
      <c r="A834" s="23"/>
      <c r="J834" s="14"/>
      <c r="K834" s="14"/>
      <c r="L834" s="13"/>
    </row>
    <row r="835" spans="1:12" ht="18" customHeight="1">
      <c r="A835" s="23"/>
      <c r="J835" s="14"/>
      <c r="K835" s="14"/>
      <c r="L835" s="13"/>
    </row>
    <row r="836" spans="1:12" ht="18" customHeight="1">
      <c r="A836" s="23"/>
      <c r="J836" s="14"/>
      <c r="K836" s="14"/>
      <c r="L836" s="13"/>
    </row>
    <row r="837" spans="1:12" ht="18" customHeight="1">
      <c r="A837" s="23"/>
      <c r="J837" s="14"/>
      <c r="K837" s="14"/>
      <c r="L837" s="13"/>
    </row>
    <row r="838" spans="1:12" ht="18" customHeight="1">
      <c r="A838" s="23"/>
      <c r="J838" s="14"/>
      <c r="K838" s="14"/>
      <c r="L838" s="13"/>
    </row>
    <row r="839" spans="1:12" ht="18" customHeight="1">
      <c r="A839" s="23"/>
      <c r="J839" s="14"/>
      <c r="K839" s="14"/>
      <c r="L839" s="13"/>
    </row>
    <row r="840" spans="1:12" ht="18" customHeight="1">
      <c r="A840" s="23"/>
      <c r="J840" s="14"/>
      <c r="K840" s="14"/>
      <c r="L840" s="13"/>
    </row>
    <row r="841" spans="1:12" ht="18" customHeight="1">
      <c r="A841" s="23"/>
      <c r="J841" s="14"/>
      <c r="K841" s="14"/>
      <c r="L841" s="13"/>
    </row>
    <row r="842" spans="1:12" ht="18" customHeight="1">
      <c r="A842" s="23"/>
      <c r="J842" s="14"/>
      <c r="K842" s="14"/>
      <c r="L842" s="13"/>
    </row>
    <row r="843" spans="1:12" ht="18" customHeight="1">
      <c r="A843" s="23"/>
      <c r="J843" s="14"/>
      <c r="K843" s="14"/>
      <c r="L843" s="13"/>
    </row>
    <row r="844" spans="1:12" ht="18" customHeight="1">
      <c r="A844" s="23"/>
      <c r="J844" s="14"/>
      <c r="K844" s="14"/>
      <c r="L844" s="13"/>
    </row>
    <row r="845" spans="1:12" ht="18" customHeight="1">
      <c r="A845" s="23"/>
      <c r="J845" s="14"/>
      <c r="K845" s="14"/>
      <c r="L845" s="13"/>
    </row>
    <row r="846" spans="1:12" ht="18" customHeight="1">
      <c r="A846" s="23"/>
      <c r="J846" s="14"/>
      <c r="K846" s="14"/>
      <c r="L846" s="13"/>
    </row>
    <row r="847" spans="1:12" ht="18" customHeight="1">
      <c r="A847" s="23"/>
      <c r="J847" s="14"/>
      <c r="K847" s="14"/>
      <c r="L847" s="13"/>
    </row>
    <row r="848" spans="1:12" ht="18" customHeight="1">
      <c r="A848" s="23"/>
      <c r="J848" s="14"/>
      <c r="K848" s="14"/>
      <c r="L848" s="13"/>
    </row>
    <row r="849" spans="1:12" ht="18" customHeight="1">
      <c r="A849" s="23"/>
      <c r="J849" s="14"/>
      <c r="K849" s="14"/>
      <c r="L849" s="13"/>
    </row>
    <row r="850" spans="1:12" ht="18" customHeight="1">
      <c r="A850" s="23"/>
      <c r="J850" s="14"/>
      <c r="K850" s="14"/>
      <c r="L850" s="13"/>
    </row>
    <row r="851" spans="1:12" ht="18" customHeight="1">
      <c r="A851" s="23"/>
      <c r="J851" s="14"/>
      <c r="K851" s="14"/>
      <c r="L851" s="13"/>
    </row>
    <row r="852" spans="1:12" ht="18" customHeight="1">
      <c r="A852" s="23"/>
      <c r="J852" s="14"/>
      <c r="K852" s="14"/>
      <c r="L852" s="13"/>
    </row>
    <row r="853" spans="1:12" ht="18" customHeight="1">
      <c r="A853" s="23"/>
      <c r="J853" s="14"/>
      <c r="K853" s="14"/>
      <c r="L853" s="13"/>
    </row>
    <row r="854" spans="1:12" ht="18" customHeight="1">
      <c r="A854" s="23"/>
      <c r="J854" s="14"/>
      <c r="K854" s="14"/>
      <c r="L854" s="13"/>
    </row>
    <row r="855" spans="1:12" ht="18" customHeight="1">
      <c r="A855" s="23"/>
      <c r="J855" s="14"/>
      <c r="K855" s="14"/>
      <c r="L855" s="13"/>
    </row>
    <row r="856" spans="1:12" ht="18" customHeight="1">
      <c r="A856" s="23"/>
      <c r="J856" s="14"/>
      <c r="K856" s="14"/>
      <c r="L856" s="13"/>
    </row>
    <row r="857" spans="1:12" ht="18" customHeight="1">
      <c r="A857" s="23"/>
      <c r="J857" s="14"/>
      <c r="K857" s="14"/>
      <c r="L857" s="13"/>
    </row>
    <row r="858" spans="1:12" ht="18" customHeight="1">
      <c r="A858" s="23"/>
      <c r="J858" s="14"/>
      <c r="K858" s="14"/>
      <c r="L858" s="13"/>
    </row>
    <row r="859" spans="1:12" ht="18" customHeight="1">
      <c r="A859" s="23"/>
      <c r="J859" s="14"/>
      <c r="K859" s="14"/>
      <c r="L859" s="13"/>
    </row>
    <row r="860" spans="1:12" ht="18" customHeight="1">
      <c r="A860" s="23"/>
      <c r="J860" s="14"/>
      <c r="K860" s="14"/>
      <c r="L860" s="13"/>
    </row>
    <row r="861" spans="1:12" ht="18" customHeight="1">
      <c r="A861" s="23"/>
      <c r="J861" s="14"/>
      <c r="K861" s="14"/>
      <c r="L861" s="13"/>
    </row>
    <row r="862" spans="1:12" ht="18" customHeight="1">
      <c r="A862" s="23"/>
      <c r="J862" s="14"/>
      <c r="K862" s="14"/>
      <c r="L862" s="13"/>
    </row>
    <row r="863" spans="1:12" ht="18" customHeight="1">
      <c r="A863" s="23"/>
      <c r="J863" s="14"/>
      <c r="K863" s="14"/>
      <c r="L863" s="13"/>
    </row>
    <row r="864" spans="1:12" ht="18" customHeight="1">
      <c r="A864" s="23"/>
      <c r="J864" s="14"/>
      <c r="K864" s="14"/>
      <c r="L864" s="13"/>
    </row>
    <row r="865" spans="1:12" ht="18" customHeight="1">
      <c r="A865" s="23"/>
      <c r="J865" s="14"/>
      <c r="K865" s="14"/>
      <c r="L865" s="13"/>
    </row>
    <row r="866" spans="1:12" ht="18" customHeight="1">
      <c r="A866" s="23"/>
      <c r="J866" s="14"/>
      <c r="K866" s="14"/>
      <c r="L866" s="13"/>
    </row>
    <row r="867" spans="1:12" ht="18" customHeight="1">
      <c r="A867" s="23"/>
      <c r="J867" s="14"/>
      <c r="K867" s="14"/>
      <c r="L867" s="13"/>
    </row>
    <row r="868" spans="1:12" ht="18" customHeight="1">
      <c r="A868" s="23"/>
      <c r="J868" s="14"/>
      <c r="K868" s="14"/>
      <c r="L868" s="13"/>
    </row>
    <row r="869" spans="1:12" ht="18" customHeight="1">
      <c r="A869" s="23"/>
      <c r="J869" s="14"/>
      <c r="K869" s="14"/>
      <c r="L869" s="13"/>
    </row>
    <row r="870" spans="1:12" ht="18" customHeight="1">
      <c r="A870" s="23"/>
      <c r="J870" s="14"/>
      <c r="K870" s="14"/>
      <c r="L870" s="13"/>
    </row>
    <row r="871" spans="1:12" ht="18" customHeight="1">
      <c r="A871" s="23"/>
      <c r="J871" s="14"/>
      <c r="K871" s="14"/>
      <c r="L871" s="13"/>
    </row>
    <row r="872" spans="1:12" ht="18" customHeight="1">
      <c r="A872" s="23"/>
      <c r="J872" s="14"/>
      <c r="K872" s="14"/>
      <c r="L872" s="13"/>
    </row>
    <row r="873" spans="1:12" ht="18" customHeight="1">
      <c r="A873" s="23"/>
      <c r="J873" s="14"/>
      <c r="K873" s="14"/>
      <c r="L873" s="13"/>
    </row>
    <row r="874" spans="1:12" ht="18" customHeight="1">
      <c r="A874" s="23"/>
      <c r="J874" s="14"/>
      <c r="K874" s="14"/>
      <c r="L874" s="13"/>
    </row>
    <row r="875" spans="1:12" ht="18" customHeight="1">
      <c r="A875" s="23"/>
      <c r="J875" s="14"/>
      <c r="K875" s="14"/>
      <c r="L875" s="13"/>
    </row>
    <row r="876" spans="1:12" ht="18" customHeight="1">
      <c r="A876" s="23"/>
      <c r="J876" s="14"/>
      <c r="K876" s="14"/>
      <c r="L876" s="13"/>
    </row>
    <row r="877" spans="1:12" ht="18" customHeight="1">
      <c r="A877" s="23"/>
      <c r="J877" s="14"/>
      <c r="K877" s="14"/>
      <c r="L877" s="13"/>
    </row>
    <row r="878" spans="1:12" ht="18" customHeight="1">
      <c r="A878" s="23"/>
      <c r="J878" s="14"/>
      <c r="K878" s="14"/>
      <c r="L878" s="13"/>
    </row>
    <row r="879" spans="1:12" ht="18" customHeight="1">
      <c r="A879" s="23"/>
      <c r="J879" s="14"/>
      <c r="K879" s="14"/>
      <c r="L879" s="13"/>
    </row>
    <row r="880" spans="1:12" ht="18" customHeight="1">
      <c r="A880" s="23"/>
      <c r="J880" s="14"/>
      <c r="K880" s="14"/>
      <c r="L880" s="13"/>
    </row>
    <row r="881" spans="1:12" ht="18" customHeight="1">
      <c r="A881" s="23"/>
      <c r="J881" s="14"/>
      <c r="K881" s="14"/>
      <c r="L881" s="13"/>
    </row>
    <row r="882" spans="1:12" ht="18" customHeight="1">
      <c r="A882" s="23"/>
      <c r="J882" s="14"/>
      <c r="K882" s="14"/>
      <c r="L882" s="13"/>
    </row>
    <row r="883" spans="1:12" ht="18" customHeight="1">
      <c r="A883" s="23"/>
      <c r="J883" s="14"/>
      <c r="K883" s="14"/>
      <c r="L883" s="13"/>
    </row>
    <row r="884" spans="1:12" ht="18" customHeight="1">
      <c r="A884" s="23"/>
      <c r="J884" s="14"/>
      <c r="K884" s="14"/>
      <c r="L884" s="13"/>
    </row>
    <row r="885" spans="1:12" ht="18" customHeight="1">
      <c r="A885" s="23"/>
      <c r="J885" s="14"/>
      <c r="K885" s="14"/>
      <c r="L885" s="13"/>
    </row>
    <row r="886" spans="1:12" ht="18" customHeight="1">
      <c r="A886" s="23"/>
      <c r="J886" s="14"/>
      <c r="K886" s="14"/>
      <c r="L886" s="13"/>
    </row>
    <row r="887" spans="1:12" ht="18" customHeight="1">
      <c r="A887" s="23"/>
      <c r="J887" s="14"/>
      <c r="K887" s="14"/>
      <c r="L887" s="13"/>
    </row>
    <row r="888" spans="1:12" ht="18" customHeight="1">
      <c r="A888" s="23"/>
      <c r="J888" s="14"/>
      <c r="K888" s="14"/>
      <c r="L888" s="13"/>
    </row>
    <row r="889" spans="1:12" ht="18" customHeight="1">
      <c r="A889" s="23"/>
      <c r="J889" s="14"/>
      <c r="K889" s="14"/>
      <c r="L889" s="13"/>
    </row>
    <row r="890" spans="1:12" ht="18" customHeight="1">
      <c r="A890" s="23"/>
      <c r="J890" s="14"/>
      <c r="K890" s="14"/>
      <c r="L890" s="13"/>
    </row>
    <row r="891" spans="1:12" ht="18" customHeight="1">
      <c r="A891" s="23"/>
      <c r="J891" s="14"/>
      <c r="K891" s="14"/>
      <c r="L891" s="13"/>
    </row>
    <row r="892" spans="1:12" ht="18" customHeight="1">
      <c r="A892" s="23"/>
      <c r="J892" s="14"/>
      <c r="K892" s="14"/>
      <c r="L892" s="13"/>
    </row>
    <row r="893" spans="1:12" ht="18" customHeight="1">
      <c r="A893" s="23"/>
      <c r="J893" s="14"/>
      <c r="K893" s="14"/>
      <c r="L893" s="13"/>
    </row>
    <row r="894" spans="1:12" ht="18" customHeight="1">
      <c r="A894" s="23"/>
      <c r="J894" s="14"/>
      <c r="K894" s="14"/>
      <c r="L894" s="13"/>
    </row>
    <row r="895" spans="1:12" ht="18" customHeight="1">
      <c r="A895" s="23"/>
      <c r="J895" s="14"/>
      <c r="K895" s="14"/>
      <c r="L895" s="13"/>
    </row>
    <row r="896" spans="1:12" ht="18" customHeight="1">
      <c r="A896" s="23"/>
      <c r="J896" s="14"/>
      <c r="K896" s="14"/>
      <c r="L896" s="13"/>
    </row>
    <row r="897" spans="1:12" ht="18" customHeight="1">
      <c r="A897" s="23"/>
      <c r="J897" s="14"/>
      <c r="K897" s="14"/>
      <c r="L897" s="13"/>
    </row>
    <row r="898" spans="1:12" ht="18" customHeight="1">
      <c r="A898" s="23"/>
      <c r="J898" s="14"/>
      <c r="K898" s="14"/>
      <c r="L898" s="13"/>
    </row>
    <row r="899" spans="1:12" ht="18" customHeight="1">
      <c r="A899" s="23"/>
      <c r="J899" s="14"/>
      <c r="K899" s="14"/>
      <c r="L899" s="13"/>
    </row>
    <row r="900" spans="1:12" ht="18" customHeight="1">
      <c r="A900" s="23"/>
      <c r="J900" s="14"/>
      <c r="K900" s="14"/>
      <c r="L900" s="13"/>
    </row>
    <row r="901" spans="1:12" ht="18" customHeight="1">
      <c r="A901" s="23"/>
      <c r="J901" s="14"/>
      <c r="K901" s="14"/>
      <c r="L901" s="13"/>
    </row>
    <row r="902" spans="1:12" ht="18" customHeight="1">
      <c r="A902" s="23"/>
      <c r="J902" s="14"/>
      <c r="K902" s="14"/>
      <c r="L902" s="13"/>
    </row>
    <row r="903" spans="1:12" ht="18" customHeight="1">
      <c r="A903" s="23"/>
      <c r="J903" s="14"/>
      <c r="K903" s="14"/>
      <c r="L903" s="13"/>
    </row>
    <row r="904" spans="1:12" ht="18" customHeight="1">
      <c r="A904" s="23"/>
      <c r="J904" s="14"/>
      <c r="K904" s="14"/>
      <c r="L904" s="13"/>
    </row>
    <row r="905" spans="1:12" ht="18" customHeight="1">
      <c r="A905" s="23"/>
      <c r="J905" s="14"/>
      <c r="K905" s="14"/>
      <c r="L905" s="13"/>
    </row>
    <row r="906" spans="1:12" ht="18" customHeight="1">
      <c r="A906" s="23"/>
      <c r="J906" s="14"/>
      <c r="K906" s="14"/>
      <c r="L906" s="13"/>
    </row>
    <row r="907" spans="1:12" ht="18" customHeight="1">
      <c r="A907" s="23"/>
      <c r="J907" s="14"/>
      <c r="K907" s="14"/>
      <c r="L907" s="13"/>
    </row>
    <row r="908" spans="1:12" ht="18" customHeight="1">
      <c r="A908" s="23"/>
      <c r="J908" s="14"/>
      <c r="K908" s="14"/>
      <c r="L908" s="13"/>
    </row>
    <row r="909" spans="1:12" ht="18" customHeight="1">
      <c r="A909" s="23"/>
      <c r="J909" s="14"/>
      <c r="K909" s="14"/>
      <c r="L909" s="13"/>
    </row>
    <row r="910" spans="1:12" ht="18" customHeight="1">
      <c r="A910" s="23"/>
      <c r="J910" s="14"/>
      <c r="K910" s="14"/>
      <c r="L910" s="13"/>
    </row>
    <row r="911" spans="1:12" ht="18" customHeight="1">
      <c r="A911" s="23"/>
      <c r="J911" s="14"/>
      <c r="K911" s="14"/>
      <c r="L911" s="13"/>
    </row>
    <row r="912" spans="1:12" ht="18" customHeight="1">
      <c r="A912" s="23"/>
      <c r="J912" s="14"/>
      <c r="K912" s="14"/>
      <c r="L912" s="13"/>
    </row>
    <row r="913" spans="1:12" ht="18" customHeight="1">
      <c r="A913" s="23"/>
      <c r="J913" s="14"/>
      <c r="K913" s="14"/>
      <c r="L913" s="13"/>
    </row>
    <row r="914" spans="1:12" ht="18" customHeight="1">
      <c r="A914" s="23"/>
      <c r="J914" s="14"/>
      <c r="K914" s="14"/>
      <c r="L914" s="13"/>
    </row>
    <row r="915" spans="1:12" ht="18" customHeight="1">
      <c r="A915" s="23"/>
      <c r="J915" s="14"/>
      <c r="K915" s="14"/>
      <c r="L915" s="13"/>
    </row>
    <row r="916" spans="1:12" ht="18" customHeight="1">
      <c r="A916" s="23"/>
      <c r="J916" s="14"/>
      <c r="K916" s="14"/>
      <c r="L916" s="13"/>
    </row>
    <row r="917" spans="1:12" ht="18" customHeight="1">
      <c r="A917" s="23"/>
      <c r="J917" s="14"/>
      <c r="K917" s="14"/>
      <c r="L917" s="13"/>
    </row>
    <row r="918" spans="1:12" ht="18" customHeight="1">
      <c r="A918" s="23"/>
      <c r="J918" s="14"/>
      <c r="K918" s="14"/>
      <c r="L918" s="13"/>
    </row>
    <row r="919" spans="1:12" ht="18" customHeight="1">
      <c r="A919" s="23"/>
      <c r="J919" s="14"/>
      <c r="K919" s="14"/>
      <c r="L919" s="13"/>
    </row>
    <row r="920" spans="1:12" ht="18" customHeight="1">
      <c r="A920" s="23"/>
      <c r="J920" s="14"/>
      <c r="K920" s="14"/>
      <c r="L920" s="13"/>
    </row>
    <row r="921" spans="1:12" ht="18" customHeight="1">
      <c r="A921" s="23"/>
      <c r="J921" s="14"/>
      <c r="K921" s="14"/>
      <c r="L921" s="13"/>
    </row>
    <row r="922" spans="1:12" ht="18" customHeight="1">
      <c r="A922" s="23"/>
      <c r="J922" s="14"/>
      <c r="K922" s="14"/>
      <c r="L922" s="13"/>
    </row>
    <row r="923" spans="1:12" ht="18" customHeight="1">
      <c r="A923" s="23"/>
      <c r="J923" s="14"/>
      <c r="K923" s="14"/>
      <c r="L923" s="13"/>
    </row>
    <row r="924" spans="1:12" ht="18" customHeight="1">
      <c r="A924" s="23"/>
      <c r="J924" s="14"/>
      <c r="K924" s="14"/>
      <c r="L924" s="13"/>
    </row>
    <row r="925" spans="1:12" ht="18" customHeight="1">
      <c r="A925" s="23"/>
      <c r="J925" s="14"/>
      <c r="K925" s="14"/>
      <c r="L925" s="13"/>
    </row>
    <row r="926" spans="1:12" ht="18" customHeight="1">
      <c r="A926" s="23"/>
      <c r="J926" s="14"/>
      <c r="K926" s="14"/>
      <c r="L926" s="13"/>
    </row>
    <row r="927" spans="1:12" ht="18" customHeight="1">
      <c r="A927" s="23"/>
      <c r="J927" s="14"/>
      <c r="K927" s="14"/>
      <c r="L927" s="13"/>
    </row>
    <row r="928" spans="1:12" ht="18" customHeight="1">
      <c r="A928" s="23"/>
      <c r="J928" s="14"/>
      <c r="K928" s="14"/>
      <c r="L928" s="13"/>
    </row>
    <row r="929" spans="1:12" ht="18" customHeight="1">
      <c r="A929" s="23"/>
      <c r="J929" s="14"/>
      <c r="K929" s="14"/>
      <c r="L929" s="13"/>
    </row>
    <row r="930" spans="1:12" ht="18" customHeight="1">
      <c r="A930" s="23"/>
      <c r="J930" s="14"/>
      <c r="K930" s="14"/>
      <c r="L930" s="13"/>
    </row>
    <row r="931" spans="1:12" ht="18" customHeight="1">
      <c r="A931" s="23"/>
      <c r="J931" s="14"/>
      <c r="K931" s="14"/>
      <c r="L931" s="13"/>
    </row>
    <row r="932" spans="1:12" ht="18" customHeight="1">
      <c r="A932" s="23"/>
      <c r="J932" s="14"/>
      <c r="K932" s="14"/>
      <c r="L932" s="13"/>
    </row>
    <row r="933" spans="1:12" ht="18" customHeight="1">
      <c r="A933" s="23"/>
      <c r="J933" s="14"/>
      <c r="K933" s="14"/>
      <c r="L933" s="13"/>
    </row>
    <row r="934" spans="1:12" ht="18" customHeight="1">
      <c r="A934" s="23"/>
      <c r="J934" s="14"/>
      <c r="K934" s="14"/>
      <c r="L934" s="13"/>
    </row>
    <row r="935" spans="1:12" ht="18" customHeight="1">
      <c r="A935" s="23"/>
      <c r="J935" s="14"/>
      <c r="K935" s="14"/>
      <c r="L935" s="13"/>
    </row>
    <row r="936" spans="1:12" ht="18" customHeight="1">
      <c r="A936" s="23"/>
      <c r="J936" s="14"/>
      <c r="K936" s="14"/>
      <c r="L936" s="13"/>
    </row>
    <row r="937" spans="1:12" ht="18" customHeight="1">
      <c r="A937" s="23"/>
      <c r="J937" s="14"/>
      <c r="K937" s="14"/>
      <c r="L937" s="13"/>
    </row>
    <row r="938" spans="1:12" ht="18" customHeight="1">
      <c r="A938" s="23"/>
      <c r="J938" s="14"/>
      <c r="K938" s="14"/>
      <c r="L938" s="13"/>
    </row>
    <row r="939" spans="1:12" ht="18" customHeight="1">
      <c r="A939" s="23"/>
      <c r="J939" s="14"/>
      <c r="K939" s="14"/>
      <c r="L939" s="13"/>
    </row>
    <row r="940" spans="1:12" ht="18" customHeight="1">
      <c r="A940" s="23"/>
      <c r="J940" s="14"/>
      <c r="K940" s="14"/>
      <c r="L940" s="13"/>
    </row>
    <row r="941" spans="1:12" ht="18" customHeight="1">
      <c r="A941" s="23"/>
      <c r="J941" s="14"/>
      <c r="K941" s="14"/>
      <c r="L941" s="13"/>
    </row>
    <row r="942" spans="1:12" ht="18" customHeight="1">
      <c r="A942" s="23"/>
      <c r="J942" s="14"/>
      <c r="K942" s="14"/>
      <c r="L942" s="13"/>
    </row>
    <row r="943" spans="1:12" ht="18" customHeight="1">
      <c r="A943" s="23"/>
      <c r="J943" s="14"/>
      <c r="K943" s="14"/>
      <c r="L943" s="13"/>
    </row>
    <row r="944" spans="1:12" ht="18" customHeight="1">
      <c r="A944" s="23"/>
      <c r="J944" s="14"/>
      <c r="K944" s="14"/>
      <c r="L944" s="13"/>
    </row>
    <row r="945" spans="1:12" ht="18" customHeight="1">
      <c r="A945" s="23"/>
      <c r="J945" s="14"/>
      <c r="K945" s="14"/>
      <c r="L945" s="13"/>
    </row>
    <row r="946" spans="1:12" ht="18" customHeight="1">
      <c r="A946" s="23"/>
      <c r="J946" s="14"/>
      <c r="K946" s="14"/>
      <c r="L946" s="13"/>
    </row>
    <row r="947" spans="1:12" ht="18" customHeight="1">
      <c r="A947" s="23"/>
      <c r="J947" s="14"/>
      <c r="K947" s="14"/>
      <c r="L947" s="13"/>
    </row>
    <row r="948" spans="1:12" ht="18" customHeight="1">
      <c r="A948" s="23"/>
      <c r="J948" s="14"/>
      <c r="K948" s="14"/>
      <c r="L948" s="13"/>
    </row>
    <row r="949" spans="1:12" ht="18" customHeight="1">
      <c r="A949" s="23"/>
      <c r="J949" s="14"/>
      <c r="K949" s="14"/>
      <c r="L949" s="13"/>
    </row>
    <row r="950" spans="1:12" ht="18" customHeight="1">
      <c r="A950" s="23"/>
      <c r="J950" s="14"/>
      <c r="K950" s="14"/>
      <c r="L950" s="13"/>
    </row>
    <row r="951" spans="1:12" ht="18" customHeight="1">
      <c r="A951" s="23"/>
      <c r="J951" s="14"/>
      <c r="K951" s="14"/>
      <c r="L951" s="13"/>
    </row>
    <row r="952" spans="1:12" ht="18" customHeight="1">
      <c r="A952" s="23"/>
      <c r="J952" s="14"/>
      <c r="K952" s="14"/>
      <c r="L952" s="13"/>
    </row>
    <row r="953" spans="1:12" ht="18" customHeight="1">
      <c r="A953" s="23"/>
      <c r="J953" s="14"/>
      <c r="K953" s="14"/>
      <c r="L953" s="13"/>
    </row>
    <row r="954" spans="1:12" ht="18" customHeight="1">
      <c r="A954" s="23"/>
      <c r="J954" s="14"/>
      <c r="K954" s="14"/>
      <c r="L954" s="13"/>
    </row>
    <row r="955" spans="1:12" ht="18" customHeight="1">
      <c r="A955" s="23"/>
      <c r="J955" s="14"/>
      <c r="K955" s="14"/>
      <c r="L955" s="13"/>
    </row>
    <row r="956" spans="1:12" ht="18" customHeight="1">
      <c r="A956" s="23"/>
      <c r="J956" s="14"/>
      <c r="K956" s="14"/>
      <c r="L956" s="13"/>
    </row>
    <row r="957" spans="1:12" ht="18" customHeight="1">
      <c r="A957" s="23"/>
      <c r="J957" s="14"/>
      <c r="K957" s="14"/>
      <c r="L957" s="13"/>
    </row>
    <row r="958" spans="1:12" ht="18" customHeight="1">
      <c r="A958" s="23"/>
      <c r="J958" s="14"/>
      <c r="K958" s="14"/>
      <c r="L958" s="13"/>
    </row>
    <row r="959" spans="1:12" ht="18" customHeight="1">
      <c r="A959" s="23"/>
      <c r="J959" s="14"/>
      <c r="K959" s="14"/>
      <c r="L959" s="13"/>
    </row>
    <row r="960" spans="1:12" ht="18" customHeight="1">
      <c r="A960" s="23"/>
      <c r="J960" s="14"/>
      <c r="K960" s="14"/>
      <c r="L960" s="13"/>
    </row>
    <row r="961" spans="1:12" ht="18" customHeight="1">
      <c r="A961" s="23"/>
      <c r="J961" s="14"/>
      <c r="K961" s="14"/>
      <c r="L961" s="13"/>
    </row>
    <row r="962" spans="1:12" ht="18" customHeight="1">
      <c r="A962" s="23"/>
      <c r="J962" s="14"/>
      <c r="K962" s="14"/>
      <c r="L962" s="13"/>
    </row>
    <row r="963" spans="1:12" ht="18" customHeight="1">
      <c r="A963" s="23"/>
      <c r="J963" s="14"/>
      <c r="K963" s="14"/>
      <c r="L963" s="13"/>
    </row>
    <row r="964" spans="1:12" ht="18" customHeight="1">
      <c r="A964" s="23"/>
      <c r="J964" s="14"/>
      <c r="K964" s="14"/>
      <c r="L964" s="13"/>
    </row>
    <row r="965" spans="1:12" ht="18" customHeight="1">
      <c r="A965" s="23"/>
      <c r="J965" s="14"/>
      <c r="K965" s="14"/>
      <c r="L965" s="13"/>
    </row>
    <row r="966" spans="1:12" ht="18" customHeight="1">
      <c r="A966" s="23"/>
      <c r="J966" s="14"/>
      <c r="K966" s="14"/>
      <c r="L966" s="13"/>
    </row>
    <row r="967" spans="1:12" ht="18" customHeight="1">
      <c r="A967" s="23"/>
      <c r="J967" s="14"/>
      <c r="K967" s="14"/>
      <c r="L967" s="13"/>
    </row>
    <row r="968" spans="1:12" ht="18" customHeight="1">
      <c r="A968" s="23"/>
      <c r="J968" s="14"/>
      <c r="K968" s="14"/>
      <c r="L968" s="13"/>
    </row>
    <row r="969" spans="1:12" ht="18" customHeight="1">
      <c r="A969" s="23"/>
      <c r="J969" s="14"/>
      <c r="K969" s="14"/>
      <c r="L969" s="13"/>
    </row>
    <row r="970" spans="1:12" ht="18" customHeight="1">
      <c r="A970" s="23"/>
      <c r="J970" s="14"/>
      <c r="K970" s="14"/>
      <c r="L970" s="13"/>
    </row>
    <row r="971" spans="1:12" ht="18" customHeight="1">
      <c r="A971" s="23"/>
      <c r="J971" s="14"/>
      <c r="K971" s="14"/>
      <c r="L971" s="13"/>
    </row>
    <row r="972" spans="1:12" ht="18" customHeight="1">
      <c r="A972" s="23"/>
      <c r="J972" s="14"/>
      <c r="K972" s="14"/>
      <c r="L972" s="13"/>
    </row>
    <row r="973" spans="1:12" ht="18" customHeight="1">
      <c r="A973" s="23"/>
      <c r="J973" s="14"/>
      <c r="K973" s="14"/>
      <c r="L973" s="13"/>
    </row>
    <row r="974" spans="1:12" ht="18" customHeight="1">
      <c r="A974" s="23"/>
      <c r="J974" s="14"/>
      <c r="K974" s="14"/>
      <c r="L974" s="13"/>
    </row>
    <row r="975" spans="1:12" ht="18" customHeight="1">
      <c r="A975" s="23"/>
      <c r="J975" s="14"/>
      <c r="K975" s="14"/>
      <c r="L975" s="13"/>
    </row>
    <row r="976" spans="1:12" ht="18" customHeight="1">
      <c r="A976" s="23"/>
      <c r="J976" s="14"/>
      <c r="K976" s="14"/>
      <c r="L976" s="13"/>
    </row>
    <row r="977" spans="1:12" ht="18" customHeight="1">
      <c r="A977" s="23"/>
      <c r="J977" s="14"/>
      <c r="K977" s="14"/>
      <c r="L977" s="13"/>
    </row>
    <row r="978" spans="1:12" ht="18" customHeight="1">
      <c r="A978" s="23"/>
      <c r="J978" s="14"/>
      <c r="K978" s="14"/>
      <c r="L978" s="13"/>
    </row>
    <row r="979" spans="1:12" ht="18" customHeight="1">
      <c r="A979" s="23"/>
      <c r="J979" s="14"/>
      <c r="K979" s="14"/>
      <c r="L979" s="13"/>
    </row>
    <row r="980" spans="1:12" ht="18" customHeight="1">
      <c r="A980" s="23"/>
      <c r="J980" s="14"/>
      <c r="K980" s="14"/>
      <c r="L980" s="13"/>
    </row>
    <row r="981" spans="1:12" ht="18" customHeight="1">
      <c r="A981" s="23"/>
      <c r="J981" s="14"/>
      <c r="K981" s="14"/>
      <c r="L981" s="13"/>
    </row>
    <row r="982" spans="1:12" ht="18" customHeight="1">
      <c r="A982" s="23"/>
      <c r="J982" s="14"/>
      <c r="K982" s="14"/>
      <c r="L982" s="13"/>
    </row>
    <row r="983" spans="1:12" ht="18" customHeight="1">
      <c r="A983" s="23"/>
      <c r="J983" s="14"/>
      <c r="K983" s="14"/>
      <c r="L983" s="13"/>
    </row>
    <row r="984" spans="1:12" ht="18" customHeight="1">
      <c r="A984" s="23"/>
      <c r="J984" s="14"/>
      <c r="K984" s="14"/>
      <c r="L984" s="13"/>
    </row>
    <row r="985" spans="1:12" ht="18" customHeight="1">
      <c r="A985" s="23"/>
      <c r="J985" s="14"/>
      <c r="K985" s="14"/>
      <c r="L985" s="13"/>
    </row>
    <row r="986" spans="1:12" ht="18" customHeight="1">
      <c r="A986" s="23"/>
      <c r="J986" s="14"/>
      <c r="K986" s="14"/>
      <c r="L986" s="13"/>
    </row>
    <row r="987" spans="1:12" ht="18" customHeight="1">
      <c r="A987" s="23"/>
      <c r="J987" s="14"/>
      <c r="K987" s="14"/>
      <c r="L987" s="13"/>
    </row>
    <row r="988" spans="1:12" ht="18" customHeight="1">
      <c r="A988" s="23"/>
      <c r="J988" s="14"/>
      <c r="K988" s="14"/>
      <c r="L988" s="13"/>
    </row>
    <row r="989" spans="1:12" ht="18" customHeight="1">
      <c r="A989" s="23"/>
      <c r="J989" s="14"/>
      <c r="K989" s="14"/>
      <c r="L989" s="13"/>
    </row>
    <row r="990" spans="1:12" ht="18" customHeight="1">
      <c r="A990" s="23"/>
      <c r="J990" s="14"/>
      <c r="K990" s="14"/>
      <c r="L990" s="13"/>
    </row>
    <row r="991" spans="1:12" ht="18" customHeight="1">
      <c r="A991" s="23"/>
      <c r="J991" s="14"/>
      <c r="K991" s="14"/>
      <c r="L991" s="13"/>
    </row>
    <row r="992" spans="1:12" ht="18" customHeight="1">
      <c r="A992" s="23"/>
      <c r="J992" s="14"/>
      <c r="K992" s="14"/>
      <c r="L992" s="13"/>
    </row>
    <row r="993" spans="1:12" ht="18" customHeight="1">
      <c r="A993" s="23"/>
      <c r="J993" s="14"/>
      <c r="K993" s="14"/>
      <c r="L993" s="13"/>
    </row>
    <row r="994" spans="1:12" ht="18" customHeight="1">
      <c r="A994" s="23"/>
      <c r="J994" s="14"/>
      <c r="K994" s="14"/>
      <c r="L994" s="13"/>
    </row>
    <row r="995" spans="1:12" ht="18" customHeight="1">
      <c r="A995" s="23"/>
      <c r="J995" s="14"/>
      <c r="K995" s="14"/>
      <c r="L995" s="13"/>
    </row>
    <row r="996" spans="1:12" ht="18" customHeight="1">
      <c r="A996" s="23"/>
      <c r="J996" s="14"/>
      <c r="K996" s="14"/>
      <c r="L996" s="13"/>
    </row>
    <row r="997" spans="1:12" ht="18" customHeight="1">
      <c r="A997" s="23"/>
      <c r="J997" s="14"/>
      <c r="K997" s="14"/>
      <c r="L997" s="13"/>
    </row>
    <row r="998" spans="1:12" ht="18" customHeight="1">
      <c r="A998" s="23"/>
      <c r="J998" s="14"/>
      <c r="K998" s="14"/>
      <c r="L998" s="13"/>
    </row>
    <row r="999" spans="1:12" ht="18" customHeight="1">
      <c r="A999" s="23"/>
      <c r="J999" s="14"/>
      <c r="K999" s="14"/>
      <c r="L999" s="13"/>
    </row>
    <row r="1000" spans="1:12" ht="18" customHeight="1">
      <c r="A1000" s="23"/>
      <c r="J1000" s="14"/>
      <c r="K1000" s="14"/>
      <c r="L1000" s="13"/>
    </row>
  </sheetData>
  <mergeCells count="14">
    <mergeCell ref="F1:F2"/>
    <mergeCell ref="G1:G2"/>
    <mergeCell ref="H1:H2"/>
    <mergeCell ref="I1:I2"/>
    <mergeCell ref="A1:A2"/>
    <mergeCell ref="B1:B2"/>
    <mergeCell ref="C1:C2"/>
    <mergeCell ref="D1:D2"/>
    <mergeCell ref="E1:E2"/>
    <mergeCell ref="J1:K1"/>
    <mergeCell ref="L1:L2"/>
    <mergeCell ref="H136:I136"/>
    <mergeCell ref="H137:I137"/>
    <mergeCell ref="H138:I138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  <sheetView workbookViewId="1">
      <selection sqref="A1:A2"/>
    </sheetView>
  </sheetViews>
  <sheetFormatPr defaultColWidth="14.42578125" defaultRowHeight="15" customHeight="1"/>
  <cols>
    <col min="1" max="1" width="5.7109375" customWidth="1"/>
    <col min="2" max="2" width="22.7109375" customWidth="1"/>
    <col min="3" max="3" width="9.7109375" customWidth="1"/>
    <col min="4" max="4" width="18.42578125" customWidth="1"/>
    <col min="5" max="5" width="17.5703125" customWidth="1"/>
    <col min="6" max="6" width="10.7109375" customWidth="1"/>
    <col min="7" max="7" width="34.7109375" customWidth="1"/>
    <col min="8" max="8" width="39.140625" customWidth="1"/>
    <col min="9" max="9" width="8.85546875" customWidth="1"/>
    <col min="10" max="11" width="11.7109375" customWidth="1"/>
    <col min="12" max="12" width="17.42578125" customWidth="1"/>
    <col min="13" max="26" width="8.7109375" customWidth="1"/>
  </cols>
  <sheetData>
    <row r="1" spans="1:26" ht="14.25" customHeight="1">
      <c r="A1" s="102" t="s">
        <v>0</v>
      </c>
      <c r="B1" s="98" t="s">
        <v>1715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7" t="s">
        <v>9</v>
      </c>
      <c r="K1" s="110"/>
      <c r="L1" s="98" t="s">
        <v>10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8" customHeight="1">
      <c r="A2" s="111"/>
      <c r="B2" s="111"/>
      <c r="C2" s="111"/>
      <c r="D2" s="111"/>
      <c r="E2" s="111"/>
      <c r="F2" s="111"/>
      <c r="G2" s="111"/>
      <c r="H2" s="111"/>
      <c r="I2" s="111"/>
      <c r="J2" s="15" t="s">
        <v>18</v>
      </c>
      <c r="K2" s="15" t="s">
        <v>19</v>
      </c>
      <c r="L2" s="111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" customHeight="1">
      <c r="A3" s="16">
        <v>1</v>
      </c>
      <c r="B3" s="17">
        <v>6512888117</v>
      </c>
      <c r="C3" s="17" t="s">
        <v>29</v>
      </c>
      <c r="D3" s="17" t="s">
        <v>798</v>
      </c>
      <c r="E3" s="17" t="s">
        <v>1298</v>
      </c>
      <c r="F3" s="17" t="s">
        <v>644</v>
      </c>
      <c r="G3" s="17" t="s">
        <v>1299</v>
      </c>
      <c r="H3" s="17" t="s">
        <v>1300</v>
      </c>
      <c r="I3" s="17" t="s">
        <v>3710</v>
      </c>
      <c r="J3" s="16"/>
      <c r="K3" s="16" t="str">
        <f t="shared" ref="K3:K16" si="0">IF(J3&gt;=2,"ผ่าน",IF(J3&lt;2,"ไม่ผ่าน"))</f>
        <v>ไม่ผ่าน</v>
      </c>
      <c r="L3" s="16" t="s">
        <v>28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" customHeight="1">
      <c r="A4" s="16">
        <v>2</v>
      </c>
      <c r="B4" s="17">
        <v>6512888223</v>
      </c>
      <c r="C4" s="17" t="s">
        <v>29</v>
      </c>
      <c r="D4" s="17" t="s">
        <v>1239</v>
      </c>
      <c r="E4" s="17" t="s">
        <v>1301</v>
      </c>
      <c r="F4" s="17" t="s">
        <v>915</v>
      </c>
      <c r="G4" s="17" t="s">
        <v>1299</v>
      </c>
      <c r="H4" s="17" t="s">
        <v>1300</v>
      </c>
      <c r="I4" s="17" t="s">
        <v>3710</v>
      </c>
      <c r="J4" s="16"/>
      <c r="K4" s="16" t="str">
        <f t="shared" si="0"/>
        <v>ไม่ผ่าน</v>
      </c>
      <c r="L4" s="16" t="s">
        <v>28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" customHeight="1">
      <c r="A5" s="16">
        <v>3</v>
      </c>
      <c r="B5" s="17">
        <v>6512888231</v>
      </c>
      <c r="C5" s="17" t="s">
        <v>29</v>
      </c>
      <c r="D5" s="17" t="s">
        <v>1302</v>
      </c>
      <c r="E5" s="17" t="s">
        <v>1303</v>
      </c>
      <c r="F5" s="17" t="s">
        <v>1304</v>
      </c>
      <c r="G5" s="17" t="s">
        <v>1299</v>
      </c>
      <c r="H5" s="17" t="s">
        <v>1300</v>
      </c>
      <c r="I5" s="17" t="s">
        <v>3710</v>
      </c>
      <c r="J5" s="16"/>
      <c r="K5" s="16" t="str">
        <f t="shared" si="0"/>
        <v>ไม่ผ่าน</v>
      </c>
      <c r="L5" s="16" t="s">
        <v>28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" customHeight="1">
      <c r="A6" s="16">
        <v>4</v>
      </c>
      <c r="B6" s="17">
        <v>6412888103</v>
      </c>
      <c r="C6" s="17" t="s">
        <v>22</v>
      </c>
      <c r="D6" s="17" t="s">
        <v>1305</v>
      </c>
      <c r="E6" s="17" t="s">
        <v>1306</v>
      </c>
      <c r="F6" s="17" t="s">
        <v>1307</v>
      </c>
      <c r="G6" s="17" t="s">
        <v>1299</v>
      </c>
      <c r="H6" s="17" t="s">
        <v>1300</v>
      </c>
      <c r="I6" s="17" t="s">
        <v>3707</v>
      </c>
      <c r="J6" s="16"/>
      <c r="K6" s="16" t="str">
        <f t="shared" si="0"/>
        <v>ไม่ผ่าน</v>
      </c>
      <c r="L6" s="16" t="s">
        <v>28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" customHeight="1">
      <c r="A7" s="16">
        <v>5</v>
      </c>
      <c r="B7" s="17">
        <v>6312888222</v>
      </c>
      <c r="C7" s="17" t="s">
        <v>29</v>
      </c>
      <c r="D7" s="17" t="s">
        <v>1308</v>
      </c>
      <c r="E7" s="17" t="s">
        <v>1309</v>
      </c>
      <c r="F7" s="17" t="s">
        <v>1310</v>
      </c>
      <c r="G7" s="17" t="s">
        <v>1299</v>
      </c>
      <c r="H7" s="17" t="s">
        <v>1300</v>
      </c>
      <c r="I7" s="17" t="s">
        <v>3708</v>
      </c>
      <c r="J7" s="16"/>
      <c r="K7" s="16" t="str">
        <f t="shared" si="0"/>
        <v>ไม่ผ่าน</v>
      </c>
      <c r="L7" s="16" t="s">
        <v>28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" customHeight="1">
      <c r="A8" s="16">
        <v>6</v>
      </c>
      <c r="B8" s="17">
        <v>6412866115</v>
      </c>
      <c r="C8" s="17" t="s">
        <v>29</v>
      </c>
      <c r="D8" s="17" t="s">
        <v>1311</v>
      </c>
      <c r="E8" s="17" t="s">
        <v>1312</v>
      </c>
      <c r="F8" s="17" t="s">
        <v>704</v>
      </c>
      <c r="G8" s="17" t="s">
        <v>1299</v>
      </c>
      <c r="H8" s="17" t="s">
        <v>1313</v>
      </c>
      <c r="I8" s="17" t="s">
        <v>3707</v>
      </c>
      <c r="J8" s="16"/>
      <c r="K8" s="16" t="str">
        <f t="shared" si="0"/>
        <v>ไม่ผ่าน</v>
      </c>
      <c r="L8" s="16" t="s">
        <v>28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8" customHeight="1">
      <c r="A9" s="16">
        <v>7</v>
      </c>
      <c r="B9" s="17">
        <v>6412866119</v>
      </c>
      <c r="C9" s="17" t="s">
        <v>29</v>
      </c>
      <c r="D9" s="17" t="s">
        <v>1314</v>
      </c>
      <c r="E9" s="17" t="s">
        <v>1315</v>
      </c>
      <c r="F9" s="17" t="s">
        <v>453</v>
      </c>
      <c r="G9" s="17" t="s">
        <v>1299</v>
      </c>
      <c r="H9" s="17" t="s">
        <v>1313</v>
      </c>
      <c r="I9" s="17" t="s">
        <v>3707</v>
      </c>
      <c r="J9" s="16"/>
      <c r="K9" s="16" t="str">
        <f t="shared" si="0"/>
        <v>ไม่ผ่าน</v>
      </c>
      <c r="L9" s="16" t="s">
        <v>28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" customHeight="1">
      <c r="A10" s="16">
        <v>8</v>
      </c>
      <c r="B10" s="17">
        <v>6412866216</v>
      </c>
      <c r="C10" s="17" t="s">
        <v>29</v>
      </c>
      <c r="D10" s="17" t="s">
        <v>1316</v>
      </c>
      <c r="E10" s="17" t="s">
        <v>1317</v>
      </c>
      <c r="F10" s="17" t="s">
        <v>924</v>
      </c>
      <c r="G10" s="17" t="s">
        <v>1299</v>
      </c>
      <c r="H10" s="17" t="s">
        <v>1313</v>
      </c>
      <c r="I10" s="17" t="s">
        <v>3707</v>
      </c>
      <c r="J10" s="16"/>
      <c r="K10" s="16" t="str">
        <f t="shared" si="0"/>
        <v>ไม่ผ่าน</v>
      </c>
      <c r="L10" s="16" t="s">
        <v>28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" customHeight="1">
      <c r="A11" s="16">
        <v>9</v>
      </c>
      <c r="B11" s="17">
        <v>6412866221</v>
      </c>
      <c r="C11" s="17" t="s">
        <v>29</v>
      </c>
      <c r="D11" s="17" t="s">
        <v>1318</v>
      </c>
      <c r="E11" s="17" t="s">
        <v>766</v>
      </c>
      <c r="F11" s="17" t="s">
        <v>1250</v>
      </c>
      <c r="G11" s="17" t="s">
        <v>1299</v>
      </c>
      <c r="H11" s="17" t="s">
        <v>1313</v>
      </c>
      <c r="I11" s="17" t="s">
        <v>3707</v>
      </c>
      <c r="J11" s="16"/>
      <c r="K11" s="16" t="str">
        <f t="shared" si="0"/>
        <v>ไม่ผ่าน</v>
      </c>
      <c r="L11" s="16" t="s">
        <v>28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8" customHeight="1">
      <c r="A12" s="16">
        <v>10</v>
      </c>
      <c r="B12" s="17">
        <v>6412866222</v>
      </c>
      <c r="C12" s="17" t="s">
        <v>29</v>
      </c>
      <c r="D12" s="17" t="s">
        <v>125</v>
      </c>
      <c r="E12" s="17" t="s">
        <v>1319</v>
      </c>
      <c r="F12" s="17" t="s">
        <v>233</v>
      </c>
      <c r="G12" s="17" t="s">
        <v>1299</v>
      </c>
      <c r="H12" s="17" t="s">
        <v>1313</v>
      </c>
      <c r="I12" s="17" t="s">
        <v>3707</v>
      </c>
      <c r="J12" s="16"/>
      <c r="K12" s="16" t="str">
        <f t="shared" si="0"/>
        <v>ไม่ผ่าน</v>
      </c>
      <c r="L12" s="16" t="s">
        <v>28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8" customHeight="1">
      <c r="A13" s="16">
        <v>11</v>
      </c>
      <c r="B13" s="17">
        <v>6412866227</v>
      </c>
      <c r="C13" s="17" t="s">
        <v>29</v>
      </c>
      <c r="D13" s="17" t="s">
        <v>1320</v>
      </c>
      <c r="E13" s="17" t="s">
        <v>1321</v>
      </c>
      <c r="F13" s="17" t="s">
        <v>507</v>
      </c>
      <c r="G13" s="17" t="s">
        <v>1299</v>
      </c>
      <c r="H13" s="17" t="s">
        <v>1313</v>
      </c>
      <c r="I13" s="17" t="s">
        <v>3707</v>
      </c>
      <c r="J13" s="16"/>
      <c r="K13" s="16" t="str">
        <f t="shared" si="0"/>
        <v>ไม่ผ่าน</v>
      </c>
      <c r="L13" s="16" t="s">
        <v>28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8" customHeight="1">
      <c r="A14" s="16">
        <v>12</v>
      </c>
      <c r="B14" s="17">
        <v>6312866130</v>
      </c>
      <c r="C14" s="17" t="s">
        <v>29</v>
      </c>
      <c r="D14" s="17" t="s">
        <v>1322</v>
      </c>
      <c r="E14" s="17" t="s">
        <v>1323</v>
      </c>
      <c r="F14" s="17" t="s">
        <v>1324</v>
      </c>
      <c r="G14" s="17" t="s">
        <v>1299</v>
      </c>
      <c r="H14" s="17" t="s">
        <v>1313</v>
      </c>
      <c r="I14" s="17" t="s">
        <v>3708</v>
      </c>
      <c r="J14" s="16"/>
      <c r="K14" s="16" t="str">
        <f t="shared" si="0"/>
        <v>ไม่ผ่าน</v>
      </c>
      <c r="L14" s="16" t="s">
        <v>28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8" customHeight="1">
      <c r="A15" s="16">
        <v>13</v>
      </c>
      <c r="B15" s="17">
        <v>6312866135</v>
      </c>
      <c r="C15" s="17" t="s">
        <v>29</v>
      </c>
      <c r="D15" s="17" t="s">
        <v>186</v>
      </c>
      <c r="E15" s="17" t="s">
        <v>1325</v>
      </c>
      <c r="F15" s="17" t="s">
        <v>1326</v>
      </c>
      <c r="G15" s="17" t="s">
        <v>1299</v>
      </c>
      <c r="H15" s="17" t="s">
        <v>1313</v>
      </c>
      <c r="I15" s="17" t="s">
        <v>3708</v>
      </c>
      <c r="J15" s="16"/>
      <c r="K15" s="16" t="str">
        <f t="shared" si="0"/>
        <v>ไม่ผ่าน</v>
      </c>
      <c r="L15" s="16" t="s">
        <v>28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8" customHeight="1">
      <c r="A16" s="16">
        <v>14</v>
      </c>
      <c r="B16" s="17">
        <v>6310226205</v>
      </c>
      <c r="C16" s="17" t="s">
        <v>22</v>
      </c>
      <c r="D16" s="17" t="s">
        <v>1327</v>
      </c>
      <c r="E16" s="17" t="s">
        <v>1328</v>
      </c>
      <c r="F16" s="17" t="s">
        <v>1329</v>
      </c>
      <c r="G16" s="17" t="s">
        <v>1299</v>
      </c>
      <c r="H16" s="17" t="s">
        <v>1330</v>
      </c>
      <c r="I16" s="17" t="s">
        <v>3708</v>
      </c>
      <c r="J16" s="16"/>
      <c r="K16" s="16" t="str">
        <f t="shared" si="0"/>
        <v>ไม่ผ่าน</v>
      </c>
      <c r="L16" s="16" t="s">
        <v>28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8" customHeight="1">
      <c r="A17" s="14"/>
      <c r="B17" s="13"/>
      <c r="C17" s="13"/>
      <c r="D17" s="13"/>
      <c r="E17" s="13"/>
      <c r="F17" s="13"/>
      <c r="G17" s="13"/>
      <c r="H17" s="99" t="s">
        <v>1711</v>
      </c>
      <c r="I17" s="110"/>
      <c r="J17" s="16">
        <f>COUNT(A3:A16)</f>
        <v>14</v>
      </c>
      <c r="K17" s="18" t="s">
        <v>1712</v>
      </c>
      <c r="L17" s="14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8" customHeight="1">
      <c r="A18" s="14"/>
      <c r="B18" s="13"/>
      <c r="C18" s="13"/>
      <c r="D18" s="13"/>
      <c r="E18" s="13"/>
      <c r="F18" s="13"/>
      <c r="G18" s="13"/>
      <c r="H18" s="100" t="s">
        <v>1713</v>
      </c>
      <c r="I18" s="110"/>
      <c r="J18" s="16"/>
      <c r="K18" s="19" t="s">
        <v>1712</v>
      </c>
      <c r="L18" s="14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8" customHeight="1">
      <c r="A19" s="14"/>
      <c r="B19" s="13"/>
      <c r="C19" s="13"/>
      <c r="D19" s="13"/>
      <c r="E19" s="13"/>
      <c r="F19" s="13"/>
      <c r="G19" s="13"/>
      <c r="H19" s="101" t="s">
        <v>1714</v>
      </c>
      <c r="I19" s="110"/>
      <c r="J19" s="16"/>
      <c r="K19" s="20" t="s">
        <v>1712</v>
      </c>
      <c r="L19" s="14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8" customHeight="1">
      <c r="A20" s="14"/>
      <c r="B20" s="13"/>
      <c r="C20" s="13"/>
      <c r="D20" s="13"/>
      <c r="E20" s="13"/>
      <c r="F20" s="13"/>
      <c r="G20" s="13"/>
      <c r="H20" s="13"/>
      <c r="I20" s="13"/>
      <c r="J20" s="14"/>
      <c r="K20" s="14"/>
      <c r="L20" s="14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8" customHeight="1">
      <c r="A21" s="14"/>
      <c r="B21" s="13"/>
      <c r="C21" s="13"/>
      <c r="D21" s="13"/>
      <c r="E21" s="13"/>
      <c r="F21" s="13"/>
      <c r="G21" s="13"/>
      <c r="H21" s="13"/>
      <c r="I21" s="13"/>
      <c r="J21" s="14"/>
      <c r="K21" s="14"/>
      <c r="L21" s="14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" customHeight="1">
      <c r="A22" s="14"/>
      <c r="B22" s="13"/>
      <c r="C22" s="13"/>
      <c r="D22" s="13"/>
      <c r="E22" s="13"/>
      <c r="F22" s="13"/>
      <c r="G22" s="13"/>
      <c r="H22" s="13"/>
      <c r="I22" s="13"/>
      <c r="J22" s="14"/>
      <c r="K22" s="14"/>
      <c r="L22" s="14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" customHeight="1">
      <c r="A23" s="14"/>
      <c r="B23" s="13"/>
      <c r="C23" s="13"/>
      <c r="D23" s="13"/>
      <c r="E23" s="13"/>
      <c r="F23" s="13"/>
      <c r="G23" s="13"/>
      <c r="H23" s="13"/>
      <c r="I23" s="13"/>
      <c r="J23" s="14"/>
      <c r="K23" s="14"/>
      <c r="L23" s="14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" customHeight="1">
      <c r="A24" s="14"/>
      <c r="B24" s="13"/>
      <c r="C24" s="13"/>
      <c r="D24" s="13"/>
      <c r="E24" s="13"/>
      <c r="F24" s="13"/>
      <c r="G24" s="13"/>
      <c r="H24" s="13"/>
      <c r="I24" s="13"/>
      <c r="J24" s="14"/>
      <c r="K24" s="14"/>
      <c r="L24" s="14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8" customHeight="1">
      <c r="A25" s="14"/>
      <c r="B25" s="13"/>
      <c r="C25" s="13"/>
      <c r="D25" s="13"/>
      <c r="E25" s="13"/>
      <c r="F25" s="13"/>
      <c r="G25" s="13"/>
      <c r="H25" s="13"/>
      <c r="I25" s="13"/>
      <c r="J25" s="14"/>
      <c r="K25" s="14"/>
      <c r="L25" s="14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" customHeight="1">
      <c r="A26" s="14"/>
      <c r="B26" s="13"/>
      <c r="C26" s="13"/>
      <c r="D26" s="13"/>
      <c r="E26" s="13"/>
      <c r="F26" s="13"/>
      <c r="G26" s="13"/>
      <c r="H26" s="13"/>
      <c r="I26" s="13"/>
      <c r="J26" s="14"/>
      <c r="K26" s="14"/>
      <c r="L26" s="14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" customHeight="1">
      <c r="A27" s="14"/>
      <c r="B27" s="13"/>
      <c r="C27" s="13"/>
      <c r="D27" s="13"/>
      <c r="E27" s="13"/>
      <c r="F27" s="13"/>
      <c r="G27" s="13"/>
      <c r="H27" s="13"/>
      <c r="I27" s="13"/>
      <c r="J27" s="14"/>
      <c r="K27" s="14"/>
      <c r="L27" s="14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" customHeight="1">
      <c r="A28" s="14"/>
      <c r="B28" s="13"/>
      <c r="C28" s="13"/>
      <c r="D28" s="13"/>
      <c r="E28" s="13"/>
      <c r="F28" s="13"/>
      <c r="G28" s="13"/>
      <c r="H28" s="13"/>
      <c r="I28" s="13"/>
      <c r="J28" s="14"/>
      <c r="K28" s="14"/>
      <c r="L28" s="14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" customHeight="1">
      <c r="A29" s="14"/>
      <c r="B29" s="13"/>
      <c r="C29" s="13"/>
      <c r="D29" s="13"/>
      <c r="E29" s="13"/>
      <c r="F29" s="13"/>
      <c r="G29" s="13"/>
      <c r="H29" s="13"/>
      <c r="I29" s="13"/>
      <c r="J29" s="14"/>
      <c r="K29" s="14"/>
      <c r="L29" s="14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" customHeight="1">
      <c r="A30" s="14"/>
      <c r="B30" s="13"/>
      <c r="C30" s="13"/>
      <c r="D30" s="13"/>
      <c r="E30" s="13"/>
      <c r="F30" s="13"/>
      <c r="G30" s="13"/>
      <c r="H30" s="13"/>
      <c r="I30" s="13"/>
      <c r="J30" s="14"/>
      <c r="K30" s="14"/>
      <c r="L30" s="14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" customHeight="1">
      <c r="A31" s="14"/>
      <c r="B31" s="13"/>
      <c r="C31" s="13"/>
      <c r="D31" s="13"/>
      <c r="E31" s="13"/>
      <c r="F31" s="13"/>
      <c r="G31" s="13"/>
      <c r="H31" s="13"/>
      <c r="I31" s="13"/>
      <c r="J31" s="14"/>
      <c r="K31" s="14"/>
      <c r="L31" s="14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" customHeight="1">
      <c r="A32" s="14"/>
      <c r="B32" s="13"/>
      <c r="C32" s="13"/>
      <c r="D32" s="13"/>
      <c r="E32" s="13"/>
      <c r="F32" s="13"/>
      <c r="G32" s="13"/>
      <c r="H32" s="13"/>
      <c r="I32" s="13"/>
      <c r="J32" s="14"/>
      <c r="K32" s="14"/>
      <c r="L32" s="14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" customHeight="1">
      <c r="A33" s="14"/>
      <c r="B33" s="13"/>
      <c r="C33" s="13"/>
      <c r="D33" s="13"/>
      <c r="E33" s="13"/>
      <c r="F33" s="13"/>
      <c r="G33" s="13"/>
      <c r="H33" s="13"/>
      <c r="I33" s="13"/>
      <c r="J33" s="14"/>
      <c r="K33" s="14"/>
      <c r="L33" s="14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" customHeight="1">
      <c r="A34" s="14"/>
      <c r="B34" s="13"/>
      <c r="C34" s="13"/>
      <c r="D34" s="13"/>
      <c r="E34" s="13"/>
      <c r="F34" s="13"/>
      <c r="G34" s="13"/>
      <c r="H34" s="13"/>
      <c r="I34" s="13"/>
      <c r="J34" s="14"/>
      <c r="K34" s="14"/>
      <c r="L34" s="14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" customHeight="1">
      <c r="A35" s="14"/>
      <c r="B35" s="13"/>
      <c r="C35" s="13"/>
      <c r="D35" s="13"/>
      <c r="E35" s="13"/>
      <c r="F35" s="13"/>
      <c r="G35" s="13"/>
      <c r="H35" s="13"/>
      <c r="I35" s="13"/>
      <c r="J35" s="14"/>
      <c r="K35" s="14"/>
      <c r="L35" s="14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" customHeight="1">
      <c r="A36" s="14"/>
      <c r="B36" s="13"/>
      <c r="C36" s="13"/>
      <c r="D36" s="13"/>
      <c r="E36" s="13"/>
      <c r="F36" s="13"/>
      <c r="G36" s="13"/>
      <c r="H36" s="13"/>
      <c r="I36" s="13"/>
      <c r="J36" s="14"/>
      <c r="K36" s="14"/>
      <c r="L36" s="14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" customHeight="1">
      <c r="A37" s="14"/>
      <c r="B37" s="13"/>
      <c r="C37" s="13"/>
      <c r="D37" s="13"/>
      <c r="E37" s="13"/>
      <c r="F37" s="13"/>
      <c r="G37" s="13"/>
      <c r="H37" s="13"/>
      <c r="I37" s="13"/>
      <c r="J37" s="14"/>
      <c r="K37" s="14"/>
      <c r="L37" s="14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" customHeight="1">
      <c r="A38" s="14"/>
      <c r="B38" s="13"/>
      <c r="C38" s="13"/>
      <c r="D38" s="13"/>
      <c r="E38" s="13"/>
      <c r="F38" s="13"/>
      <c r="G38" s="13"/>
      <c r="H38" s="13"/>
      <c r="I38" s="13"/>
      <c r="J38" s="14"/>
      <c r="K38" s="14"/>
      <c r="L38" s="14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" customHeight="1">
      <c r="A39" s="14"/>
      <c r="B39" s="13"/>
      <c r="C39" s="13"/>
      <c r="D39" s="13"/>
      <c r="E39" s="13"/>
      <c r="F39" s="13"/>
      <c r="G39" s="13"/>
      <c r="H39" s="13"/>
      <c r="I39" s="13"/>
      <c r="J39" s="14"/>
      <c r="K39" s="14"/>
      <c r="L39" s="14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" customHeight="1">
      <c r="A40" s="14"/>
      <c r="B40" s="13"/>
      <c r="C40" s="13"/>
      <c r="D40" s="13"/>
      <c r="E40" s="13"/>
      <c r="F40" s="13"/>
      <c r="G40" s="13"/>
      <c r="H40" s="13"/>
      <c r="I40" s="13"/>
      <c r="J40" s="14"/>
      <c r="K40" s="14"/>
      <c r="L40" s="14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" customHeight="1">
      <c r="A41" s="14"/>
      <c r="B41" s="13"/>
      <c r="C41" s="13"/>
      <c r="D41" s="13"/>
      <c r="E41" s="13"/>
      <c r="F41" s="13"/>
      <c r="G41" s="13"/>
      <c r="H41" s="13"/>
      <c r="I41" s="13"/>
      <c r="J41" s="14"/>
      <c r="K41" s="14"/>
      <c r="L41" s="14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" customHeight="1">
      <c r="A42" s="14"/>
      <c r="B42" s="13"/>
      <c r="C42" s="13"/>
      <c r="D42" s="13"/>
      <c r="E42" s="13"/>
      <c r="F42" s="13"/>
      <c r="G42" s="13"/>
      <c r="H42" s="13"/>
      <c r="I42" s="13"/>
      <c r="J42" s="14"/>
      <c r="K42" s="14"/>
      <c r="L42" s="14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" customHeight="1">
      <c r="A43" s="14"/>
      <c r="B43" s="13"/>
      <c r="C43" s="13"/>
      <c r="D43" s="13"/>
      <c r="E43" s="13"/>
      <c r="F43" s="13"/>
      <c r="G43" s="13"/>
      <c r="H43" s="13"/>
      <c r="I43" s="13"/>
      <c r="J43" s="14"/>
      <c r="K43" s="14"/>
      <c r="L43" s="14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" customHeight="1">
      <c r="A44" s="14"/>
      <c r="B44" s="13"/>
      <c r="C44" s="13"/>
      <c r="D44" s="13"/>
      <c r="E44" s="13"/>
      <c r="F44" s="13"/>
      <c r="G44" s="13"/>
      <c r="H44" s="13"/>
      <c r="I44" s="13"/>
      <c r="J44" s="14"/>
      <c r="K44" s="14"/>
      <c r="L44" s="14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" customHeight="1">
      <c r="A45" s="14"/>
      <c r="B45" s="13"/>
      <c r="C45" s="13"/>
      <c r="D45" s="13"/>
      <c r="E45" s="13"/>
      <c r="F45" s="13"/>
      <c r="G45" s="13"/>
      <c r="H45" s="13"/>
      <c r="I45" s="13"/>
      <c r="J45" s="14"/>
      <c r="K45" s="14"/>
      <c r="L45" s="14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" customHeight="1">
      <c r="A46" s="14"/>
      <c r="B46" s="13"/>
      <c r="C46" s="13"/>
      <c r="D46" s="13"/>
      <c r="E46" s="13"/>
      <c r="F46" s="13"/>
      <c r="G46" s="13"/>
      <c r="H46" s="13"/>
      <c r="I46" s="13"/>
      <c r="J46" s="14"/>
      <c r="K46" s="14"/>
      <c r="L46" s="14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" customHeight="1">
      <c r="A47" s="14"/>
      <c r="B47" s="13"/>
      <c r="C47" s="13"/>
      <c r="D47" s="13"/>
      <c r="E47" s="13"/>
      <c r="F47" s="13"/>
      <c r="G47" s="13"/>
      <c r="H47" s="13"/>
      <c r="I47" s="13"/>
      <c r="J47" s="14"/>
      <c r="K47" s="14"/>
      <c r="L47" s="14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" customHeight="1">
      <c r="A48" s="14"/>
      <c r="B48" s="13"/>
      <c r="C48" s="13"/>
      <c r="D48" s="13"/>
      <c r="E48" s="13"/>
      <c r="F48" s="13"/>
      <c r="G48" s="13"/>
      <c r="H48" s="13"/>
      <c r="I48" s="13"/>
      <c r="J48" s="14"/>
      <c r="K48" s="14"/>
      <c r="L48" s="14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" customHeight="1">
      <c r="A49" s="14"/>
      <c r="B49" s="13"/>
      <c r="C49" s="13"/>
      <c r="D49" s="13"/>
      <c r="E49" s="13"/>
      <c r="F49" s="13"/>
      <c r="G49" s="13"/>
      <c r="H49" s="13"/>
      <c r="I49" s="13"/>
      <c r="J49" s="14"/>
      <c r="K49" s="14"/>
      <c r="L49" s="14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" customHeight="1">
      <c r="A50" s="14"/>
      <c r="B50" s="13"/>
      <c r="C50" s="13"/>
      <c r="D50" s="13"/>
      <c r="E50" s="13"/>
      <c r="F50" s="13"/>
      <c r="G50" s="13"/>
      <c r="H50" s="13"/>
      <c r="I50" s="13"/>
      <c r="J50" s="14"/>
      <c r="K50" s="14"/>
      <c r="L50" s="14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" customHeight="1">
      <c r="A51" s="14"/>
      <c r="B51" s="13"/>
      <c r="C51" s="13"/>
      <c r="D51" s="13"/>
      <c r="E51" s="13"/>
      <c r="F51" s="13"/>
      <c r="G51" s="13"/>
      <c r="H51" s="13"/>
      <c r="I51" s="13"/>
      <c r="J51" s="14"/>
      <c r="K51" s="14"/>
      <c r="L51" s="14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" customHeight="1">
      <c r="A52" s="14"/>
      <c r="B52" s="13"/>
      <c r="C52" s="13"/>
      <c r="D52" s="13"/>
      <c r="E52" s="13"/>
      <c r="F52" s="13"/>
      <c r="G52" s="13"/>
      <c r="H52" s="13"/>
      <c r="I52" s="13"/>
      <c r="J52" s="14"/>
      <c r="K52" s="14"/>
      <c r="L52" s="14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" customHeight="1">
      <c r="A53" s="14"/>
      <c r="B53" s="13"/>
      <c r="C53" s="13"/>
      <c r="D53" s="13"/>
      <c r="E53" s="13"/>
      <c r="F53" s="13"/>
      <c r="G53" s="13"/>
      <c r="H53" s="13"/>
      <c r="I53" s="13"/>
      <c r="J53" s="14"/>
      <c r="K53" s="14"/>
      <c r="L53" s="14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" customHeight="1">
      <c r="A54" s="14"/>
      <c r="B54" s="13"/>
      <c r="C54" s="13"/>
      <c r="D54" s="13"/>
      <c r="E54" s="13"/>
      <c r="F54" s="13"/>
      <c r="G54" s="13"/>
      <c r="H54" s="13"/>
      <c r="I54" s="13"/>
      <c r="J54" s="14"/>
      <c r="K54" s="14"/>
      <c r="L54" s="14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" customHeight="1">
      <c r="A55" s="14"/>
      <c r="B55" s="13"/>
      <c r="C55" s="13"/>
      <c r="D55" s="13"/>
      <c r="E55" s="13"/>
      <c r="F55" s="13"/>
      <c r="G55" s="13"/>
      <c r="H55" s="13"/>
      <c r="I55" s="13"/>
      <c r="J55" s="14"/>
      <c r="K55" s="14"/>
      <c r="L55" s="14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" customHeight="1">
      <c r="A56" s="14"/>
      <c r="B56" s="13"/>
      <c r="C56" s="13"/>
      <c r="D56" s="13"/>
      <c r="E56" s="13"/>
      <c r="F56" s="13"/>
      <c r="G56" s="13"/>
      <c r="H56" s="13"/>
      <c r="I56" s="13"/>
      <c r="J56" s="14"/>
      <c r="K56" s="14"/>
      <c r="L56" s="14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" customHeight="1">
      <c r="A57" s="14"/>
      <c r="B57" s="13"/>
      <c r="C57" s="13"/>
      <c r="D57" s="13"/>
      <c r="E57" s="13"/>
      <c r="F57" s="13"/>
      <c r="G57" s="13"/>
      <c r="H57" s="13"/>
      <c r="I57" s="13"/>
      <c r="J57" s="14"/>
      <c r="K57" s="14"/>
      <c r="L57" s="14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" customHeight="1">
      <c r="A58" s="14"/>
      <c r="B58" s="13"/>
      <c r="C58" s="13"/>
      <c r="D58" s="13"/>
      <c r="E58" s="13"/>
      <c r="F58" s="13"/>
      <c r="G58" s="13"/>
      <c r="H58" s="13"/>
      <c r="I58" s="13"/>
      <c r="J58" s="14"/>
      <c r="K58" s="14"/>
      <c r="L58" s="14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" customHeight="1">
      <c r="A59" s="14"/>
      <c r="B59" s="13"/>
      <c r="C59" s="13"/>
      <c r="D59" s="13"/>
      <c r="E59" s="13"/>
      <c r="F59" s="13"/>
      <c r="G59" s="13"/>
      <c r="H59" s="13"/>
      <c r="I59" s="13"/>
      <c r="J59" s="14"/>
      <c r="K59" s="14"/>
      <c r="L59" s="14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" customHeight="1">
      <c r="A60" s="14"/>
      <c r="B60" s="13"/>
      <c r="C60" s="13"/>
      <c r="D60" s="13"/>
      <c r="E60" s="13"/>
      <c r="F60" s="13"/>
      <c r="G60" s="13"/>
      <c r="H60" s="13"/>
      <c r="I60" s="13"/>
      <c r="J60" s="14"/>
      <c r="K60" s="14"/>
      <c r="L60" s="14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" customHeight="1">
      <c r="A61" s="14"/>
      <c r="B61" s="13"/>
      <c r="C61" s="13"/>
      <c r="D61" s="13"/>
      <c r="E61" s="13"/>
      <c r="F61" s="13"/>
      <c r="G61" s="13"/>
      <c r="H61" s="13"/>
      <c r="I61" s="13"/>
      <c r="J61" s="14"/>
      <c r="K61" s="14"/>
      <c r="L61" s="14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" customHeight="1">
      <c r="A62" s="14"/>
      <c r="B62" s="13"/>
      <c r="C62" s="13"/>
      <c r="D62" s="13"/>
      <c r="E62" s="13"/>
      <c r="F62" s="13"/>
      <c r="G62" s="13"/>
      <c r="H62" s="13"/>
      <c r="I62" s="13"/>
      <c r="J62" s="14"/>
      <c r="K62" s="14"/>
      <c r="L62" s="14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" customHeight="1">
      <c r="A63" s="14"/>
      <c r="B63" s="13"/>
      <c r="C63" s="13"/>
      <c r="D63" s="13"/>
      <c r="E63" s="13"/>
      <c r="F63" s="13"/>
      <c r="G63" s="13"/>
      <c r="H63" s="13"/>
      <c r="I63" s="13"/>
      <c r="J63" s="14"/>
      <c r="K63" s="14"/>
      <c r="L63" s="14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" customHeight="1">
      <c r="A64" s="14"/>
      <c r="B64" s="13"/>
      <c r="C64" s="13"/>
      <c r="D64" s="13"/>
      <c r="E64" s="13"/>
      <c r="F64" s="13"/>
      <c r="G64" s="13"/>
      <c r="H64" s="13"/>
      <c r="I64" s="13"/>
      <c r="J64" s="14"/>
      <c r="K64" s="14"/>
      <c r="L64" s="14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" customHeight="1">
      <c r="A65" s="14"/>
      <c r="B65" s="13"/>
      <c r="C65" s="13"/>
      <c r="D65" s="13"/>
      <c r="E65" s="13"/>
      <c r="F65" s="13"/>
      <c r="G65" s="13"/>
      <c r="H65" s="13"/>
      <c r="I65" s="13"/>
      <c r="J65" s="14"/>
      <c r="K65" s="14"/>
      <c r="L65" s="14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" customHeight="1">
      <c r="A66" s="14"/>
      <c r="B66" s="13"/>
      <c r="C66" s="13"/>
      <c r="D66" s="13"/>
      <c r="E66" s="13"/>
      <c r="F66" s="13"/>
      <c r="G66" s="13"/>
      <c r="H66" s="13"/>
      <c r="I66" s="13"/>
      <c r="J66" s="14"/>
      <c r="K66" s="14"/>
      <c r="L66" s="14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" customHeight="1">
      <c r="A67" s="14"/>
      <c r="B67" s="13"/>
      <c r="C67" s="13"/>
      <c r="D67" s="13"/>
      <c r="E67" s="13"/>
      <c r="F67" s="13"/>
      <c r="G67" s="13"/>
      <c r="H67" s="13"/>
      <c r="I67" s="13"/>
      <c r="J67" s="14"/>
      <c r="K67" s="14"/>
      <c r="L67" s="14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" customHeight="1">
      <c r="A68" s="14"/>
      <c r="B68" s="13"/>
      <c r="C68" s="13"/>
      <c r="D68" s="13"/>
      <c r="E68" s="13"/>
      <c r="F68" s="13"/>
      <c r="G68" s="13"/>
      <c r="H68" s="13"/>
      <c r="I68" s="13"/>
      <c r="J68" s="14"/>
      <c r="K68" s="14"/>
      <c r="L68" s="14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" customHeight="1">
      <c r="A69" s="14"/>
      <c r="B69" s="13"/>
      <c r="C69" s="13"/>
      <c r="D69" s="13"/>
      <c r="E69" s="13"/>
      <c r="F69" s="13"/>
      <c r="G69" s="13"/>
      <c r="H69" s="13"/>
      <c r="I69" s="13"/>
      <c r="J69" s="14"/>
      <c r="K69" s="14"/>
      <c r="L69" s="14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" customHeight="1">
      <c r="A70" s="14"/>
      <c r="B70" s="13"/>
      <c r="C70" s="13"/>
      <c r="D70" s="13"/>
      <c r="E70" s="13"/>
      <c r="F70" s="13"/>
      <c r="G70" s="13"/>
      <c r="H70" s="13"/>
      <c r="I70" s="13"/>
      <c r="J70" s="14"/>
      <c r="K70" s="14"/>
      <c r="L70" s="14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" customHeight="1">
      <c r="A71" s="14"/>
      <c r="B71" s="13"/>
      <c r="C71" s="13"/>
      <c r="D71" s="13"/>
      <c r="E71" s="13"/>
      <c r="F71" s="13"/>
      <c r="G71" s="13"/>
      <c r="H71" s="13"/>
      <c r="I71" s="13"/>
      <c r="J71" s="14"/>
      <c r="K71" s="14"/>
      <c r="L71" s="14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" customHeight="1">
      <c r="A72" s="14"/>
      <c r="B72" s="13"/>
      <c r="C72" s="13"/>
      <c r="D72" s="13"/>
      <c r="E72" s="13"/>
      <c r="F72" s="13"/>
      <c r="G72" s="13"/>
      <c r="H72" s="13"/>
      <c r="I72" s="13"/>
      <c r="J72" s="14"/>
      <c r="K72" s="14"/>
      <c r="L72" s="14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" customHeight="1">
      <c r="A73" s="14"/>
      <c r="B73" s="13"/>
      <c r="C73" s="13"/>
      <c r="D73" s="13"/>
      <c r="E73" s="13"/>
      <c r="F73" s="13"/>
      <c r="G73" s="13"/>
      <c r="H73" s="13"/>
      <c r="I73" s="13"/>
      <c r="J73" s="14"/>
      <c r="K73" s="14"/>
      <c r="L73" s="14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" customHeight="1">
      <c r="A74" s="14"/>
      <c r="B74" s="13"/>
      <c r="C74" s="13"/>
      <c r="D74" s="13"/>
      <c r="E74" s="13"/>
      <c r="F74" s="13"/>
      <c r="G74" s="13"/>
      <c r="H74" s="13"/>
      <c r="I74" s="13"/>
      <c r="J74" s="14"/>
      <c r="K74" s="14"/>
      <c r="L74" s="14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" customHeight="1">
      <c r="A75" s="14"/>
      <c r="B75" s="13"/>
      <c r="C75" s="13"/>
      <c r="D75" s="13"/>
      <c r="E75" s="13"/>
      <c r="F75" s="13"/>
      <c r="G75" s="13"/>
      <c r="H75" s="13"/>
      <c r="I75" s="13"/>
      <c r="J75" s="14"/>
      <c r="K75" s="14"/>
      <c r="L75" s="14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" customHeight="1">
      <c r="A76" s="14"/>
      <c r="B76" s="13"/>
      <c r="C76" s="13"/>
      <c r="D76" s="13"/>
      <c r="E76" s="13"/>
      <c r="F76" s="13"/>
      <c r="G76" s="13"/>
      <c r="H76" s="13"/>
      <c r="I76" s="13"/>
      <c r="J76" s="14"/>
      <c r="K76" s="14"/>
      <c r="L76" s="14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" customHeight="1">
      <c r="A77" s="14"/>
      <c r="B77" s="13"/>
      <c r="C77" s="13"/>
      <c r="D77" s="13"/>
      <c r="E77" s="13"/>
      <c r="F77" s="13"/>
      <c r="G77" s="13"/>
      <c r="H77" s="13"/>
      <c r="I77" s="13"/>
      <c r="J77" s="14"/>
      <c r="K77" s="14"/>
      <c r="L77" s="14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" customHeight="1">
      <c r="A78" s="14"/>
      <c r="B78" s="13"/>
      <c r="C78" s="13"/>
      <c r="D78" s="13"/>
      <c r="E78" s="13"/>
      <c r="F78" s="13"/>
      <c r="G78" s="13"/>
      <c r="H78" s="13"/>
      <c r="I78" s="13"/>
      <c r="J78" s="14"/>
      <c r="K78" s="14"/>
      <c r="L78" s="14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" customHeight="1">
      <c r="A79" s="14"/>
      <c r="B79" s="13"/>
      <c r="C79" s="13"/>
      <c r="D79" s="13"/>
      <c r="E79" s="13"/>
      <c r="F79" s="13"/>
      <c r="G79" s="13"/>
      <c r="H79" s="13"/>
      <c r="I79" s="13"/>
      <c r="J79" s="14"/>
      <c r="K79" s="14"/>
      <c r="L79" s="14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" customHeight="1">
      <c r="A80" s="14"/>
      <c r="B80" s="13"/>
      <c r="C80" s="13"/>
      <c r="D80" s="13"/>
      <c r="E80" s="13"/>
      <c r="F80" s="13"/>
      <c r="G80" s="13"/>
      <c r="H80" s="13"/>
      <c r="I80" s="13"/>
      <c r="J80" s="14"/>
      <c r="K80" s="14"/>
      <c r="L80" s="14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" customHeight="1">
      <c r="A81" s="14"/>
      <c r="B81" s="13"/>
      <c r="C81" s="13"/>
      <c r="D81" s="13"/>
      <c r="E81" s="13"/>
      <c r="F81" s="13"/>
      <c r="G81" s="13"/>
      <c r="H81" s="13"/>
      <c r="I81" s="13"/>
      <c r="J81" s="14"/>
      <c r="K81" s="14"/>
      <c r="L81" s="14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" customHeight="1">
      <c r="A82" s="14"/>
      <c r="B82" s="13"/>
      <c r="C82" s="13"/>
      <c r="D82" s="13"/>
      <c r="E82" s="13"/>
      <c r="F82" s="13"/>
      <c r="G82" s="13"/>
      <c r="H82" s="13"/>
      <c r="I82" s="13"/>
      <c r="J82" s="14"/>
      <c r="K82" s="14"/>
      <c r="L82" s="14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" customHeight="1">
      <c r="A83" s="14"/>
      <c r="B83" s="13"/>
      <c r="C83" s="13"/>
      <c r="D83" s="13"/>
      <c r="E83" s="13"/>
      <c r="F83" s="13"/>
      <c r="G83" s="13"/>
      <c r="H83" s="13"/>
      <c r="I83" s="13"/>
      <c r="J83" s="14"/>
      <c r="K83" s="14"/>
      <c r="L83" s="14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" customHeight="1">
      <c r="A84" s="14"/>
      <c r="B84" s="13"/>
      <c r="C84" s="13"/>
      <c r="D84" s="13"/>
      <c r="E84" s="13"/>
      <c r="F84" s="13"/>
      <c r="G84" s="13"/>
      <c r="H84" s="13"/>
      <c r="I84" s="13"/>
      <c r="J84" s="14"/>
      <c r="K84" s="14"/>
      <c r="L84" s="14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" customHeight="1">
      <c r="A85" s="14"/>
      <c r="B85" s="13"/>
      <c r="C85" s="13"/>
      <c r="D85" s="13"/>
      <c r="E85" s="13"/>
      <c r="F85" s="13"/>
      <c r="G85" s="13"/>
      <c r="H85" s="13"/>
      <c r="I85" s="13"/>
      <c r="J85" s="14"/>
      <c r="K85" s="14"/>
      <c r="L85" s="14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" customHeight="1">
      <c r="A86" s="14"/>
      <c r="B86" s="13"/>
      <c r="C86" s="13"/>
      <c r="D86" s="13"/>
      <c r="E86" s="13"/>
      <c r="F86" s="13"/>
      <c r="G86" s="13"/>
      <c r="H86" s="13"/>
      <c r="I86" s="13"/>
      <c r="J86" s="14"/>
      <c r="K86" s="14"/>
      <c r="L86" s="14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" customHeight="1">
      <c r="A87" s="14"/>
      <c r="B87" s="13"/>
      <c r="C87" s="13"/>
      <c r="D87" s="13"/>
      <c r="E87" s="13"/>
      <c r="F87" s="13"/>
      <c r="G87" s="13"/>
      <c r="H87" s="13"/>
      <c r="I87" s="13"/>
      <c r="J87" s="14"/>
      <c r="K87" s="14"/>
      <c r="L87" s="14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" customHeight="1">
      <c r="A88" s="14"/>
      <c r="B88" s="13"/>
      <c r="C88" s="13"/>
      <c r="D88" s="13"/>
      <c r="E88" s="13"/>
      <c r="F88" s="13"/>
      <c r="G88" s="13"/>
      <c r="H88" s="13"/>
      <c r="I88" s="13"/>
      <c r="J88" s="14"/>
      <c r="K88" s="14"/>
      <c r="L88" s="14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" customHeight="1">
      <c r="A89" s="14"/>
      <c r="B89" s="13"/>
      <c r="C89" s="13"/>
      <c r="D89" s="13"/>
      <c r="E89" s="13"/>
      <c r="F89" s="13"/>
      <c r="G89" s="13"/>
      <c r="H89" s="13"/>
      <c r="I89" s="13"/>
      <c r="J89" s="14"/>
      <c r="K89" s="14"/>
      <c r="L89" s="14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" customHeight="1">
      <c r="A90" s="14"/>
      <c r="B90" s="13"/>
      <c r="C90" s="13"/>
      <c r="D90" s="13"/>
      <c r="E90" s="13"/>
      <c r="F90" s="13"/>
      <c r="G90" s="13"/>
      <c r="H90" s="13"/>
      <c r="I90" s="13"/>
      <c r="J90" s="14"/>
      <c r="K90" s="14"/>
      <c r="L90" s="14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" customHeight="1">
      <c r="A91" s="14"/>
      <c r="B91" s="13"/>
      <c r="C91" s="13"/>
      <c r="D91" s="13"/>
      <c r="E91" s="13"/>
      <c r="F91" s="13"/>
      <c r="G91" s="13"/>
      <c r="H91" s="13"/>
      <c r="I91" s="13"/>
      <c r="J91" s="14"/>
      <c r="K91" s="14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" customHeight="1">
      <c r="A92" s="14"/>
      <c r="B92" s="13"/>
      <c r="C92" s="13"/>
      <c r="D92" s="13"/>
      <c r="E92" s="13"/>
      <c r="F92" s="13"/>
      <c r="G92" s="13"/>
      <c r="H92" s="13"/>
      <c r="I92" s="13"/>
      <c r="J92" s="14"/>
      <c r="K92" s="14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" customHeight="1">
      <c r="A93" s="14"/>
      <c r="B93" s="13"/>
      <c r="C93" s="13"/>
      <c r="D93" s="13"/>
      <c r="E93" s="13"/>
      <c r="F93" s="13"/>
      <c r="G93" s="13"/>
      <c r="H93" s="13"/>
      <c r="I93" s="13"/>
      <c r="J93" s="14"/>
      <c r="K93" s="14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" customHeight="1">
      <c r="A94" s="14"/>
      <c r="B94" s="13"/>
      <c r="C94" s="13"/>
      <c r="D94" s="13"/>
      <c r="E94" s="13"/>
      <c r="F94" s="13"/>
      <c r="G94" s="13"/>
      <c r="H94" s="13"/>
      <c r="I94" s="13"/>
      <c r="J94" s="14"/>
      <c r="K94" s="14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" customHeight="1">
      <c r="A95" s="14"/>
      <c r="B95" s="13"/>
      <c r="C95" s="13"/>
      <c r="D95" s="13"/>
      <c r="E95" s="13"/>
      <c r="F95" s="13"/>
      <c r="G95" s="13"/>
      <c r="H95" s="13"/>
      <c r="I95" s="13"/>
      <c r="J95" s="14"/>
      <c r="K95" s="14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" customHeight="1">
      <c r="A96" s="14"/>
      <c r="B96" s="13"/>
      <c r="C96" s="13"/>
      <c r="D96" s="13"/>
      <c r="E96" s="13"/>
      <c r="F96" s="13"/>
      <c r="G96" s="13"/>
      <c r="H96" s="13"/>
      <c r="I96" s="13"/>
      <c r="J96" s="14"/>
      <c r="K96" s="14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" customHeight="1">
      <c r="A97" s="14"/>
      <c r="B97" s="13"/>
      <c r="C97" s="13"/>
      <c r="D97" s="13"/>
      <c r="E97" s="13"/>
      <c r="F97" s="13"/>
      <c r="G97" s="13"/>
      <c r="H97" s="13"/>
      <c r="I97" s="13"/>
      <c r="J97" s="14"/>
      <c r="K97" s="14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" customHeight="1">
      <c r="A98" s="14"/>
      <c r="B98" s="13"/>
      <c r="C98" s="13"/>
      <c r="D98" s="13"/>
      <c r="E98" s="13"/>
      <c r="F98" s="13"/>
      <c r="G98" s="13"/>
      <c r="H98" s="13"/>
      <c r="I98" s="13"/>
      <c r="J98" s="14"/>
      <c r="K98" s="14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" customHeight="1">
      <c r="A99" s="14"/>
      <c r="B99" s="13"/>
      <c r="C99" s="13"/>
      <c r="D99" s="13"/>
      <c r="E99" s="13"/>
      <c r="F99" s="13"/>
      <c r="G99" s="13"/>
      <c r="H99" s="13"/>
      <c r="I99" s="13"/>
      <c r="J99" s="14"/>
      <c r="K99" s="14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" customHeight="1">
      <c r="A100" s="14"/>
      <c r="B100" s="13"/>
      <c r="C100" s="13"/>
      <c r="D100" s="13"/>
      <c r="E100" s="13"/>
      <c r="F100" s="13"/>
      <c r="G100" s="13"/>
      <c r="H100" s="13"/>
      <c r="I100" s="13"/>
      <c r="J100" s="14"/>
      <c r="K100" s="14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" customHeight="1">
      <c r="A101" s="14"/>
      <c r="B101" s="13"/>
      <c r="C101" s="13"/>
      <c r="D101" s="13"/>
      <c r="E101" s="13"/>
      <c r="F101" s="13"/>
      <c r="G101" s="13"/>
      <c r="H101" s="13"/>
      <c r="I101" s="13"/>
      <c r="J101" s="14"/>
      <c r="K101" s="14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" customHeight="1">
      <c r="A102" s="14"/>
      <c r="B102" s="13"/>
      <c r="C102" s="13"/>
      <c r="D102" s="13"/>
      <c r="E102" s="13"/>
      <c r="F102" s="13"/>
      <c r="G102" s="13"/>
      <c r="H102" s="13"/>
      <c r="I102" s="13"/>
      <c r="J102" s="14"/>
      <c r="K102" s="14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" customHeight="1">
      <c r="A103" s="14"/>
      <c r="B103" s="13"/>
      <c r="C103" s="13"/>
      <c r="D103" s="13"/>
      <c r="E103" s="13"/>
      <c r="F103" s="13"/>
      <c r="G103" s="13"/>
      <c r="H103" s="13"/>
      <c r="I103" s="13"/>
      <c r="J103" s="14"/>
      <c r="K103" s="14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" customHeight="1">
      <c r="A104" s="14"/>
      <c r="B104" s="13"/>
      <c r="C104" s="13"/>
      <c r="D104" s="13"/>
      <c r="E104" s="13"/>
      <c r="F104" s="13"/>
      <c r="G104" s="13"/>
      <c r="H104" s="13"/>
      <c r="I104" s="13"/>
      <c r="J104" s="14"/>
      <c r="K104" s="14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" customHeight="1">
      <c r="A105" s="14"/>
      <c r="B105" s="13"/>
      <c r="C105" s="13"/>
      <c r="D105" s="13"/>
      <c r="E105" s="13"/>
      <c r="F105" s="13"/>
      <c r="G105" s="13"/>
      <c r="H105" s="13"/>
      <c r="I105" s="13"/>
      <c r="J105" s="14"/>
      <c r="K105" s="14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" customHeight="1">
      <c r="A106" s="14"/>
      <c r="B106" s="13"/>
      <c r="C106" s="13"/>
      <c r="D106" s="13"/>
      <c r="E106" s="13"/>
      <c r="F106" s="13"/>
      <c r="G106" s="13"/>
      <c r="H106" s="13"/>
      <c r="I106" s="13"/>
      <c r="J106" s="14"/>
      <c r="K106" s="14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" customHeight="1">
      <c r="A107" s="14"/>
      <c r="B107" s="13"/>
      <c r="C107" s="13"/>
      <c r="D107" s="13"/>
      <c r="E107" s="13"/>
      <c r="F107" s="13"/>
      <c r="G107" s="13"/>
      <c r="H107" s="13"/>
      <c r="I107" s="13"/>
      <c r="J107" s="14"/>
      <c r="K107" s="14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" customHeight="1">
      <c r="A108" s="14"/>
      <c r="B108" s="13"/>
      <c r="C108" s="13"/>
      <c r="D108" s="13"/>
      <c r="E108" s="13"/>
      <c r="F108" s="13"/>
      <c r="G108" s="13"/>
      <c r="H108" s="13"/>
      <c r="I108" s="13"/>
      <c r="J108" s="14"/>
      <c r="K108" s="14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" customHeight="1">
      <c r="A109" s="14"/>
      <c r="B109" s="13"/>
      <c r="C109" s="13"/>
      <c r="D109" s="13"/>
      <c r="E109" s="13"/>
      <c r="F109" s="13"/>
      <c r="G109" s="13"/>
      <c r="H109" s="13"/>
      <c r="I109" s="13"/>
      <c r="J109" s="14"/>
      <c r="K109" s="14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" customHeight="1">
      <c r="A110" s="14"/>
      <c r="B110" s="13"/>
      <c r="C110" s="13"/>
      <c r="D110" s="13"/>
      <c r="E110" s="13"/>
      <c r="F110" s="13"/>
      <c r="G110" s="13"/>
      <c r="H110" s="13"/>
      <c r="I110" s="13"/>
      <c r="J110" s="14"/>
      <c r="K110" s="14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" customHeight="1">
      <c r="A111" s="14"/>
      <c r="B111" s="13"/>
      <c r="C111" s="13"/>
      <c r="D111" s="13"/>
      <c r="E111" s="13"/>
      <c r="F111" s="13"/>
      <c r="G111" s="13"/>
      <c r="H111" s="13"/>
      <c r="I111" s="13"/>
      <c r="J111" s="14"/>
      <c r="K111" s="14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" customHeight="1">
      <c r="A112" s="14"/>
      <c r="B112" s="13"/>
      <c r="C112" s="13"/>
      <c r="D112" s="13"/>
      <c r="E112" s="13"/>
      <c r="F112" s="13"/>
      <c r="G112" s="13"/>
      <c r="H112" s="13"/>
      <c r="I112" s="13"/>
      <c r="J112" s="14"/>
      <c r="K112" s="14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" customHeight="1">
      <c r="A113" s="14"/>
      <c r="B113" s="13"/>
      <c r="C113" s="13"/>
      <c r="D113" s="13"/>
      <c r="E113" s="13"/>
      <c r="F113" s="13"/>
      <c r="G113" s="13"/>
      <c r="H113" s="13"/>
      <c r="I113" s="13"/>
      <c r="J113" s="14"/>
      <c r="K113" s="14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" customHeight="1">
      <c r="A114" s="14"/>
      <c r="B114" s="13"/>
      <c r="C114" s="13"/>
      <c r="D114" s="13"/>
      <c r="E114" s="13"/>
      <c r="F114" s="13"/>
      <c r="G114" s="13"/>
      <c r="H114" s="13"/>
      <c r="I114" s="13"/>
      <c r="J114" s="14"/>
      <c r="K114" s="14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" customHeight="1">
      <c r="A115" s="14"/>
      <c r="B115" s="13"/>
      <c r="C115" s="13"/>
      <c r="D115" s="13"/>
      <c r="E115" s="13"/>
      <c r="F115" s="13"/>
      <c r="G115" s="13"/>
      <c r="H115" s="13"/>
      <c r="I115" s="13"/>
      <c r="J115" s="14"/>
      <c r="K115" s="14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" customHeight="1">
      <c r="A116" s="14"/>
      <c r="B116" s="13"/>
      <c r="C116" s="13"/>
      <c r="D116" s="13"/>
      <c r="E116" s="13"/>
      <c r="F116" s="13"/>
      <c r="G116" s="13"/>
      <c r="H116" s="13"/>
      <c r="I116" s="13"/>
      <c r="J116" s="14"/>
      <c r="K116" s="14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" customHeight="1">
      <c r="A117" s="14"/>
      <c r="B117" s="13"/>
      <c r="C117" s="13"/>
      <c r="D117" s="13"/>
      <c r="E117" s="13"/>
      <c r="F117" s="13"/>
      <c r="G117" s="13"/>
      <c r="H117" s="13"/>
      <c r="I117" s="13"/>
      <c r="J117" s="14"/>
      <c r="K117" s="14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" customHeight="1">
      <c r="A118" s="14"/>
      <c r="B118" s="13"/>
      <c r="C118" s="13"/>
      <c r="D118" s="13"/>
      <c r="E118" s="13"/>
      <c r="F118" s="13"/>
      <c r="G118" s="13"/>
      <c r="H118" s="13"/>
      <c r="I118" s="13"/>
      <c r="J118" s="14"/>
      <c r="K118" s="14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" customHeight="1">
      <c r="A119" s="14"/>
      <c r="B119" s="13"/>
      <c r="C119" s="13"/>
      <c r="D119" s="13"/>
      <c r="E119" s="13"/>
      <c r="F119" s="13"/>
      <c r="G119" s="13"/>
      <c r="H119" s="13"/>
      <c r="I119" s="13"/>
      <c r="J119" s="14"/>
      <c r="K119" s="14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" customHeight="1">
      <c r="A120" s="14"/>
      <c r="B120" s="13"/>
      <c r="C120" s="13"/>
      <c r="D120" s="13"/>
      <c r="E120" s="13"/>
      <c r="F120" s="13"/>
      <c r="G120" s="13"/>
      <c r="H120" s="13"/>
      <c r="I120" s="13"/>
      <c r="J120" s="14"/>
      <c r="K120" s="14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" customHeight="1">
      <c r="A121" s="14"/>
      <c r="B121" s="13"/>
      <c r="C121" s="13"/>
      <c r="D121" s="13"/>
      <c r="E121" s="13"/>
      <c r="F121" s="13"/>
      <c r="G121" s="13"/>
      <c r="H121" s="13"/>
      <c r="I121" s="13"/>
      <c r="J121" s="14"/>
      <c r="K121" s="14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" customHeight="1">
      <c r="A122" s="14"/>
      <c r="B122" s="13"/>
      <c r="C122" s="13"/>
      <c r="D122" s="13"/>
      <c r="E122" s="13"/>
      <c r="F122" s="13"/>
      <c r="G122" s="13"/>
      <c r="H122" s="13"/>
      <c r="I122" s="13"/>
      <c r="J122" s="14"/>
      <c r="K122" s="14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" customHeight="1">
      <c r="A123" s="14"/>
      <c r="B123" s="13"/>
      <c r="C123" s="13"/>
      <c r="D123" s="13"/>
      <c r="E123" s="13"/>
      <c r="F123" s="13"/>
      <c r="G123" s="13"/>
      <c r="H123" s="13"/>
      <c r="I123" s="13"/>
      <c r="J123" s="14"/>
      <c r="K123" s="14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" customHeight="1">
      <c r="A124" s="14"/>
      <c r="B124" s="13"/>
      <c r="C124" s="13"/>
      <c r="D124" s="13"/>
      <c r="E124" s="13"/>
      <c r="F124" s="13"/>
      <c r="G124" s="13"/>
      <c r="H124" s="13"/>
      <c r="I124" s="13"/>
      <c r="J124" s="14"/>
      <c r="K124" s="14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" customHeight="1">
      <c r="A125" s="14"/>
      <c r="B125" s="13"/>
      <c r="C125" s="13"/>
      <c r="D125" s="13"/>
      <c r="E125" s="13"/>
      <c r="F125" s="13"/>
      <c r="G125" s="13"/>
      <c r="H125" s="13"/>
      <c r="I125" s="13"/>
      <c r="J125" s="14"/>
      <c r="K125" s="14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" customHeight="1">
      <c r="A126" s="14"/>
      <c r="B126" s="13"/>
      <c r="C126" s="13"/>
      <c r="D126" s="13"/>
      <c r="E126" s="13"/>
      <c r="F126" s="13"/>
      <c r="G126" s="13"/>
      <c r="H126" s="13"/>
      <c r="I126" s="13"/>
      <c r="J126" s="14"/>
      <c r="K126" s="14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" customHeight="1">
      <c r="A127" s="14"/>
      <c r="B127" s="13"/>
      <c r="C127" s="13"/>
      <c r="D127" s="13"/>
      <c r="E127" s="13"/>
      <c r="F127" s="13"/>
      <c r="G127" s="13"/>
      <c r="H127" s="13"/>
      <c r="I127" s="13"/>
      <c r="J127" s="14"/>
      <c r="K127" s="14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" customHeight="1">
      <c r="A128" s="14"/>
      <c r="B128" s="13"/>
      <c r="C128" s="13"/>
      <c r="D128" s="13"/>
      <c r="E128" s="13"/>
      <c r="F128" s="13"/>
      <c r="G128" s="13"/>
      <c r="H128" s="13"/>
      <c r="I128" s="13"/>
      <c r="J128" s="14"/>
      <c r="K128" s="14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" customHeight="1">
      <c r="A129" s="14"/>
      <c r="B129" s="13"/>
      <c r="C129" s="13"/>
      <c r="D129" s="13"/>
      <c r="E129" s="13"/>
      <c r="F129" s="13"/>
      <c r="G129" s="13"/>
      <c r="H129" s="13"/>
      <c r="I129" s="13"/>
      <c r="J129" s="14"/>
      <c r="K129" s="14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" customHeight="1">
      <c r="A130" s="14"/>
      <c r="B130" s="13"/>
      <c r="C130" s="13"/>
      <c r="D130" s="13"/>
      <c r="E130" s="13"/>
      <c r="F130" s="13"/>
      <c r="G130" s="13"/>
      <c r="H130" s="13"/>
      <c r="I130" s="13"/>
      <c r="J130" s="14"/>
      <c r="K130" s="14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" customHeight="1">
      <c r="A131" s="14"/>
      <c r="B131" s="13"/>
      <c r="C131" s="13"/>
      <c r="D131" s="13"/>
      <c r="E131" s="13"/>
      <c r="F131" s="13"/>
      <c r="G131" s="13"/>
      <c r="H131" s="13"/>
      <c r="I131" s="13"/>
      <c r="J131" s="14"/>
      <c r="K131" s="14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" customHeight="1">
      <c r="A132" s="14"/>
      <c r="B132" s="13"/>
      <c r="C132" s="13"/>
      <c r="D132" s="13"/>
      <c r="E132" s="13"/>
      <c r="F132" s="13"/>
      <c r="G132" s="13"/>
      <c r="H132" s="13"/>
      <c r="I132" s="13"/>
      <c r="J132" s="14"/>
      <c r="K132" s="14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" customHeight="1">
      <c r="A133" s="14"/>
      <c r="B133" s="13"/>
      <c r="C133" s="13"/>
      <c r="D133" s="13"/>
      <c r="E133" s="13"/>
      <c r="F133" s="13"/>
      <c r="G133" s="13"/>
      <c r="H133" s="13"/>
      <c r="I133" s="13"/>
      <c r="J133" s="14"/>
      <c r="K133" s="14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" customHeight="1">
      <c r="A134" s="14"/>
      <c r="B134" s="13"/>
      <c r="C134" s="13"/>
      <c r="D134" s="13"/>
      <c r="E134" s="13"/>
      <c r="F134" s="13"/>
      <c r="G134" s="13"/>
      <c r="H134" s="13"/>
      <c r="I134" s="13"/>
      <c r="J134" s="14"/>
      <c r="K134" s="14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" customHeight="1">
      <c r="A135" s="14"/>
      <c r="B135" s="13"/>
      <c r="C135" s="13"/>
      <c r="D135" s="13"/>
      <c r="E135" s="13"/>
      <c r="F135" s="13"/>
      <c r="G135" s="13"/>
      <c r="H135" s="13"/>
      <c r="I135" s="13"/>
      <c r="J135" s="14"/>
      <c r="K135" s="14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" customHeight="1">
      <c r="A136" s="14"/>
      <c r="B136" s="13"/>
      <c r="C136" s="13"/>
      <c r="D136" s="13"/>
      <c r="E136" s="13"/>
      <c r="F136" s="13"/>
      <c r="G136" s="13"/>
      <c r="H136" s="13"/>
      <c r="I136" s="13"/>
      <c r="J136" s="14"/>
      <c r="K136" s="14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" customHeight="1">
      <c r="A137" s="14"/>
      <c r="B137" s="13"/>
      <c r="C137" s="13"/>
      <c r="D137" s="13"/>
      <c r="E137" s="13"/>
      <c r="F137" s="13"/>
      <c r="G137" s="13"/>
      <c r="H137" s="13"/>
      <c r="I137" s="13"/>
      <c r="J137" s="14"/>
      <c r="K137" s="14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" customHeight="1">
      <c r="A138" s="14"/>
      <c r="B138" s="13"/>
      <c r="C138" s="13"/>
      <c r="D138" s="13"/>
      <c r="E138" s="13"/>
      <c r="F138" s="13"/>
      <c r="G138" s="13"/>
      <c r="H138" s="13"/>
      <c r="I138" s="13"/>
      <c r="J138" s="14"/>
      <c r="K138" s="14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" customHeight="1">
      <c r="A139" s="14"/>
      <c r="B139" s="13"/>
      <c r="C139" s="13"/>
      <c r="D139" s="13"/>
      <c r="E139" s="13"/>
      <c r="F139" s="13"/>
      <c r="G139" s="13"/>
      <c r="H139" s="13"/>
      <c r="I139" s="13"/>
      <c r="J139" s="14"/>
      <c r="K139" s="14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" customHeight="1">
      <c r="A140" s="14"/>
      <c r="B140" s="13"/>
      <c r="C140" s="13"/>
      <c r="D140" s="13"/>
      <c r="E140" s="13"/>
      <c r="F140" s="13"/>
      <c r="G140" s="13"/>
      <c r="H140" s="13"/>
      <c r="I140" s="13"/>
      <c r="J140" s="14"/>
      <c r="K140" s="14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" customHeight="1">
      <c r="A141" s="14"/>
      <c r="B141" s="13"/>
      <c r="C141" s="13"/>
      <c r="D141" s="13"/>
      <c r="E141" s="13"/>
      <c r="F141" s="13"/>
      <c r="G141" s="13"/>
      <c r="H141" s="13"/>
      <c r="I141" s="13"/>
      <c r="J141" s="14"/>
      <c r="K141" s="14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" customHeight="1">
      <c r="A142" s="14"/>
      <c r="B142" s="13"/>
      <c r="C142" s="13"/>
      <c r="D142" s="13"/>
      <c r="E142" s="13"/>
      <c r="F142" s="13"/>
      <c r="G142" s="13"/>
      <c r="H142" s="13"/>
      <c r="I142" s="13"/>
      <c r="J142" s="14"/>
      <c r="K142" s="14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" customHeight="1">
      <c r="A143" s="14"/>
      <c r="B143" s="13"/>
      <c r="C143" s="13"/>
      <c r="D143" s="13"/>
      <c r="E143" s="13"/>
      <c r="F143" s="13"/>
      <c r="G143" s="13"/>
      <c r="H143" s="13"/>
      <c r="I143" s="13"/>
      <c r="J143" s="14"/>
      <c r="K143" s="14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" customHeight="1">
      <c r="A144" s="14"/>
      <c r="B144" s="13"/>
      <c r="C144" s="13"/>
      <c r="D144" s="13"/>
      <c r="E144" s="13"/>
      <c r="F144" s="13"/>
      <c r="G144" s="13"/>
      <c r="H144" s="13"/>
      <c r="I144" s="13"/>
      <c r="J144" s="14"/>
      <c r="K144" s="14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" customHeight="1">
      <c r="A145" s="14"/>
      <c r="B145" s="13"/>
      <c r="C145" s="13"/>
      <c r="D145" s="13"/>
      <c r="E145" s="13"/>
      <c r="F145" s="13"/>
      <c r="G145" s="13"/>
      <c r="H145" s="13"/>
      <c r="I145" s="13"/>
      <c r="J145" s="14"/>
      <c r="K145" s="14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" customHeight="1">
      <c r="A146" s="14"/>
      <c r="B146" s="13"/>
      <c r="C146" s="13"/>
      <c r="D146" s="13"/>
      <c r="E146" s="13"/>
      <c r="F146" s="13"/>
      <c r="G146" s="13"/>
      <c r="H146" s="13"/>
      <c r="I146" s="13"/>
      <c r="J146" s="14"/>
      <c r="K146" s="14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" customHeight="1">
      <c r="A147" s="14"/>
      <c r="B147" s="13"/>
      <c r="C147" s="13"/>
      <c r="D147" s="13"/>
      <c r="E147" s="13"/>
      <c r="F147" s="13"/>
      <c r="G147" s="13"/>
      <c r="H147" s="13"/>
      <c r="I147" s="13"/>
      <c r="J147" s="14"/>
      <c r="K147" s="14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" customHeight="1">
      <c r="A148" s="14"/>
      <c r="B148" s="13"/>
      <c r="C148" s="13"/>
      <c r="D148" s="13"/>
      <c r="E148" s="13"/>
      <c r="F148" s="13"/>
      <c r="G148" s="13"/>
      <c r="H148" s="13"/>
      <c r="I148" s="13"/>
      <c r="J148" s="14"/>
      <c r="K148" s="14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" customHeight="1">
      <c r="A149" s="14"/>
      <c r="B149" s="13"/>
      <c r="C149" s="13"/>
      <c r="D149" s="13"/>
      <c r="E149" s="13"/>
      <c r="F149" s="13"/>
      <c r="G149" s="13"/>
      <c r="H149" s="13"/>
      <c r="I149" s="13"/>
      <c r="J149" s="14"/>
      <c r="K149" s="14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" customHeight="1">
      <c r="A150" s="14"/>
      <c r="B150" s="13"/>
      <c r="C150" s="13"/>
      <c r="D150" s="13"/>
      <c r="E150" s="13"/>
      <c r="F150" s="13"/>
      <c r="G150" s="13"/>
      <c r="H150" s="13"/>
      <c r="I150" s="13"/>
      <c r="J150" s="14"/>
      <c r="K150" s="14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" customHeight="1">
      <c r="A151" s="14"/>
      <c r="B151" s="13"/>
      <c r="C151" s="13"/>
      <c r="D151" s="13"/>
      <c r="E151" s="13"/>
      <c r="F151" s="13"/>
      <c r="G151" s="13"/>
      <c r="H151" s="13"/>
      <c r="I151" s="13"/>
      <c r="J151" s="14"/>
      <c r="K151" s="14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" customHeight="1">
      <c r="A152" s="14"/>
      <c r="B152" s="13"/>
      <c r="C152" s="13"/>
      <c r="D152" s="13"/>
      <c r="E152" s="13"/>
      <c r="F152" s="13"/>
      <c r="G152" s="13"/>
      <c r="H152" s="13"/>
      <c r="I152" s="13"/>
      <c r="J152" s="14"/>
      <c r="K152" s="14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" customHeight="1">
      <c r="A153" s="14"/>
      <c r="B153" s="13"/>
      <c r="C153" s="13"/>
      <c r="D153" s="13"/>
      <c r="E153" s="13"/>
      <c r="F153" s="13"/>
      <c r="G153" s="13"/>
      <c r="H153" s="13"/>
      <c r="I153" s="13"/>
      <c r="J153" s="14"/>
      <c r="K153" s="14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" customHeight="1">
      <c r="A154" s="14"/>
      <c r="B154" s="13"/>
      <c r="C154" s="13"/>
      <c r="D154" s="13"/>
      <c r="E154" s="13"/>
      <c r="F154" s="13"/>
      <c r="G154" s="13"/>
      <c r="H154" s="13"/>
      <c r="I154" s="13"/>
      <c r="J154" s="14"/>
      <c r="K154" s="14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" customHeight="1">
      <c r="A155" s="14"/>
      <c r="B155" s="13"/>
      <c r="C155" s="13"/>
      <c r="D155" s="13"/>
      <c r="E155" s="13"/>
      <c r="F155" s="13"/>
      <c r="G155" s="13"/>
      <c r="H155" s="13"/>
      <c r="I155" s="13"/>
      <c r="J155" s="14"/>
      <c r="K155" s="14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" customHeight="1">
      <c r="A156" s="14"/>
      <c r="B156" s="13"/>
      <c r="C156" s="13"/>
      <c r="D156" s="13"/>
      <c r="E156" s="13"/>
      <c r="F156" s="13"/>
      <c r="G156" s="13"/>
      <c r="H156" s="13"/>
      <c r="I156" s="13"/>
      <c r="J156" s="14"/>
      <c r="K156" s="14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" customHeight="1">
      <c r="A157" s="14"/>
      <c r="B157" s="13"/>
      <c r="C157" s="13"/>
      <c r="D157" s="13"/>
      <c r="E157" s="13"/>
      <c r="F157" s="13"/>
      <c r="G157" s="13"/>
      <c r="H157" s="13"/>
      <c r="I157" s="13"/>
      <c r="J157" s="14"/>
      <c r="K157" s="14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" customHeight="1">
      <c r="A158" s="14"/>
      <c r="B158" s="13"/>
      <c r="C158" s="13"/>
      <c r="D158" s="13"/>
      <c r="E158" s="13"/>
      <c r="F158" s="13"/>
      <c r="G158" s="13"/>
      <c r="H158" s="13"/>
      <c r="I158" s="13"/>
      <c r="J158" s="14"/>
      <c r="K158" s="14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" customHeight="1">
      <c r="A159" s="14"/>
      <c r="B159" s="13"/>
      <c r="C159" s="13"/>
      <c r="D159" s="13"/>
      <c r="E159" s="13"/>
      <c r="F159" s="13"/>
      <c r="G159" s="13"/>
      <c r="H159" s="13"/>
      <c r="I159" s="13"/>
      <c r="J159" s="14"/>
      <c r="K159" s="14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" customHeight="1">
      <c r="A160" s="14"/>
      <c r="B160" s="13"/>
      <c r="C160" s="13"/>
      <c r="D160" s="13"/>
      <c r="E160" s="13"/>
      <c r="F160" s="13"/>
      <c r="G160" s="13"/>
      <c r="H160" s="13"/>
      <c r="I160" s="13"/>
      <c r="J160" s="14"/>
      <c r="K160" s="14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" customHeight="1">
      <c r="A161" s="14"/>
      <c r="B161" s="13"/>
      <c r="C161" s="13"/>
      <c r="D161" s="13"/>
      <c r="E161" s="13"/>
      <c r="F161" s="13"/>
      <c r="G161" s="13"/>
      <c r="H161" s="13"/>
      <c r="I161" s="13"/>
      <c r="J161" s="14"/>
      <c r="K161" s="14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" customHeight="1">
      <c r="A162" s="14"/>
      <c r="B162" s="13"/>
      <c r="C162" s="13"/>
      <c r="D162" s="13"/>
      <c r="E162" s="13"/>
      <c r="F162" s="13"/>
      <c r="G162" s="13"/>
      <c r="H162" s="13"/>
      <c r="I162" s="13"/>
      <c r="J162" s="14"/>
      <c r="K162" s="14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" customHeight="1">
      <c r="A163" s="14"/>
      <c r="B163" s="13"/>
      <c r="C163" s="13"/>
      <c r="D163" s="13"/>
      <c r="E163" s="13"/>
      <c r="F163" s="13"/>
      <c r="G163" s="13"/>
      <c r="H163" s="13"/>
      <c r="I163" s="13"/>
      <c r="J163" s="14"/>
      <c r="K163" s="14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" customHeight="1">
      <c r="A164" s="14"/>
      <c r="B164" s="13"/>
      <c r="C164" s="13"/>
      <c r="D164" s="13"/>
      <c r="E164" s="13"/>
      <c r="F164" s="13"/>
      <c r="G164" s="13"/>
      <c r="H164" s="13"/>
      <c r="I164" s="13"/>
      <c r="J164" s="14"/>
      <c r="K164" s="14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" customHeight="1">
      <c r="A165" s="14"/>
      <c r="B165" s="13"/>
      <c r="C165" s="13"/>
      <c r="D165" s="13"/>
      <c r="E165" s="13"/>
      <c r="F165" s="13"/>
      <c r="G165" s="13"/>
      <c r="H165" s="13"/>
      <c r="I165" s="13"/>
      <c r="J165" s="14"/>
      <c r="K165" s="14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" customHeight="1">
      <c r="A166" s="14"/>
      <c r="B166" s="13"/>
      <c r="C166" s="13"/>
      <c r="D166" s="13"/>
      <c r="E166" s="13"/>
      <c r="F166" s="13"/>
      <c r="G166" s="13"/>
      <c r="H166" s="13"/>
      <c r="I166" s="13"/>
      <c r="J166" s="14"/>
      <c r="K166" s="14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" customHeight="1">
      <c r="A167" s="14"/>
      <c r="B167" s="13"/>
      <c r="C167" s="13"/>
      <c r="D167" s="13"/>
      <c r="E167" s="13"/>
      <c r="F167" s="13"/>
      <c r="G167" s="13"/>
      <c r="H167" s="13"/>
      <c r="I167" s="13"/>
      <c r="J167" s="14"/>
      <c r="K167" s="14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" customHeight="1">
      <c r="A168" s="14"/>
      <c r="B168" s="13"/>
      <c r="C168" s="13"/>
      <c r="D168" s="13"/>
      <c r="E168" s="13"/>
      <c r="F168" s="13"/>
      <c r="G168" s="13"/>
      <c r="H168" s="13"/>
      <c r="I168" s="13"/>
      <c r="J168" s="14"/>
      <c r="K168" s="14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" customHeight="1">
      <c r="A169" s="14"/>
      <c r="B169" s="13"/>
      <c r="C169" s="13"/>
      <c r="D169" s="13"/>
      <c r="E169" s="13"/>
      <c r="F169" s="13"/>
      <c r="G169" s="13"/>
      <c r="H169" s="13"/>
      <c r="I169" s="13"/>
      <c r="J169" s="14"/>
      <c r="K169" s="14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" customHeight="1">
      <c r="A170" s="14"/>
      <c r="B170" s="13"/>
      <c r="C170" s="13"/>
      <c r="D170" s="13"/>
      <c r="E170" s="13"/>
      <c r="F170" s="13"/>
      <c r="G170" s="13"/>
      <c r="H170" s="13"/>
      <c r="I170" s="13"/>
      <c r="J170" s="14"/>
      <c r="K170" s="14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" customHeight="1">
      <c r="A171" s="14"/>
      <c r="B171" s="13"/>
      <c r="C171" s="13"/>
      <c r="D171" s="13"/>
      <c r="E171" s="13"/>
      <c r="F171" s="13"/>
      <c r="G171" s="13"/>
      <c r="H171" s="13"/>
      <c r="I171" s="13"/>
      <c r="J171" s="14"/>
      <c r="K171" s="14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" customHeight="1">
      <c r="A172" s="14"/>
      <c r="B172" s="13"/>
      <c r="C172" s="13"/>
      <c r="D172" s="13"/>
      <c r="E172" s="13"/>
      <c r="F172" s="13"/>
      <c r="G172" s="13"/>
      <c r="H172" s="13"/>
      <c r="I172" s="13"/>
      <c r="J172" s="14"/>
      <c r="K172" s="14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" customHeight="1">
      <c r="A173" s="14"/>
      <c r="B173" s="13"/>
      <c r="C173" s="13"/>
      <c r="D173" s="13"/>
      <c r="E173" s="13"/>
      <c r="F173" s="13"/>
      <c r="G173" s="13"/>
      <c r="H173" s="13"/>
      <c r="I173" s="13"/>
      <c r="J173" s="14"/>
      <c r="K173" s="14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" customHeight="1">
      <c r="A174" s="14"/>
      <c r="B174" s="13"/>
      <c r="C174" s="13"/>
      <c r="D174" s="13"/>
      <c r="E174" s="13"/>
      <c r="F174" s="13"/>
      <c r="G174" s="13"/>
      <c r="H174" s="13"/>
      <c r="I174" s="13"/>
      <c r="J174" s="14"/>
      <c r="K174" s="14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" customHeight="1">
      <c r="A175" s="14"/>
      <c r="B175" s="13"/>
      <c r="C175" s="13"/>
      <c r="D175" s="13"/>
      <c r="E175" s="13"/>
      <c r="F175" s="13"/>
      <c r="G175" s="13"/>
      <c r="H175" s="13"/>
      <c r="I175" s="13"/>
      <c r="J175" s="14"/>
      <c r="K175" s="14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" customHeight="1">
      <c r="A176" s="14"/>
      <c r="B176" s="13"/>
      <c r="C176" s="13"/>
      <c r="D176" s="13"/>
      <c r="E176" s="13"/>
      <c r="F176" s="13"/>
      <c r="G176" s="13"/>
      <c r="H176" s="13"/>
      <c r="I176" s="13"/>
      <c r="J176" s="14"/>
      <c r="K176" s="14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" customHeight="1">
      <c r="A177" s="14"/>
      <c r="B177" s="13"/>
      <c r="C177" s="13"/>
      <c r="D177" s="13"/>
      <c r="E177" s="13"/>
      <c r="F177" s="13"/>
      <c r="G177" s="13"/>
      <c r="H177" s="13"/>
      <c r="I177" s="13"/>
      <c r="J177" s="14"/>
      <c r="K177" s="14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" customHeight="1">
      <c r="A178" s="14"/>
      <c r="B178" s="13"/>
      <c r="C178" s="13"/>
      <c r="D178" s="13"/>
      <c r="E178" s="13"/>
      <c r="F178" s="13"/>
      <c r="G178" s="13"/>
      <c r="H178" s="13"/>
      <c r="I178" s="13"/>
      <c r="J178" s="14"/>
      <c r="K178" s="14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" customHeight="1">
      <c r="A179" s="14"/>
      <c r="B179" s="13"/>
      <c r="C179" s="13"/>
      <c r="D179" s="13"/>
      <c r="E179" s="13"/>
      <c r="F179" s="13"/>
      <c r="G179" s="13"/>
      <c r="H179" s="13"/>
      <c r="I179" s="13"/>
      <c r="J179" s="14"/>
      <c r="K179" s="14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" customHeight="1">
      <c r="A180" s="14"/>
      <c r="B180" s="13"/>
      <c r="C180" s="13"/>
      <c r="D180" s="13"/>
      <c r="E180" s="13"/>
      <c r="F180" s="13"/>
      <c r="G180" s="13"/>
      <c r="H180" s="13"/>
      <c r="I180" s="13"/>
      <c r="J180" s="14"/>
      <c r="K180" s="14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" customHeight="1">
      <c r="A181" s="14"/>
      <c r="B181" s="13"/>
      <c r="C181" s="13"/>
      <c r="D181" s="13"/>
      <c r="E181" s="13"/>
      <c r="F181" s="13"/>
      <c r="G181" s="13"/>
      <c r="H181" s="13"/>
      <c r="I181" s="13"/>
      <c r="J181" s="14"/>
      <c r="K181" s="14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" customHeight="1">
      <c r="A182" s="14"/>
      <c r="B182" s="13"/>
      <c r="C182" s="13"/>
      <c r="D182" s="13"/>
      <c r="E182" s="13"/>
      <c r="F182" s="13"/>
      <c r="G182" s="13"/>
      <c r="H182" s="13"/>
      <c r="I182" s="13"/>
      <c r="J182" s="14"/>
      <c r="K182" s="14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" customHeight="1">
      <c r="A183" s="14"/>
      <c r="B183" s="13"/>
      <c r="C183" s="13"/>
      <c r="D183" s="13"/>
      <c r="E183" s="13"/>
      <c r="F183" s="13"/>
      <c r="G183" s="13"/>
      <c r="H183" s="13"/>
      <c r="I183" s="13"/>
      <c r="J183" s="14"/>
      <c r="K183" s="14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" customHeight="1">
      <c r="A184" s="14"/>
      <c r="B184" s="13"/>
      <c r="C184" s="13"/>
      <c r="D184" s="13"/>
      <c r="E184" s="13"/>
      <c r="F184" s="13"/>
      <c r="G184" s="13"/>
      <c r="H184" s="13"/>
      <c r="I184" s="13"/>
      <c r="J184" s="14"/>
      <c r="K184" s="14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" customHeight="1">
      <c r="A185" s="14"/>
      <c r="B185" s="13"/>
      <c r="C185" s="13"/>
      <c r="D185" s="13"/>
      <c r="E185" s="13"/>
      <c r="F185" s="13"/>
      <c r="G185" s="13"/>
      <c r="H185" s="13"/>
      <c r="I185" s="13"/>
      <c r="J185" s="14"/>
      <c r="K185" s="14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" customHeight="1">
      <c r="A186" s="14"/>
      <c r="B186" s="13"/>
      <c r="C186" s="13"/>
      <c r="D186" s="13"/>
      <c r="E186" s="13"/>
      <c r="F186" s="13"/>
      <c r="G186" s="13"/>
      <c r="H186" s="13"/>
      <c r="I186" s="13"/>
      <c r="J186" s="14"/>
      <c r="K186" s="14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" customHeight="1">
      <c r="A187" s="14"/>
      <c r="B187" s="13"/>
      <c r="C187" s="13"/>
      <c r="D187" s="13"/>
      <c r="E187" s="13"/>
      <c r="F187" s="13"/>
      <c r="G187" s="13"/>
      <c r="H187" s="13"/>
      <c r="I187" s="13"/>
      <c r="J187" s="14"/>
      <c r="K187" s="14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" customHeight="1">
      <c r="A188" s="14"/>
      <c r="B188" s="13"/>
      <c r="C188" s="13"/>
      <c r="D188" s="13"/>
      <c r="E188" s="13"/>
      <c r="F188" s="13"/>
      <c r="G188" s="13"/>
      <c r="H188" s="13"/>
      <c r="I188" s="13"/>
      <c r="J188" s="14"/>
      <c r="K188" s="14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" customHeight="1">
      <c r="A189" s="14"/>
      <c r="B189" s="13"/>
      <c r="C189" s="13"/>
      <c r="D189" s="13"/>
      <c r="E189" s="13"/>
      <c r="F189" s="13"/>
      <c r="G189" s="13"/>
      <c r="H189" s="13"/>
      <c r="I189" s="13"/>
      <c r="J189" s="14"/>
      <c r="K189" s="14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" customHeight="1">
      <c r="A190" s="14"/>
      <c r="B190" s="13"/>
      <c r="C190" s="13"/>
      <c r="D190" s="13"/>
      <c r="E190" s="13"/>
      <c r="F190" s="13"/>
      <c r="G190" s="13"/>
      <c r="H190" s="13"/>
      <c r="I190" s="13"/>
      <c r="J190" s="14"/>
      <c r="K190" s="14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" customHeight="1">
      <c r="A191" s="14"/>
      <c r="B191" s="13"/>
      <c r="C191" s="13"/>
      <c r="D191" s="13"/>
      <c r="E191" s="13"/>
      <c r="F191" s="13"/>
      <c r="G191" s="13"/>
      <c r="H191" s="13"/>
      <c r="I191" s="13"/>
      <c r="J191" s="14"/>
      <c r="K191" s="14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" customHeight="1">
      <c r="A192" s="14"/>
      <c r="B192" s="13"/>
      <c r="C192" s="13"/>
      <c r="D192" s="13"/>
      <c r="E192" s="13"/>
      <c r="F192" s="13"/>
      <c r="G192" s="13"/>
      <c r="H192" s="13"/>
      <c r="I192" s="13"/>
      <c r="J192" s="14"/>
      <c r="K192" s="14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" customHeight="1">
      <c r="A193" s="14"/>
      <c r="B193" s="13"/>
      <c r="C193" s="13"/>
      <c r="D193" s="13"/>
      <c r="E193" s="13"/>
      <c r="F193" s="13"/>
      <c r="G193" s="13"/>
      <c r="H193" s="13"/>
      <c r="I193" s="13"/>
      <c r="J193" s="14"/>
      <c r="K193" s="14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" customHeight="1">
      <c r="A194" s="14"/>
      <c r="B194" s="13"/>
      <c r="C194" s="13"/>
      <c r="D194" s="13"/>
      <c r="E194" s="13"/>
      <c r="F194" s="13"/>
      <c r="G194" s="13"/>
      <c r="H194" s="13"/>
      <c r="I194" s="13"/>
      <c r="J194" s="14"/>
      <c r="K194" s="14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" customHeight="1">
      <c r="A195" s="14"/>
      <c r="B195" s="13"/>
      <c r="C195" s="13"/>
      <c r="D195" s="13"/>
      <c r="E195" s="13"/>
      <c r="F195" s="13"/>
      <c r="G195" s="13"/>
      <c r="H195" s="13"/>
      <c r="I195" s="13"/>
      <c r="J195" s="14"/>
      <c r="K195" s="14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" customHeight="1">
      <c r="A196" s="14"/>
      <c r="B196" s="13"/>
      <c r="C196" s="13"/>
      <c r="D196" s="13"/>
      <c r="E196" s="13"/>
      <c r="F196" s="13"/>
      <c r="G196" s="13"/>
      <c r="H196" s="13"/>
      <c r="I196" s="13"/>
      <c r="J196" s="14"/>
      <c r="K196" s="14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" customHeight="1">
      <c r="A197" s="14"/>
      <c r="B197" s="13"/>
      <c r="C197" s="13"/>
      <c r="D197" s="13"/>
      <c r="E197" s="13"/>
      <c r="F197" s="13"/>
      <c r="G197" s="13"/>
      <c r="H197" s="13"/>
      <c r="I197" s="13"/>
      <c r="J197" s="14"/>
      <c r="K197" s="14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" customHeight="1">
      <c r="A198" s="14"/>
      <c r="B198" s="13"/>
      <c r="C198" s="13"/>
      <c r="D198" s="13"/>
      <c r="E198" s="13"/>
      <c r="F198" s="13"/>
      <c r="G198" s="13"/>
      <c r="H198" s="13"/>
      <c r="I198" s="13"/>
      <c r="J198" s="14"/>
      <c r="K198" s="14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" customHeight="1">
      <c r="A199" s="14"/>
      <c r="B199" s="13"/>
      <c r="C199" s="13"/>
      <c r="D199" s="13"/>
      <c r="E199" s="13"/>
      <c r="F199" s="13"/>
      <c r="G199" s="13"/>
      <c r="H199" s="13"/>
      <c r="I199" s="13"/>
      <c r="J199" s="14"/>
      <c r="K199" s="14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" customHeight="1">
      <c r="A200" s="14"/>
      <c r="B200" s="13"/>
      <c r="C200" s="13"/>
      <c r="D200" s="13"/>
      <c r="E200" s="13"/>
      <c r="F200" s="13"/>
      <c r="G200" s="13"/>
      <c r="H200" s="13"/>
      <c r="I200" s="13"/>
      <c r="J200" s="14"/>
      <c r="K200" s="14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" customHeight="1">
      <c r="A201" s="14"/>
      <c r="B201" s="13"/>
      <c r="C201" s="13"/>
      <c r="D201" s="13"/>
      <c r="E201" s="13"/>
      <c r="F201" s="13"/>
      <c r="G201" s="13"/>
      <c r="H201" s="13"/>
      <c r="I201" s="13"/>
      <c r="J201" s="14"/>
      <c r="K201" s="14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" customHeight="1">
      <c r="A202" s="14"/>
      <c r="B202" s="13"/>
      <c r="C202" s="13"/>
      <c r="D202" s="13"/>
      <c r="E202" s="13"/>
      <c r="F202" s="13"/>
      <c r="G202" s="13"/>
      <c r="H202" s="13"/>
      <c r="I202" s="13"/>
      <c r="J202" s="14"/>
      <c r="K202" s="14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" customHeight="1">
      <c r="A203" s="14"/>
      <c r="B203" s="13"/>
      <c r="C203" s="13"/>
      <c r="D203" s="13"/>
      <c r="E203" s="13"/>
      <c r="F203" s="13"/>
      <c r="G203" s="13"/>
      <c r="H203" s="13"/>
      <c r="I203" s="13"/>
      <c r="J203" s="14"/>
      <c r="K203" s="14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" customHeight="1">
      <c r="A204" s="14"/>
      <c r="B204" s="13"/>
      <c r="C204" s="13"/>
      <c r="D204" s="13"/>
      <c r="E204" s="13"/>
      <c r="F204" s="13"/>
      <c r="G204" s="13"/>
      <c r="H204" s="13"/>
      <c r="I204" s="13"/>
      <c r="J204" s="14"/>
      <c r="K204" s="14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" customHeight="1">
      <c r="A205" s="14"/>
      <c r="B205" s="13"/>
      <c r="C205" s="13"/>
      <c r="D205" s="13"/>
      <c r="E205" s="13"/>
      <c r="F205" s="13"/>
      <c r="G205" s="13"/>
      <c r="H205" s="13"/>
      <c r="I205" s="13"/>
      <c r="J205" s="14"/>
      <c r="K205" s="14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" customHeight="1">
      <c r="A206" s="14"/>
      <c r="B206" s="13"/>
      <c r="C206" s="13"/>
      <c r="D206" s="13"/>
      <c r="E206" s="13"/>
      <c r="F206" s="13"/>
      <c r="G206" s="13"/>
      <c r="H206" s="13"/>
      <c r="I206" s="13"/>
      <c r="J206" s="14"/>
      <c r="K206" s="14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" customHeight="1">
      <c r="A207" s="14"/>
      <c r="B207" s="13"/>
      <c r="C207" s="13"/>
      <c r="D207" s="13"/>
      <c r="E207" s="13"/>
      <c r="F207" s="13"/>
      <c r="G207" s="13"/>
      <c r="H207" s="13"/>
      <c r="I207" s="13"/>
      <c r="J207" s="14"/>
      <c r="K207" s="14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" customHeight="1">
      <c r="A208" s="14"/>
      <c r="B208" s="13"/>
      <c r="C208" s="13"/>
      <c r="D208" s="13"/>
      <c r="E208" s="13"/>
      <c r="F208" s="13"/>
      <c r="G208" s="13"/>
      <c r="H208" s="13"/>
      <c r="I208" s="13"/>
      <c r="J208" s="14"/>
      <c r="K208" s="14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" customHeight="1">
      <c r="A209" s="14"/>
      <c r="B209" s="13"/>
      <c r="C209" s="13"/>
      <c r="D209" s="13"/>
      <c r="E209" s="13"/>
      <c r="F209" s="13"/>
      <c r="G209" s="13"/>
      <c r="H209" s="13"/>
      <c r="I209" s="13"/>
      <c r="J209" s="14"/>
      <c r="K209" s="14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" customHeight="1">
      <c r="A210" s="14"/>
      <c r="B210" s="13"/>
      <c r="C210" s="13"/>
      <c r="D210" s="13"/>
      <c r="E210" s="13"/>
      <c r="F210" s="13"/>
      <c r="G210" s="13"/>
      <c r="H210" s="13"/>
      <c r="I210" s="13"/>
      <c r="J210" s="14"/>
      <c r="K210" s="14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" customHeight="1">
      <c r="A211" s="14"/>
      <c r="B211" s="13"/>
      <c r="C211" s="13"/>
      <c r="D211" s="13"/>
      <c r="E211" s="13"/>
      <c r="F211" s="13"/>
      <c r="G211" s="13"/>
      <c r="H211" s="13"/>
      <c r="I211" s="13"/>
      <c r="J211" s="14"/>
      <c r="K211" s="14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" customHeight="1">
      <c r="A212" s="14"/>
      <c r="B212" s="13"/>
      <c r="C212" s="13"/>
      <c r="D212" s="13"/>
      <c r="E212" s="13"/>
      <c r="F212" s="13"/>
      <c r="G212" s="13"/>
      <c r="H212" s="13"/>
      <c r="I212" s="13"/>
      <c r="J212" s="14"/>
      <c r="K212" s="14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" customHeight="1">
      <c r="A213" s="14"/>
      <c r="B213" s="13"/>
      <c r="C213" s="13"/>
      <c r="D213" s="13"/>
      <c r="E213" s="13"/>
      <c r="F213" s="13"/>
      <c r="G213" s="13"/>
      <c r="H213" s="13"/>
      <c r="I213" s="13"/>
      <c r="J213" s="14"/>
      <c r="K213" s="14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" customHeight="1">
      <c r="A214" s="14"/>
      <c r="B214" s="13"/>
      <c r="C214" s="13"/>
      <c r="D214" s="13"/>
      <c r="E214" s="13"/>
      <c r="F214" s="13"/>
      <c r="G214" s="13"/>
      <c r="H214" s="13"/>
      <c r="I214" s="13"/>
      <c r="J214" s="14"/>
      <c r="K214" s="14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" customHeight="1">
      <c r="A215" s="14"/>
      <c r="B215" s="13"/>
      <c r="C215" s="13"/>
      <c r="D215" s="13"/>
      <c r="E215" s="13"/>
      <c r="F215" s="13"/>
      <c r="G215" s="13"/>
      <c r="H215" s="13"/>
      <c r="I215" s="13"/>
      <c r="J215" s="14"/>
      <c r="K215" s="14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" customHeight="1">
      <c r="A216" s="14"/>
      <c r="B216" s="13"/>
      <c r="C216" s="13"/>
      <c r="D216" s="13"/>
      <c r="E216" s="13"/>
      <c r="F216" s="13"/>
      <c r="G216" s="13"/>
      <c r="H216" s="13"/>
      <c r="I216" s="13"/>
      <c r="J216" s="14"/>
      <c r="K216" s="14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" customHeight="1">
      <c r="A217" s="14"/>
      <c r="B217" s="13"/>
      <c r="C217" s="13"/>
      <c r="D217" s="13"/>
      <c r="E217" s="13"/>
      <c r="F217" s="13"/>
      <c r="G217" s="13"/>
      <c r="H217" s="13"/>
      <c r="I217" s="13"/>
      <c r="J217" s="14"/>
      <c r="K217" s="14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" customHeight="1">
      <c r="A218" s="14"/>
      <c r="B218" s="13"/>
      <c r="C218" s="13"/>
      <c r="D218" s="13"/>
      <c r="E218" s="13"/>
      <c r="F218" s="13"/>
      <c r="G218" s="13"/>
      <c r="H218" s="13"/>
      <c r="I218" s="13"/>
      <c r="J218" s="14"/>
      <c r="K218" s="14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" customHeight="1">
      <c r="A219" s="14"/>
      <c r="B219" s="13"/>
      <c r="C219" s="13"/>
      <c r="D219" s="13"/>
      <c r="E219" s="13"/>
      <c r="F219" s="13"/>
      <c r="G219" s="13"/>
      <c r="H219" s="13"/>
      <c r="I219" s="13"/>
      <c r="J219" s="14"/>
      <c r="K219" s="14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" customHeight="1">
      <c r="A220" s="14"/>
      <c r="B220" s="13"/>
      <c r="C220" s="13"/>
      <c r="D220" s="13"/>
      <c r="E220" s="13"/>
      <c r="F220" s="13"/>
      <c r="G220" s="13"/>
      <c r="H220" s="13"/>
      <c r="I220" s="13"/>
      <c r="J220" s="14"/>
      <c r="K220" s="14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" customHeight="1">
      <c r="A221" s="14"/>
      <c r="B221" s="13"/>
      <c r="C221" s="13"/>
      <c r="D221" s="13"/>
      <c r="E221" s="13"/>
      <c r="F221" s="13"/>
      <c r="G221" s="13"/>
      <c r="H221" s="13"/>
      <c r="I221" s="13"/>
      <c r="J221" s="14"/>
      <c r="K221" s="14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" customHeight="1">
      <c r="A222" s="14"/>
      <c r="B222" s="13"/>
      <c r="C222" s="13"/>
      <c r="D222" s="13"/>
      <c r="E222" s="13"/>
      <c r="F222" s="13"/>
      <c r="G222" s="13"/>
      <c r="H222" s="13"/>
      <c r="I222" s="13"/>
      <c r="J222" s="14"/>
      <c r="K222" s="14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" customHeight="1">
      <c r="A223" s="14"/>
      <c r="B223" s="13"/>
      <c r="C223" s="13"/>
      <c r="D223" s="13"/>
      <c r="E223" s="13"/>
      <c r="F223" s="13"/>
      <c r="G223" s="13"/>
      <c r="H223" s="13"/>
      <c r="I223" s="13"/>
      <c r="J223" s="14"/>
      <c r="K223" s="14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" customHeight="1">
      <c r="A224" s="14"/>
      <c r="B224" s="13"/>
      <c r="C224" s="13"/>
      <c r="D224" s="13"/>
      <c r="E224" s="13"/>
      <c r="F224" s="13"/>
      <c r="G224" s="13"/>
      <c r="H224" s="13"/>
      <c r="I224" s="13"/>
      <c r="J224" s="14"/>
      <c r="K224" s="14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" customHeight="1">
      <c r="A225" s="14"/>
      <c r="B225" s="13"/>
      <c r="C225" s="13"/>
      <c r="D225" s="13"/>
      <c r="E225" s="13"/>
      <c r="F225" s="13"/>
      <c r="G225" s="13"/>
      <c r="H225" s="13"/>
      <c r="I225" s="13"/>
      <c r="J225" s="14"/>
      <c r="K225" s="14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" customHeight="1">
      <c r="A226" s="14"/>
      <c r="B226" s="13"/>
      <c r="C226" s="13"/>
      <c r="D226" s="13"/>
      <c r="E226" s="13"/>
      <c r="F226" s="13"/>
      <c r="G226" s="13"/>
      <c r="H226" s="13"/>
      <c r="I226" s="13"/>
      <c r="J226" s="14"/>
      <c r="K226" s="14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" customHeight="1">
      <c r="A227" s="14"/>
      <c r="B227" s="13"/>
      <c r="C227" s="13"/>
      <c r="D227" s="13"/>
      <c r="E227" s="13"/>
      <c r="F227" s="13"/>
      <c r="G227" s="13"/>
      <c r="H227" s="13"/>
      <c r="I227" s="13"/>
      <c r="J227" s="14"/>
      <c r="K227" s="14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" customHeight="1">
      <c r="A228" s="14"/>
      <c r="B228" s="13"/>
      <c r="C228" s="13"/>
      <c r="D228" s="13"/>
      <c r="E228" s="13"/>
      <c r="F228" s="13"/>
      <c r="G228" s="13"/>
      <c r="H228" s="13"/>
      <c r="I228" s="13"/>
      <c r="J228" s="14"/>
      <c r="K228" s="14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" customHeight="1">
      <c r="A229" s="14"/>
      <c r="B229" s="13"/>
      <c r="C229" s="13"/>
      <c r="D229" s="13"/>
      <c r="E229" s="13"/>
      <c r="F229" s="13"/>
      <c r="G229" s="13"/>
      <c r="H229" s="13"/>
      <c r="I229" s="13"/>
      <c r="J229" s="14"/>
      <c r="K229" s="14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" customHeight="1">
      <c r="A230" s="14"/>
      <c r="B230" s="13"/>
      <c r="C230" s="13"/>
      <c r="D230" s="13"/>
      <c r="E230" s="13"/>
      <c r="F230" s="13"/>
      <c r="G230" s="13"/>
      <c r="H230" s="13"/>
      <c r="I230" s="13"/>
      <c r="J230" s="14"/>
      <c r="K230" s="14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" customHeight="1">
      <c r="A231" s="14"/>
      <c r="B231" s="13"/>
      <c r="C231" s="13"/>
      <c r="D231" s="13"/>
      <c r="E231" s="13"/>
      <c r="F231" s="13"/>
      <c r="G231" s="13"/>
      <c r="H231" s="13"/>
      <c r="I231" s="13"/>
      <c r="J231" s="14"/>
      <c r="K231" s="14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" customHeight="1">
      <c r="A232" s="14"/>
      <c r="B232" s="13"/>
      <c r="C232" s="13"/>
      <c r="D232" s="13"/>
      <c r="E232" s="13"/>
      <c r="F232" s="13"/>
      <c r="G232" s="13"/>
      <c r="H232" s="13"/>
      <c r="I232" s="13"/>
      <c r="J232" s="14"/>
      <c r="K232" s="14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" customHeight="1">
      <c r="A233" s="14"/>
      <c r="B233" s="13"/>
      <c r="C233" s="13"/>
      <c r="D233" s="13"/>
      <c r="E233" s="13"/>
      <c r="F233" s="13"/>
      <c r="G233" s="13"/>
      <c r="H233" s="13"/>
      <c r="I233" s="13"/>
      <c r="J233" s="14"/>
      <c r="K233" s="14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" customHeight="1">
      <c r="A234" s="14"/>
      <c r="B234" s="13"/>
      <c r="C234" s="13"/>
      <c r="D234" s="13"/>
      <c r="E234" s="13"/>
      <c r="F234" s="13"/>
      <c r="G234" s="13"/>
      <c r="H234" s="13"/>
      <c r="I234" s="13"/>
      <c r="J234" s="14"/>
      <c r="K234" s="14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" customHeight="1">
      <c r="A235" s="14"/>
      <c r="B235" s="13"/>
      <c r="C235" s="13"/>
      <c r="D235" s="13"/>
      <c r="E235" s="13"/>
      <c r="F235" s="13"/>
      <c r="G235" s="13"/>
      <c r="H235" s="13"/>
      <c r="I235" s="13"/>
      <c r="J235" s="14"/>
      <c r="K235" s="14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" customHeight="1">
      <c r="A236" s="14"/>
      <c r="B236" s="13"/>
      <c r="C236" s="13"/>
      <c r="D236" s="13"/>
      <c r="E236" s="13"/>
      <c r="F236" s="13"/>
      <c r="G236" s="13"/>
      <c r="H236" s="13"/>
      <c r="I236" s="13"/>
      <c r="J236" s="14"/>
      <c r="K236" s="14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" customHeight="1">
      <c r="A237" s="14"/>
      <c r="B237" s="13"/>
      <c r="C237" s="13"/>
      <c r="D237" s="13"/>
      <c r="E237" s="13"/>
      <c r="F237" s="13"/>
      <c r="G237" s="13"/>
      <c r="H237" s="13"/>
      <c r="I237" s="13"/>
      <c r="J237" s="14"/>
      <c r="K237" s="14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" customHeight="1">
      <c r="A238" s="14"/>
      <c r="B238" s="13"/>
      <c r="C238" s="13"/>
      <c r="D238" s="13"/>
      <c r="E238" s="13"/>
      <c r="F238" s="13"/>
      <c r="G238" s="13"/>
      <c r="H238" s="13"/>
      <c r="I238" s="13"/>
      <c r="J238" s="14"/>
      <c r="K238" s="14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" customHeight="1">
      <c r="A239" s="14"/>
      <c r="B239" s="13"/>
      <c r="C239" s="13"/>
      <c r="D239" s="13"/>
      <c r="E239" s="13"/>
      <c r="F239" s="13"/>
      <c r="G239" s="13"/>
      <c r="H239" s="13"/>
      <c r="I239" s="13"/>
      <c r="J239" s="14"/>
      <c r="K239" s="14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" customHeight="1">
      <c r="A240" s="14"/>
      <c r="B240" s="13"/>
      <c r="C240" s="13"/>
      <c r="D240" s="13"/>
      <c r="E240" s="13"/>
      <c r="F240" s="13"/>
      <c r="G240" s="13"/>
      <c r="H240" s="13"/>
      <c r="I240" s="13"/>
      <c r="J240" s="14"/>
      <c r="K240" s="14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" customHeight="1">
      <c r="A241" s="14"/>
      <c r="B241" s="13"/>
      <c r="C241" s="13"/>
      <c r="D241" s="13"/>
      <c r="E241" s="13"/>
      <c r="F241" s="13"/>
      <c r="G241" s="13"/>
      <c r="H241" s="13"/>
      <c r="I241" s="13"/>
      <c r="J241" s="14"/>
      <c r="K241" s="14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" customHeight="1">
      <c r="A242" s="14"/>
      <c r="B242" s="13"/>
      <c r="C242" s="13"/>
      <c r="D242" s="13"/>
      <c r="E242" s="13"/>
      <c r="F242" s="13"/>
      <c r="G242" s="13"/>
      <c r="H242" s="13"/>
      <c r="I242" s="13"/>
      <c r="J242" s="14"/>
      <c r="K242" s="14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" customHeight="1">
      <c r="A243" s="14"/>
      <c r="B243" s="13"/>
      <c r="C243" s="13"/>
      <c r="D243" s="13"/>
      <c r="E243" s="13"/>
      <c r="F243" s="13"/>
      <c r="G243" s="13"/>
      <c r="H243" s="13"/>
      <c r="I243" s="13"/>
      <c r="J243" s="14"/>
      <c r="K243" s="14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" customHeight="1">
      <c r="A244" s="14"/>
      <c r="B244" s="13"/>
      <c r="C244" s="13"/>
      <c r="D244" s="13"/>
      <c r="E244" s="13"/>
      <c r="F244" s="13"/>
      <c r="G244" s="13"/>
      <c r="H244" s="13"/>
      <c r="I244" s="13"/>
      <c r="J244" s="14"/>
      <c r="K244" s="14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" customHeight="1">
      <c r="A245" s="14"/>
      <c r="B245" s="13"/>
      <c r="C245" s="13"/>
      <c r="D245" s="13"/>
      <c r="E245" s="13"/>
      <c r="F245" s="13"/>
      <c r="G245" s="13"/>
      <c r="H245" s="13"/>
      <c r="I245" s="13"/>
      <c r="J245" s="14"/>
      <c r="K245" s="14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" customHeight="1">
      <c r="A246" s="14"/>
      <c r="B246" s="13"/>
      <c r="C246" s="13"/>
      <c r="D246" s="13"/>
      <c r="E246" s="13"/>
      <c r="F246" s="13"/>
      <c r="G246" s="13"/>
      <c r="H246" s="13"/>
      <c r="I246" s="13"/>
      <c r="J246" s="14"/>
      <c r="K246" s="14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" customHeight="1">
      <c r="A247" s="14"/>
      <c r="B247" s="13"/>
      <c r="C247" s="13"/>
      <c r="D247" s="13"/>
      <c r="E247" s="13"/>
      <c r="F247" s="13"/>
      <c r="G247" s="13"/>
      <c r="H247" s="13"/>
      <c r="I247" s="13"/>
      <c r="J247" s="14"/>
      <c r="K247" s="14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" customHeight="1">
      <c r="A248" s="14"/>
      <c r="B248" s="13"/>
      <c r="C248" s="13"/>
      <c r="D248" s="13"/>
      <c r="E248" s="13"/>
      <c r="F248" s="13"/>
      <c r="G248" s="13"/>
      <c r="H248" s="13"/>
      <c r="I248" s="13"/>
      <c r="J248" s="14"/>
      <c r="K248" s="14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" customHeight="1">
      <c r="A249" s="14"/>
      <c r="B249" s="13"/>
      <c r="C249" s="13"/>
      <c r="D249" s="13"/>
      <c r="E249" s="13"/>
      <c r="F249" s="13"/>
      <c r="G249" s="13"/>
      <c r="H249" s="13"/>
      <c r="I249" s="13"/>
      <c r="J249" s="14"/>
      <c r="K249" s="14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" customHeight="1">
      <c r="A250" s="14"/>
      <c r="B250" s="13"/>
      <c r="C250" s="13"/>
      <c r="D250" s="13"/>
      <c r="E250" s="13"/>
      <c r="F250" s="13"/>
      <c r="G250" s="13"/>
      <c r="H250" s="13"/>
      <c r="I250" s="13"/>
      <c r="J250" s="14"/>
      <c r="K250" s="14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" customHeight="1">
      <c r="A251" s="14"/>
      <c r="B251" s="13"/>
      <c r="C251" s="13"/>
      <c r="D251" s="13"/>
      <c r="E251" s="13"/>
      <c r="F251" s="13"/>
      <c r="G251" s="13"/>
      <c r="H251" s="13"/>
      <c r="I251" s="13"/>
      <c r="J251" s="14"/>
      <c r="K251" s="14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" customHeight="1">
      <c r="A252" s="14"/>
      <c r="B252" s="13"/>
      <c r="C252" s="13"/>
      <c r="D252" s="13"/>
      <c r="E252" s="13"/>
      <c r="F252" s="13"/>
      <c r="G252" s="13"/>
      <c r="H252" s="13"/>
      <c r="I252" s="13"/>
      <c r="J252" s="14"/>
      <c r="K252" s="14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" customHeight="1">
      <c r="A253" s="14"/>
      <c r="B253" s="13"/>
      <c r="C253" s="13"/>
      <c r="D253" s="13"/>
      <c r="E253" s="13"/>
      <c r="F253" s="13"/>
      <c r="G253" s="13"/>
      <c r="H253" s="13"/>
      <c r="I253" s="13"/>
      <c r="J253" s="14"/>
      <c r="K253" s="14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" customHeight="1">
      <c r="A254" s="14"/>
      <c r="B254" s="13"/>
      <c r="C254" s="13"/>
      <c r="D254" s="13"/>
      <c r="E254" s="13"/>
      <c r="F254" s="13"/>
      <c r="G254" s="13"/>
      <c r="H254" s="13"/>
      <c r="I254" s="13"/>
      <c r="J254" s="14"/>
      <c r="K254" s="14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" customHeight="1">
      <c r="A255" s="14"/>
      <c r="B255" s="13"/>
      <c r="C255" s="13"/>
      <c r="D255" s="13"/>
      <c r="E255" s="13"/>
      <c r="F255" s="13"/>
      <c r="G255" s="13"/>
      <c r="H255" s="13"/>
      <c r="I255" s="13"/>
      <c r="J255" s="14"/>
      <c r="K255" s="14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" customHeight="1">
      <c r="A256" s="14"/>
      <c r="B256" s="13"/>
      <c r="C256" s="13"/>
      <c r="D256" s="13"/>
      <c r="E256" s="13"/>
      <c r="F256" s="13"/>
      <c r="G256" s="13"/>
      <c r="H256" s="13"/>
      <c r="I256" s="13"/>
      <c r="J256" s="14"/>
      <c r="K256" s="14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" customHeight="1">
      <c r="A257" s="14"/>
      <c r="B257" s="13"/>
      <c r="C257" s="13"/>
      <c r="D257" s="13"/>
      <c r="E257" s="13"/>
      <c r="F257" s="13"/>
      <c r="G257" s="13"/>
      <c r="H257" s="13"/>
      <c r="I257" s="13"/>
      <c r="J257" s="14"/>
      <c r="K257" s="14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" customHeight="1">
      <c r="A258" s="14"/>
      <c r="B258" s="13"/>
      <c r="C258" s="13"/>
      <c r="D258" s="13"/>
      <c r="E258" s="13"/>
      <c r="F258" s="13"/>
      <c r="G258" s="13"/>
      <c r="H258" s="13"/>
      <c r="I258" s="13"/>
      <c r="J258" s="14"/>
      <c r="K258" s="14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" customHeight="1">
      <c r="A259" s="14"/>
      <c r="B259" s="13"/>
      <c r="C259" s="13"/>
      <c r="D259" s="13"/>
      <c r="E259" s="13"/>
      <c r="F259" s="13"/>
      <c r="G259" s="13"/>
      <c r="H259" s="13"/>
      <c r="I259" s="13"/>
      <c r="J259" s="14"/>
      <c r="K259" s="14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" customHeight="1">
      <c r="A260" s="14"/>
      <c r="B260" s="13"/>
      <c r="C260" s="13"/>
      <c r="D260" s="13"/>
      <c r="E260" s="13"/>
      <c r="F260" s="13"/>
      <c r="G260" s="13"/>
      <c r="H260" s="13"/>
      <c r="I260" s="13"/>
      <c r="J260" s="14"/>
      <c r="K260" s="14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" customHeight="1">
      <c r="A261" s="14"/>
      <c r="B261" s="13"/>
      <c r="C261" s="13"/>
      <c r="D261" s="13"/>
      <c r="E261" s="13"/>
      <c r="F261" s="13"/>
      <c r="G261" s="13"/>
      <c r="H261" s="13"/>
      <c r="I261" s="13"/>
      <c r="J261" s="14"/>
      <c r="K261" s="14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" customHeight="1">
      <c r="A262" s="14"/>
      <c r="B262" s="13"/>
      <c r="C262" s="13"/>
      <c r="D262" s="13"/>
      <c r="E262" s="13"/>
      <c r="F262" s="13"/>
      <c r="G262" s="13"/>
      <c r="H262" s="13"/>
      <c r="I262" s="13"/>
      <c r="J262" s="14"/>
      <c r="K262" s="14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" customHeight="1">
      <c r="A263" s="14"/>
      <c r="B263" s="13"/>
      <c r="C263" s="13"/>
      <c r="D263" s="13"/>
      <c r="E263" s="13"/>
      <c r="F263" s="13"/>
      <c r="G263" s="13"/>
      <c r="H263" s="13"/>
      <c r="I263" s="13"/>
      <c r="J263" s="14"/>
      <c r="K263" s="14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" customHeight="1">
      <c r="A264" s="14"/>
      <c r="B264" s="13"/>
      <c r="C264" s="13"/>
      <c r="D264" s="13"/>
      <c r="E264" s="13"/>
      <c r="F264" s="13"/>
      <c r="G264" s="13"/>
      <c r="H264" s="13"/>
      <c r="I264" s="13"/>
      <c r="J264" s="14"/>
      <c r="K264" s="14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" customHeight="1">
      <c r="A265" s="14"/>
      <c r="B265" s="13"/>
      <c r="C265" s="13"/>
      <c r="D265" s="13"/>
      <c r="E265" s="13"/>
      <c r="F265" s="13"/>
      <c r="G265" s="13"/>
      <c r="H265" s="13"/>
      <c r="I265" s="13"/>
      <c r="J265" s="14"/>
      <c r="K265" s="14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" customHeight="1">
      <c r="A266" s="14"/>
      <c r="B266" s="13"/>
      <c r="C266" s="13"/>
      <c r="D266" s="13"/>
      <c r="E266" s="13"/>
      <c r="F266" s="13"/>
      <c r="G266" s="13"/>
      <c r="H266" s="13"/>
      <c r="I266" s="13"/>
      <c r="J266" s="14"/>
      <c r="K266" s="14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" customHeight="1">
      <c r="A267" s="14"/>
      <c r="B267" s="13"/>
      <c r="C267" s="13"/>
      <c r="D267" s="13"/>
      <c r="E267" s="13"/>
      <c r="F267" s="13"/>
      <c r="G267" s="13"/>
      <c r="H267" s="13"/>
      <c r="I267" s="13"/>
      <c r="J267" s="14"/>
      <c r="K267" s="14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" customHeight="1">
      <c r="A268" s="14"/>
      <c r="B268" s="13"/>
      <c r="C268" s="13"/>
      <c r="D268" s="13"/>
      <c r="E268" s="13"/>
      <c r="F268" s="13"/>
      <c r="G268" s="13"/>
      <c r="H268" s="13"/>
      <c r="I268" s="13"/>
      <c r="J268" s="14"/>
      <c r="K268" s="14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" customHeight="1">
      <c r="A269" s="14"/>
      <c r="B269" s="13"/>
      <c r="C269" s="13"/>
      <c r="D269" s="13"/>
      <c r="E269" s="13"/>
      <c r="F269" s="13"/>
      <c r="G269" s="13"/>
      <c r="H269" s="13"/>
      <c r="I269" s="13"/>
      <c r="J269" s="14"/>
      <c r="K269" s="14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" customHeight="1">
      <c r="A270" s="14"/>
      <c r="B270" s="13"/>
      <c r="C270" s="13"/>
      <c r="D270" s="13"/>
      <c r="E270" s="13"/>
      <c r="F270" s="13"/>
      <c r="G270" s="13"/>
      <c r="H270" s="13"/>
      <c r="I270" s="13"/>
      <c r="J270" s="14"/>
      <c r="K270" s="14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" customHeight="1">
      <c r="A271" s="14"/>
      <c r="B271" s="13"/>
      <c r="C271" s="13"/>
      <c r="D271" s="13"/>
      <c r="E271" s="13"/>
      <c r="F271" s="13"/>
      <c r="G271" s="13"/>
      <c r="H271" s="13"/>
      <c r="I271" s="13"/>
      <c r="J271" s="14"/>
      <c r="K271" s="14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" customHeight="1">
      <c r="A272" s="14"/>
      <c r="B272" s="13"/>
      <c r="C272" s="13"/>
      <c r="D272" s="13"/>
      <c r="E272" s="13"/>
      <c r="F272" s="13"/>
      <c r="G272" s="13"/>
      <c r="H272" s="13"/>
      <c r="I272" s="13"/>
      <c r="J272" s="14"/>
      <c r="K272" s="14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" customHeight="1">
      <c r="A273" s="14"/>
      <c r="B273" s="13"/>
      <c r="C273" s="13"/>
      <c r="D273" s="13"/>
      <c r="E273" s="13"/>
      <c r="F273" s="13"/>
      <c r="G273" s="13"/>
      <c r="H273" s="13"/>
      <c r="I273" s="13"/>
      <c r="J273" s="14"/>
      <c r="K273" s="14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" customHeight="1">
      <c r="A274" s="14"/>
      <c r="B274" s="13"/>
      <c r="C274" s="13"/>
      <c r="D274" s="13"/>
      <c r="E274" s="13"/>
      <c r="F274" s="13"/>
      <c r="G274" s="13"/>
      <c r="H274" s="13"/>
      <c r="I274" s="13"/>
      <c r="J274" s="14"/>
      <c r="K274" s="14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" customHeight="1">
      <c r="A275" s="14"/>
      <c r="B275" s="13"/>
      <c r="C275" s="13"/>
      <c r="D275" s="13"/>
      <c r="E275" s="13"/>
      <c r="F275" s="13"/>
      <c r="G275" s="13"/>
      <c r="H275" s="13"/>
      <c r="I275" s="13"/>
      <c r="J275" s="14"/>
      <c r="K275" s="14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" customHeight="1">
      <c r="A276" s="14"/>
      <c r="B276" s="13"/>
      <c r="C276" s="13"/>
      <c r="D276" s="13"/>
      <c r="E276" s="13"/>
      <c r="F276" s="13"/>
      <c r="G276" s="13"/>
      <c r="H276" s="13"/>
      <c r="I276" s="13"/>
      <c r="J276" s="14"/>
      <c r="K276" s="14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" customHeight="1">
      <c r="A277" s="14"/>
      <c r="B277" s="13"/>
      <c r="C277" s="13"/>
      <c r="D277" s="13"/>
      <c r="E277" s="13"/>
      <c r="F277" s="13"/>
      <c r="G277" s="13"/>
      <c r="H277" s="13"/>
      <c r="I277" s="13"/>
      <c r="J277" s="14"/>
      <c r="K277" s="14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" customHeight="1">
      <c r="A278" s="14"/>
      <c r="B278" s="13"/>
      <c r="C278" s="13"/>
      <c r="D278" s="13"/>
      <c r="E278" s="13"/>
      <c r="F278" s="13"/>
      <c r="G278" s="13"/>
      <c r="H278" s="13"/>
      <c r="I278" s="13"/>
      <c r="J278" s="14"/>
      <c r="K278" s="14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" customHeight="1">
      <c r="A279" s="14"/>
      <c r="B279" s="13"/>
      <c r="C279" s="13"/>
      <c r="D279" s="13"/>
      <c r="E279" s="13"/>
      <c r="F279" s="13"/>
      <c r="G279" s="13"/>
      <c r="H279" s="13"/>
      <c r="I279" s="13"/>
      <c r="J279" s="14"/>
      <c r="K279" s="14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" customHeight="1">
      <c r="A280" s="14"/>
      <c r="B280" s="13"/>
      <c r="C280" s="13"/>
      <c r="D280" s="13"/>
      <c r="E280" s="13"/>
      <c r="F280" s="13"/>
      <c r="G280" s="13"/>
      <c r="H280" s="13"/>
      <c r="I280" s="13"/>
      <c r="J280" s="14"/>
      <c r="K280" s="14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" customHeight="1">
      <c r="A281" s="14"/>
      <c r="B281" s="13"/>
      <c r="C281" s="13"/>
      <c r="D281" s="13"/>
      <c r="E281" s="13"/>
      <c r="F281" s="13"/>
      <c r="G281" s="13"/>
      <c r="H281" s="13"/>
      <c r="I281" s="13"/>
      <c r="J281" s="14"/>
      <c r="K281" s="14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" customHeight="1">
      <c r="A282" s="14"/>
      <c r="B282" s="13"/>
      <c r="C282" s="13"/>
      <c r="D282" s="13"/>
      <c r="E282" s="13"/>
      <c r="F282" s="13"/>
      <c r="G282" s="13"/>
      <c r="H282" s="13"/>
      <c r="I282" s="13"/>
      <c r="J282" s="14"/>
      <c r="K282" s="14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" customHeight="1">
      <c r="A283" s="14"/>
      <c r="B283" s="13"/>
      <c r="C283" s="13"/>
      <c r="D283" s="13"/>
      <c r="E283" s="13"/>
      <c r="F283" s="13"/>
      <c r="G283" s="13"/>
      <c r="H283" s="13"/>
      <c r="I283" s="13"/>
      <c r="J283" s="14"/>
      <c r="K283" s="14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" customHeight="1">
      <c r="A284" s="14"/>
      <c r="B284" s="13"/>
      <c r="C284" s="13"/>
      <c r="D284" s="13"/>
      <c r="E284" s="13"/>
      <c r="F284" s="13"/>
      <c r="G284" s="13"/>
      <c r="H284" s="13"/>
      <c r="I284" s="13"/>
      <c r="J284" s="14"/>
      <c r="K284" s="14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" customHeight="1">
      <c r="A285" s="14"/>
      <c r="B285" s="13"/>
      <c r="C285" s="13"/>
      <c r="D285" s="13"/>
      <c r="E285" s="13"/>
      <c r="F285" s="13"/>
      <c r="G285" s="13"/>
      <c r="H285" s="13"/>
      <c r="I285" s="13"/>
      <c r="J285" s="14"/>
      <c r="K285" s="14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" customHeight="1">
      <c r="A286" s="14"/>
      <c r="B286" s="13"/>
      <c r="C286" s="13"/>
      <c r="D286" s="13"/>
      <c r="E286" s="13"/>
      <c r="F286" s="13"/>
      <c r="G286" s="13"/>
      <c r="H286" s="13"/>
      <c r="I286" s="13"/>
      <c r="J286" s="14"/>
      <c r="K286" s="14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" customHeight="1">
      <c r="A287" s="14"/>
      <c r="B287" s="13"/>
      <c r="C287" s="13"/>
      <c r="D287" s="13"/>
      <c r="E287" s="13"/>
      <c r="F287" s="13"/>
      <c r="G287" s="13"/>
      <c r="H287" s="13"/>
      <c r="I287" s="13"/>
      <c r="J287" s="14"/>
      <c r="K287" s="14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" customHeight="1">
      <c r="A288" s="14"/>
      <c r="B288" s="13"/>
      <c r="C288" s="13"/>
      <c r="D288" s="13"/>
      <c r="E288" s="13"/>
      <c r="F288" s="13"/>
      <c r="G288" s="13"/>
      <c r="H288" s="13"/>
      <c r="I288" s="13"/>
      <c r="J288" s="14"/>
      <c r="K288" s="14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" customHeight="1">
      <c r="A289" s="14"/>
      <c r="B289" s="13"/>
      <c r="C289" s="13"/>
      <c r="D289" s="13"/>
      <c r="E289" s="13"/>
      <c r="F289" s="13"/>
      <c r="G289" s="13"/>
      <c r="H289" s="13"/>
      <c r="I289" s="13"/>
      <c r="J289" s="14"/>
      <c r="K289" s="14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" customHeight="1">
      <c r="A290" s="14"/>
      <c r="B290" s="13"/>
      <c r="C290" s="13"/>
      <c r="D290" s="13"/>
      <c r="E290" s="13"/>
      <c r="F290" s="13"/>
      <c r="G290" s="13"/>
      <c r="H290" s="13"/>
      <c r="I290" s="13"/>
      <c r="J290" s="14"/>
      <c r="K290" s="14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" customHeight="1">
      <c r="A291" s="14"/>
      <c r="B291" s="13"/>
      <c r="C291" s="13"/>
      <c r="D291" s="13"/>
      <c r="E291" s="13"/>
      <c r="F291" s="13"/>
      <c r="G291" s="13"/>
      <c r="H291" s="13"/>
      <c r="I291" s="13"/>
      <c r="J291" s="14"/>
      <c r="K291" s="14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" customHeight="1">
      <c r="A292" s="14"/>
      <c r="B292" s="13"/>
      <c r="C292" s="13"/>
      <c r="D292" s="13"/>
      <c r="E292" s="13"/>
      <c r="F292" s="13"/>
      <c r="G292" s="13"/>
      <c r="H292" s="13"/>
      <c r="I292" s="13"/>
      <c r="J292" s="14"/>
      <c r="K292" s="14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" customHeight="1">
      <c r="A293" s="14"/>
      <c r="B293" s="13"/>
      <c r="C293" s="13"/>
      <c r="D293" s="13"/>
      <c r="E293" s="13"/>
      <c r="F293" s="13"/>
      <c r="G293" s="13"/>
      <c r="H293" s="13"/>
      <c r="I293" s="13"/>
      <c r="J293" s="14"/>
      <c r="K293" s="14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" customHeight="1">
      <c r="A294" s="14"/>
      <c r="B294" s="13"/>
      <c r="C294" s="13"/>
      <c r="D294" s="13"/>
      <c r="E294" s="13"/>
      <c r="F294" s="13"/>
      <c r="G294" s="13"/>
      <c r="H294" s="13"/>
      <c r="I294" s="13"/>
      <c r="J294" s="14"/>
      <c r="K294" s="14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" customHeight="1">
      <c r="A295" s="14"/>
      <c r="B295" s="13"/>
      <c r="C295" s="13"/>
      <c r="D295" s="13"/>
      <c r="E295" s="13"/>
      <c r="F295" s="13"/>
      <c r="G295" s="13"/>
      <c r="H295" s="13"/>
      <c r="I295" s="13"/>
      <c r="J295" s="14"/>
      <c r="K295" s="14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" customHeight="1">
      <c r="A296" s="14"/>
      <c r="B296" s="13"/>
      <c r="C296" s="13"/>
      <c r="D296" s="13"/>
      <c r="E296" s="13"/>
      <c r="F296" s="13"/>
      <c r="G296" s="13"/>
      <c r="H296" s="13"/>
      <c r="I296" s="13"/>
      <c r="J296" s="14"/>
      <c r="K296" s="14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" customHeight="1">
      <c r="A297" s="14"/>
      <c r="B297" s="13"/>
      <c r="C297" s="13"/>
      <c r="D297" s="13"/>
      <c r="E297" s="13"/>
      <c r="F297" s="13"/>
      <c r="G297" s="13"/>
      <c r="H297" s="13"/>
      <c r="I297" s="13"/>
      <c r="J297" s="14"/>
      <c r="K297" s="14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" customHeight="1">
      <c r="A298" s="14"/>
      <c r="B298" s="13"/>
      <c r="C298" s="13"/>
      <c r="D298" s="13"/>
      <c r="E298" s="13"/>
      <c r="F298" s="13"/>
      <c r="G298" s="13"/>
      <c r="H298" s="13"/>
      <c r="I298" s="13"/>
      <c r="J298" s="14"/>
      <c r="K298" s="14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" customHeight="1">
      <c r="A299" s="14"/>
      <c r="B299" s="13"/>
      <c r="C299" s="13"/>
      <c r="D299" s="13"/>
      <c r="E299" s="13"/>
      <c r="F299" s="13"/>
      <c r="G299" s="13"/>
      <c r="H299" s="13"/>
      <c r="I299" s="13"/>
      <c r="J299" s="14"/>
      <c r="K299" s="14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" customHeight="1">
      <c r="A300" s="14"/>
      <c r="B300" s="13"/>
      <c r="C300" s="13"/>
      <c r="D300" s="13"/>
      <c r="E300" s="13"/>
      <c r="F300" s="13"/>
      <c r="G300" s="13"/>
      <c r="H300" s="13"/>
      <c r="I300" s="13"/>
      <c r="J300" s="14"/>
      <c r="K300" s="14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" customHeight="1">
      <c r="A301" s="14"/>
      <c r="B301" s="13"/>
      <c r="C301" s="13"/>
      <c r="D301" s="13"/>
      <c r="E301" s="13"/>
      <c r="F301" s="13"/>
      <c r="G301" s="13"/>
      <c r="H301" s="13"/>
      <c r="I301" s="13"/>
      <c r="J301" s="14"/>
      <c r="K301" s="14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" customHeight="1">
      <c r="A302" s="14"/>
      <c r="B302" s="13"/>
      <c r="C302" s="13"/>
      <c r="D302" s="13"/>
      <c r="E302" s="13"/>
      <c r="F302" s="13"/>
      <c r="G302" s="13"/>
      <c r="H302" s="13"/>
      <c r="I302" s="13"/>
      <c r="J302" s="14"/>
      <c r="K302" s="14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" customHeight="1">
      <c r="A303" s="14"/>
      <c r="B303" s="13"/>
      <c r="C303" s="13"/>
      <c r="D303" s="13"/>
      <c r="E303" s="13"/>
      <c r="F303" s="13"/>
      <c r="G303" s="13"/>
      <c r="H303" s="13"/>
      <c r="I303" s="13"/>
      <c r="J303" s="14"/>
      <c r="K303" s="14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" customHeight="1">
      <c r="A304" s="14"/>
      <c r="B304" s="13"/>
      <c r="C304" s="13"/>
      <c r="D304" s="13"/>
      <c r="E304" s="13"/>
      <c r="F304" s="13"/>
      <c r="G304" s="13"/>
      <c r="H304" s="13"/>
      <c r="I304" s="13"/>
      <c r="J304" s="14"/>
      <c r="K304" s="14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" customHeight="1">
      <c r="A305" s="14"/>
      <c r="B305" s="13"/>
      <c r="C305" s="13"/>
      <c r="D305" s="13"/>
      <c r="E305" s="13"/>
      <c r="F305" s="13"/>
      <c r="G305" s="13"/>
      <c r="H305" s="13"/>
      <c r="I305" s="13"/>
      <c r="J305" s="14"/>
      <c r="K305" s="14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" customHeight="1">
      <c r="A306" s="14"/>
      <c r="B306" s="13"/>
      <c r="C306" s="13"/>
      <c r="D306" s="13"/>
      <c r="E306" s="13"/>
      <c r="F306" s="13"/>
      <c r="G306" s="13"/>
      <c r="H306" s="13"/>
      <c r="I306" s="13"/>
      <c r="J306" s="14"/>
      <c r="K306" s="14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" customHeight="1">
      <c r="A307" s="14"/>
      <c r="B307" s="13"/>
      <c r="C307" s="13"/>
      <c r="D307" s="13"/>
      <c r="E307" s="13"/>
      <c r="F307" s="13"/>
      <c r="G307" s="13"/>
      <c r="H307" s="13"/>
      <c r="I307" s="13"/>
      <c r="J307" s="14"/>
      <c r="K307" s="14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" customHeight="1">
      <c r="A308" s="14"/>
      <c r="B308" s="13"/>
      <c r="C308" s="13"/>
      <c r="D308" s="13"/>
      <c r="E308" s="13"/>
      <c r="F308" s="13"/>
      <c r="G308" s="13"/>
      <c r="H308" s="13"/>
      <c r="I308" s="13"/>
      <c r="J308" s="14"/>
      <c r="K308" s="14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" customHeight="1">
      <c r="A309" s="14"/>
      <c r="B309" s="13"/>
      <c r="C309" s="13"/>
      <c r="D309" s="13"/>
      <c r="E309" s="13"/>
      <c r="F309" s="13"/>
      <c r="G309" s="13"/>
      <c r="H309" s="13"/>
      <c r="I309" s="13"/>
      <c r="J309" s="14"/>
      <c r="K309" s="14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" customHeight="1">
      <c r="A310" s="14"/>
      <c r="B310" s="13"/>
      <c r="C310" s="13"/>
      <c r="D310" s="13"/>
      <c r="E310" s="13"/>
      <c r="F310" s="13"/>
      <c r="G310" s="13"/>
      <c r="H310" s="13"/>
      <c r="I310" s="13"/>
      <c r="J310" s="14"/>
      <c r="K310" s="14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" customHeight="1">
      <c r="A311" s="14"/>
      <c r="B311" s="13"/>
      <c r="C311" s="13"/>
      <c r="D311" s="13"/>
      <c r="E311" s="13"/>
      <c r="F311" s="13"/>
      <c r="G311" s="13"/>
      <c r="H311" s="13"/>
      <c r="I311" s="13"/>
      <c r="J311" s="14"/>
      <c r="K311" s="14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" customHeight="1">
      <c r="A312" s="14"/>
      <c r="B312" s="13"/>
      <c r="C312" s="13"/>
      <c r="D312" s="13"/>
      <c r="E312" s="13"/>
      <c r="F312" s="13"/>
      <c r="G312" s="13"/>
      <c r="H312" s="13"/>
      <c r="I312" s="13"/>
      <c r="J312" s="14"/>
      <c r="K312" s="14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" customHeight="1">
      <c r="A313" s="14"/>
      <c r="B313" s="13"/>
      <c r="C313" s="13"/>
      <c r="D313" s="13"/>
      <c r="E313" s="13"/>
      <c r="F313" s="13"/>
      <c r="G313" s="13"/>
      <c r="H313" s="13"/>
      <c r="I313" s="13"/>
      <c r="J313" s="14"/>
      <c r="K313" s="14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" customHeight="1">
      <c r="A314" s="14"/>
      <c r="B314" s="13"/>
      <c r="C314" s="13"/>
      <c r="D314" s="13"/>
      <c r="E314" s="13"/>
      <c r="F314" s="13"/>
      <c r="G314" s="13"/>
      <c r="H314" s="13"/>
      <c r="I314" s="13"/>
      <c r="J314" s="14"/>
      <c r="K314" s="14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" customHeight="1">
      <c r="A315" s="14"/>
      <c r="B315" s="13"/>
      <c r="C315" s="13"/>
      <c r="D315" s="13"/>
      <c r="E315" s="13"/>
      <c r="F315" s="13"/>
      <c r="G315" s="13"/>
      <c r="H315" s="13"/>
      <c r="I315" s="13"/>
      <c r="J315" s="14"/>
      <c r="K315" s="14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" customHeight="1">
      <c r="A316" s="14"/>
      <c r="B316" s="13"/>
      <c r="C316" s="13"/>
      <c r="D316" s="13"/>
      <c r="E316" s="13"/>
      <c r="F316" s="13"/>
      <c r="G316" s="13"/>
      <c r="H316" s="13"/>
      <c r="I316" s="13"/>
      <c r="J316" s="14"/>
      <c r="K316" s="14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" customHeight="1">
      <c r="A317" s="14"/>
      <c r="B317" s="13"/>
      <c r="C317" s="13"/>
      <c r="D317" s="13"/>
      <c r="E317" s="13"/>
      <c r="F317" s="13"/>
      <c r="G317" s="13"/>
      <c r="H317" s="13"/>
      <c r="I317" s="13"/>
      <c r="J317" s="14"/>
      <c r="K317" s="14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" customHeight="1">
      <c r="A318" s="14"/>
      <c r="B318" s="13"/>
      <c r="C318" s="13"/>
      <c r="D318" s="13"/>
      <c r="E318" s="13"/>
      <c r="F318" s="13"/>
      <c r="G318" s="13"/>
      <c r="H318" s="13"/>
      <c r="I318" s="13"/>
      <c r="J318" s="14"/>
      <c r="K318" s="14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" customHeight="1">
      <c r="A319" s="14"/>
      <c r="B319" s="13"/>
      <c r="C319" s="13"/>
      <c r="D319" s="13"/>
      <c r="E319" s="13"/>
      <c r="F319" s="13"/>
      <c r="G319" s="13"/>
      <c r="H319" s="13"/>
      <c r="I319" s="13"/>
      <c r="J319" s="14"/>
      <c r="K319" s="14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" customHeight="1">
      <c r="A320" s="14"/>
      <c r="B320" s="13"/>
      <c r="C320" s="13"/>
      <c r="D320" s="13"/>
      <c r="E320" s="13"/>
      <c r="F320" s="13"/>
      <c r="G320" s="13"/>
      <c r="H320" s="13"/>
      <c r="I320" s="13"/>
      <c r="J320" s="14"/>
      <c r="K320" s="14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" customHeight="1">
      <c r="A321" s="14"/>
      <c r="B321" s="13"/>
      <c r="C321" s="13"/>
      <c r="D321" s="13"/>
      <c r="E321" s="13"/>
      <c r="F321" s="13"/>
      <c r="G321" s="13"/>
      <c r="H321" s="13"/>
      <c r="I321" s="13"/>
      <c r="J321" s="14"/>
      <c r="K321" s="14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" customHeight="1">
      <c r="A322" s="14"/>
      <c r="B322" s="13"/>
      <c r="C322" s="13"/>
      <c r="D322" s="13"/>
      <c r="E322" s="13"/>
      <c r="F322" s="13"/>
      <c r="G322" s="13"/>
      <c r="H322" s="13"/>
      <c r="I322" s="13"/>
      <c r="J322" s="14"/>
      <c r="K322" s="14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" customHeight="1">
      <c r="A323" s="14"/>
      <c r="B323" s="13"/>
      <c r="C323" s="13"/>
      <c r="D323" s="13"/>
      <c r="E323" s="13"/>
      <c r="F323" s="13"/>
      <c r="G323" s="13"/>
      <c r="H323" s="13"/>
      <c r="I323" s="13"/>
      <c r="J323" s="14"/>
      <c r="K323" s="14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" customHeight="1">
      <c r="A324" s="14"/>
      <c r="B324" s="13"/>
      <c r="C324" s="13"/>
      <c r="D324" s="13"/>
      <c r="E324" s="13"/>
      <c r="F324" s="13"/>
      <c r="G324" s="13"/>
      <c r="H324" s="13"/>
      <c r="I324" s="13"/>
      <c r="J324" s="14"/>
      <c r="K324" s="14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" customHeight="1">
      <c r="A325" s="14"/>
      <c r="B325" s="13"/>
      <c r="C325" s="13"/>
      <c r="D325" s="13"/>
      <c r="E325" s="13"/>
      <c r="F325" s="13"/>
      <c r="G325" s="13"/>
      <c r="H325" s="13"/>
      <c r="I325" s="13"/>
      <c r="J325" s="14"/>
      <c r="K325" s="14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" customHeight="1">
      <c r="A326" s="14"/>
      <c r="B326" s="13"/>
      <c r="C326" s="13"/>
      <c r="D326" s="13"/>
      <c r="E326" s="13"/>
      <c r="F326" s="13"/>
      <c r="G326" s="13"/>
      <c r="H326" s="13"/>
      <c r="I326" s="13"/>
      <c r="J326" s="14"/>
      <c r="K326" s="14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" customHeight="1">
      <c r="A327" s="14"/>
      <c r="B327" s="13"/>
      <c r="C327" s="13"/>
      <c r="D327" s="13"/>
      <c r="E327" s="13"/>
      <c r="F327" s="13"/>
      <c r="G327" s="13"/>
      <c r="H327" s="13"/>
      <c r="I327" s="13"/>
      <c r="J327" s="14"/>
      <c r="K327" s="14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" customHeight="1">
      <c r="A328" s="14"/>
      <c r="B328" s="13"/>
      <c r="C328" s="13"/>
      <c r="D328" s="13"/>
      <c r="E328" s="13"/>
      <c r="F328" s="13"/>
      <c r="G328" s="13"/>
      <c r="H328" s="13"/>
      <c r="I328" s="13"/>
      <c r="J328" s="14"/>
      <c r="K328" s="14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" customHeight="1">
      <c r="A329" s="14"/>
      <c r="B329" s="13"/>
      <c r="C329" s="13"/>
      <c r="D329" s="13"/>
      <c r="E329" s="13"/>
      <c r="F329" s="13"/>
      <c r="G329" s="13"/>
      <c r="H329" s="13"/>
      <c r="I329" s="13"/>
      <c r="J329" s="14"/>
      <c r="K329" s="14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" customHeight="1">
      <c r="A330" s="14"/>
      <c r="B330" s="13"/>
      <c r="C330" s="13"/>
      <c r="D330" s="13"/>
      <c r="E330" s="13"/>
      <c r="F330" s="13"/>
      <c r="G330" s="13"/>
      <c r="H330" s="13"/>
      <c r="I330" s="13"/>
      <c r="J330" s="14"/>
      <c r="K330" s="14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" customHeight="1">
      <c r="A331" s="14"/>
      <c r="B331" s="13"/>
      <c r="C331" s="13"/>
      <c r="D331" s="13"/>
      <c r="E331" s="13"/>
      <c r="F331" s="13"/>
      <c r="G331" s="13"/>
      <c r="H331" s="13"/>
      <c r="I331" s="13"/>
      <c r="J331" s="14"/>
      <c r="K331" s="14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" customHeight="1">
      <c r="A332" s="14"/>
      <c r="B332" s="13"/>
      <c r="C332" s="13"/>
      <c r="D332" s="13"/>
      <c r="E332" s="13"/>
      <c r="F332" s="13"/>
      <c r="G332" s="13"/>
      <c r="H332" s="13"/>
      <c r="I332" s="13"/>
      <c r="J332" s="14"/>
      <c r="K332" s="14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" customHeight="1">
      <c r="A333" s="14"/>
      <c r="B333" s="13"/>
      <c r="C333" s="13"/>
      <c r="D333" s="13"/>
      <c r="E333" s="13"/>
      <c r="F333" s="13"/>
      <c r="G333" s="13"/>
      <c r="H333" s="13"/>
      <c r="I333" s="13"/>
      <c r="J333" s="14"/>
      <c r="K333" s="14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" customHeight="1">
      <c r="A334" s="14"/>
      <c r="B334" s="13"/>
      <c r="C334" s="13"/>
      <c r="D334" s="13"/>
      <c r="E334" s="13"/>
      <c r="F334" s="13"/>
      <c r="G334" s="13"/>
      <c r="H334" s="13"/>
      <c r="I334" s="13"/>
      <c r="J334" s="14"/>
      <c r="K334" s="14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" customHeight="1">
      <c r="A335" s="14"/>
      <c r="B335" s="13"/>
      <c r="C335" s="13"/>
      <c r="D335" s="13"/>
      <c r="E335" s="13"/>
      <c r="F335" s="13"/>
      <c r="G335" s="13"/>
      <c r="H335" s="13"/>
      <c r="I335" s="13"/>
      <c r="J335" s="14"/>
      <c r="K335" s="14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" customHeight="1">
      <c r="A336" s="14"/>
      <c r="B336" s="13"/>
      <c r="C336" s="13"/>
      <c r="D336" s="13"/>
      <c r="E336" s="13"/>
      <c r="F336" s="13"/>
      <c r="G336" s="13"/>
      <c r="H336" s="13"/>
      <c r="I336" s="13"/>
      <c r="J336" s="14"/>
      <c r="K336" s="14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" customHeight="1">
      <c r="A337" s="14"/>
      <c r="B337" s="13"/>
      <c r="C337" s="13"/>
      <c r="D337" s="13"/>
      <c r="E337" s="13"/>
      <c r="F337" s="13"/>
      <c r="G337" s="13"/>
      <c r="H337" s="13"/>
      <c r="I337" s="13"/>
      <c r="J337" s="14"/>
      <c r="K337" s="14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" customHeight="1">
      <c r="A338" s="14"/>
      <c r="B338" s="13"/>
      <c r="C338" s="13"/>
      <c r="D338" s="13"/>
      <c r="E338" s="13"/>
      <c r="F338" s="13"/>
      <c r="G338" s="13"/>
      <c r="H338" s="13"/>
      <c r="I338" s="13"/>
      <c r="J338" s="14"/>
      <c r="K338" s="14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" customHeight="1">
      <c r="A339" s="14"/>
      <c r="B339" s="13"/>
      <c r="C339" s="13"/>
      <c r="D339" s="13"/>
      <c r="E339" s="13"/>
      <c r="F339" s="13"/>
      <c r="G339" s="13"/>
      <c r="H339" s="13"/>
      <c r="I339" s="13"/>
      <c r="J339" s="14"/>
      <c r="K339" s="14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" customHeight="1">
      <c r="A340" s="14"/>
      <c r="B340" s="13"/>
      <c r="C340" s="13"/>
      <c r="D340" s="13"/>
      <c r="E340" s="13"/>
      <c r="F340" s="13"/>
      <c r="G340" s="13"/>
      <c r="H340" s="13"/>
      <c r="I340" s="13"/>
      <c r="J340" s="14"/>
      <c r="K340" s="14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" customHeight="1">
      <c r="A341" s="14"/>
      <c r="B341" s="13"/>
      <c r="C341" s="13"/>
      <c r="D341" s="13"/>
      <c r="E341" s="13"/>
      <c r="F341" s="13"/>
      <c r="G341" s="13"/>
      <c r="H341" s="13"/>
      <c r="I341" s="13"/>
      <c r="J341" s="14"/>
      <c r="K341" s="14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" customHeight="1">
      <c r="A342" s="14"/>
      <c r="B342" s="13"/>
      <c r="C342" s="13"/>
      <c r="D342" s="13"/>
      <c r="E342" s="13"/>
      <c r="F342" s="13"/>
      <c r="G342" s="13"/>
      <c r="H342" s="13"/>
      <c r="I342" s="13"/>
      <c r="J342" s="14"/>
      <c r="K342" s="14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" customHeight="1">
      <c r="A343" s="14"/>
      <c r="B343" s="13"/>
      <c r="C343" s="13"/>
      <c r="D343" s="13"/>
      <c r="E343" s="13"/>
      <c r="F343" s="13"/>
      <c r="G343" s="13"/>
      <c r="H343" s="13"/>
      <c r="I343" s="13"/>
      <c r="J343" s="14"/>
      <c r="K343" s="14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" customHeight="1">
      <c r="A344" s="14"/>
      <c r="B344" s="13"/>
      <c r="C344" s="13"/>
      <c r="D344" s="13"/>
      <c r="E344" s="13"/>
      <c r="F344" s="13"/>
      <c r="G344" s="13"/>
      <c r="H344" s="13"/>
      <c r="I344" s="13"/>
      <c r="J344" s="14"/>
      <c r="K344" s="14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" customHeight="1">
      <c r="A345" s="14"/>
      <c r="B345" s="13"/>
      <c r="C345" s="13"/>
      <c r="D345" s="13"/>
      <c r="E345" s="13"/>
      <c r="F345" s="13"/>
      <c r="G345" s="13"/>
      <c r="H345" s="13"/>
      <c r="I345" s="13"/>
      <c r="J345" s="14"/>
      <c r="K345" s="14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" customHeight="1">
      <c r="A346" s="14"/>
      <c r="B346" s="13"/>
      <c r="C346" s="13"/>
      <c r="D346" s="13"/>
      <c r="E346" s="13"/>
      <c r="F346" s="13"/>
      <c r="G346" s="13"/>
      <c r="H346" s="13"/>
      <c r="I346" s="13"/>
      <c r="J346" s="14"/>
      <c r="K346" s="14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" customHeight="1">
      <c r="A347" s="14"/>
      <c r="B347" s="13"/>
      <c r="C347" s="13"/>
      <c r="D347" s="13"/>
      <c r="E347" s="13"/>
      <c r="F347" s="13"/>
      <c r="G347" s="13"/>
      <c r="H347" s="13"/>
      <c r="I347" s="13"/>
      <c r="J347" s="14"/>
      <c r="K347" s="14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" customHeight="1">
      <c r="A348" s="14"/>
      <c r="B348" s="13"/>
      <c r="C348" s="13"/>
      <c r="D348" s="13"/>
      <c r="E348" s="13"/>
      <c r="F348" s="13"/>
      <c r="G348" s="13"/>
      <c r="H348" s="13"/>
      <c r="I348" s="13"/>
      <c r="J348" s="14"/>
      <c r="K348" s="14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" customHeight="1">
      <c r="A349" s="14"/>
      <c r="B349" s="13"/>
      <c r="C349" s="13"/>
      <c r="D349" s="13"/>
      <c r="E349" s="13"/>
      <c r="F349" s="13"/>
      <c r="G349" s="13"/>
      <c r="H349" s="13"/>
      <c r="I349" s="13"/>
      <c r="J349" s="14"/>
      <c r="K349" s="14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" customHeight="1">
      <c r="A350" s="14"/>
      <c r="B350" s="13"/>
      <c r="C350" s="13"/>
      <c r="D350" s="13"/>
      <c r="E350" s="13"/>
      <c r="F350" s="13"/>
      <c r="G350" s="13"/>
      <c r="H350" s="13"/>
      <c r="I350" s="13"/>
      <c r="J350" s="14"/>
      <c r="K350" s="14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" customHeight="1">
      <c r="A351" s="14"/>
      <c r="B351" s="13"/>
      <c r="C351" s="13"/>
      <c r="D351" s="13"/>
      <c r="E351" s="13"/>
      <c r="F351" s="13"/>
      <c r="G351" s="13"/>
      <c r="H351" s="13"/>
      <c r="I351" s="13"/>
      <c r="J351" s="14"/>
      <c r="K351" s="14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" customHeight="1">
      <c r="A352" s="14"/>
      <c r="B352" s="13"/>
      <c r="C352" s="13"/>
      <c r="D352" s="13"/>
      <c r="E352" s="13"/>
      <c r="F352" s="13"/>
      <c r="G352" s="13"/>
      <c r="H352" s="13"/>
      <c r="I352" s="13"/>
      <c r="J352" s="14"/>
      <c r="K352" s="14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" customHeight="1">
      <c r="A353" s="14"/>
      <c r="B353" s="13"/>
      <c r="C353" s="13"/>
      <c r="D353" s="13"/>
      <c r="E353" s="13"/>
      <c r="F353" s="13"/>
      <c r="G353" s="13"/>
      <c r="H353" s="13"/>
      <c r="I353" s="13"/>
      <c r="J353" s="14"/>
      <c r="K353" s="14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" customHeight="1">
      <c r="A354" s="14"/>
      <c r="B354" s="13"/>
      <c r="C354" s="13"/>
      <c r="D354" s="13"/>
      <c r="E354" s="13"/>
      <c r="F354" s="13"/>
      <c r="G354" s="13"/>
      <c r="H354" s="13"/>
      <c r="I354" s="13"/>
      <c r="J354" s="14"/>
      <c r="K354" s="14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" customHeight="1">
      <c r="A355" s="14"/>
      <c r="B355" s="13"/>
      <c r="C355" s="13"/>
      <c r="D355" s="13"/>
      <c r="E355" s="13"/>
      <c r="F355" s="13"/>
      <c r="G355" s="13"/>
      <c r="H355" s="13"/>
      <c r="I355" s="13"/>
      <c r="J355" s="14"/>
      <c r="K355" s="14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" customHeight="1">
      <c r="A356" s="14"/>
      <c r="B356" s="13"/>
      <c r="C356" s="13"/>
      <c r="D356" s="13"/>
      <c r="E356" s="13"/>
      <c r="F356" s="13"/>
      <c r="G356" s="13"/>
      <c r="H356" s="13"/>
      <c r="I356" s="13"/>
      <c r="J356" s="14"/>
      <c r="K356" s="14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" customHeight="1">
      <c r="A357" s="14"/>
      <c r="B357" s="13"/>
      <c r="C357" s="13"/>
      <c r="D357" s="13"/>
      <c r="E357" s="13"/>
      <c r="F357" s="13"/>
      <c r="G357" s="13"/>
      <c r="H357" s="13"/>
      <c r="I357" s="13"/>
      <c r="J357" s="14"/>
      <c r="K357" s="14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" customHeight="1">
      <c r="A358" s="14"/>
      <c r="B358" s="13"/>
      <c r="C358" s="13"/>
      <c r="D358" s="13"/>
      <c r="E358" s="13"/>
      <c r="F358" s="13"/>
      <c r="G358" s="13"/>
      <c r="H358" s="13"/>
      <c r="I358" s="13"/>
      <c r="J358" s="14"/>
      <c r="K358" s="14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" customHeight="1">
      <c r="A359" s="14"/>
      <c r="B359" s="13"/>
      <c r="C359" s="13"/>
      <c r="D359" s="13"/>
      <c r="E359" s="13"/>
      <c r="F359" s="13"/>
      <c r="G359" s="13"/>
      <c r="H359" s="13"/>
      <c r="I359" s="13"/>
      <c r="J359" s="14"/>
      <c r="K359" s="14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" customHeight="1">
      <c r="A360" s="14"/>
      <c r="B360" s="13"/>
      <c r="C360" s="13"/>
      <c r="D360" s="13"/>
      <c r="E360" s="13"/>
      <c r="F360" s="13"/>
      <c r="G360" s="13"/>
      <c r="H360" s="13"/>
      <c r="I360" s="13"/>
      <c r="J360" s="14"/>
      <c r="K360" s="14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" customHeight="1">
      <c r="A361" s="14"/>
      <c r="B361" s="13"/>
      <c r="C361" s="13"/>
      <c r="D361" s="13"/>
      <c r="E361" s="13"/>
      <c r="F361" s="13"/>
      <c r="G361" s="13"/>
      <c r="H361" s="13"/>
      <c r="I361" s="13"/>
      <c r="J361" s="14"/>
      <c r="K361" s="14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" customHeight="1">
      <c r="A362" s="14"/>
      <c r="B362" s="13"/>
      <c r="C362" s="13"/>
      <c r="D362" s="13"/>
      <c r="E362" s="13"/>
      <c r="F362" s="13"/>
      <c r="G362" s="13"/>
      <c r="H362" s="13"/>
      <c r="I362" s="13"/>
      <c r="J362" s="14"/>
      <c r="K362" s="14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" customHeight="1">
      <c r="A363" s="14"/>
      <c r="B363" s="13"/>
      <c r="C363" s="13"/>
      <c r="D363" s="13"/>
      <c r="E363" s="13"/>
      <c r="F363" s="13"/>
      <c r="G363" s="13"/>
      <c r="H363" s="13"/>
      <c r="I363" s="13"/>
      <c r="J363" s="14"/>
      <c r="K363" s="14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" customHeight="1">
      <c r="A364" s="14"/>
      <c r="B364" s="13"/>
      <c r="C364" s="13"/>
      <c r="D364" s="13"/>
      <c r="E364" s="13"/>
      <c r="F364" s="13"/>
      <c r="G364" s="13"/>
      <c r="H364" s="13"/>
      <c r="I364" s="13"/>
      <c r="J364" s="14"/>
      <c r="K364" s="14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" customHeight="1">
      <c r="A365" s="14"/>
      <c r="B365" s="13"/>
      <c r="C365" s="13"/>
      <c r="D365" s="13"/>
      <c r="E365" s="13"/>
      <c r="F365" s="13"/>
      <c r="G365" s="13"/>
      <c r="H365" s="13"/>
      <c r="I365" s="13"/>
      <c r="J365" s="14"/>
      <c r="K365" s="14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" customHeight="1">
      <c r="A366" s="14"/>
      <c r="B366" s="13"/>
      <c r="C366" s="13"/>
      <c r="D366" s="13"/>
      <c r="E366" s="13"/>
      <c r="F366" s="13"/>
      <c r="G366" s="13"/>
      <c r="H366" s="13"/>
      <c r="I366" s="13"/>
      <c r="J366" s="14"/>
      <c r="K366" s="14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" customHeight="1">
      <c r="A367" s="14"/>
      <c r="B367" s="13"/>
      <c r="C367" s="13"/>
      <c r="D367" s="13"/>
      <c r="E367" s="13"/>
      <c r="F367" s="13"/>
      <c r="G367" s="13"/>
      <c r="H367" s="13"/>
      <c r="I367" s="13"/>
      <c r="J367" s="14"/>
      <c r="K367" s="14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" customHeight="1">
      <c r="A368" s="14"/>
      <c r="B368" s="13"/>
      <c r="C368" s="13"/>
      <c r="D368" s="13"/>
      <c r="E368" s="13"/>
      <c r="F368" s="13"/>
      <c r="G368" s="13"/>
      <c r="H368" s="13"/>
      <c r="I368" s="13"/>
      <c r="J368" s="14"/>
      <c r="K368" s="14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" customHeight="1">
      <c r="A369" s="14"/>
      <c r="B369" s="13"/>
      <c r="C369" s="13"/>
      <c r="D369" s="13"/>
      <c r="E369" s="13"/>
      <c r="F369" s="13"/>
      <c r="G369" s="13"/>
      <c r="H369" s="13"/>
      <c r="I369" s="13"/>
      <c r="J369" s="14"/>
      <c r="K369" s="14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" customHeight="1">
      <c r="A370" s="14"/>
      <c r="B370" s="13"/>
      <c r="C370" s="13"/>
      <c r="D370" s="13"/>
      <c r="E370" s="13"/>
      <c r="F370" s="13"/>
      <c r="G370" s="13"/>
      <c r="H370" s="13"/>
      <c r="I370" s="13"/>
      <c r="J370" s="14"/>
      <c r="K370" s="14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" customHeight="1">
      <c r="A371" s="14"/>
      <c r="B371" s="13"/>
      <c r="C371" s="13"/>
      <c r="D371" s="13"/>
      <c r="E371" s="13"/>
      <c r="F371" s="13"/>
      <c r="G371" s="13"/>
      <c r="H371" s="13"/>
      <c r="I371" s="13"/>
      <c r="J371" s="14"/>
      <c r="K371" s="14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" customHeight="1">
      <c r="A372" s="14"/>
      <c r="B372" s="13"/>
      <c r="C372" s="13"/>
      <c r="D372" s="13"/>
      <c r="E372" s="13"/>
      <c r="F372" s="13"/>
      <c r="G372" s="13"/>
      <c r="H372" s="13"/>
      <c r="I372" s="13"/>
      <c r="J372" s="14"/>
      <c r="K372" s="14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" customHeight="1">
      <c r="A373" s="14"/>
      <c r="B373" s="13"/>
      <c r="C373" s="13"/>
      <c r="D373" s="13"/>
      <c r="E373" s="13"/>
      <c r="F373" s="13"/>
      <c r="G373" s="13"/>
      <c r="H373" s="13"/>
      <c r="I373" s="13"/>
      <c r="J373" s="14"/>
      <c r="K373" s="14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" customHeight="1">
      <c r="A374" s="14"/>
      <c r="B374" s="13"/>
      <c r="C374" s="13"/>
      <c r="D374" s="13"/>
      <c r="E374" s="13"/>
      <c r="F374" s="13"/>
      <c r="G374" s="13"/>
      <c r="H374" s="13"/>
      <c r="I374" s="13"/>
      <c r="J374" s="14"/>
      <c r="K374" s="14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" customHeight="1">
      <c r="A375" s="14"/>
      <c r="B375" s="13"/>
      <c r="C375" s="13"/>
      <c r="D375" s="13"/>
      <c r="E375" s="13"/>
      <c r="F375" s="13"/>
      <c r="G375" s="13"/>
      <c r="H375" s="13"/>
      <c r="I375" s="13"/>
      <c r="J375" s="14"/>
      <c r="K375" s="14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" customHeight="1">
      <c r="A376" s="14"/>
      <c r="B376" s="13"/>
      <c r="C376" s="13"/>
      <c r="D376" s="13"/>
      <c r="E376" s="13"/>
      <c r="F376" s="13"/>
      <c r="G376" s="13"/>
      <c r="H376" s="13"/>
      <c r="I376" s="13"/>
      <c r="J376" s="14"/>
      <c r="K376" s="14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" customHeight="1">
      <c r="A377" s="14"/>
      <c r="B377" s="13"/>
      <c r="C377" s="13"/>
      <c r="D377" s="13"/>
      <c r="E377" s="13"/>
      <c r="F377" s="13"/>
      <c r="G377" s="13"/>
      <c r="H377" s="13"/>
      <c r="I377" s="13"/>
      <c r="J377" s="14"/>
      <c r="K377" s="14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" customHeight="1">
      <c r="A378" s="14"/>
      <c r="B378" s="13"/>
      <c r="C378" s="13"/>
      <c r="D378" s="13"/>
      <c r="E378" s="13"/>
      <c r="F378" s="13"/>
      <c r="G378" s="13"/>
      <c r="H378" s="13"/>
      <c r="I378" s="13"/>
      <c r="J378" s="14"/>
      <c r="K378" s="14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" customHeight="1">
      <c r="A379" s="14"/>
      <c r="B379" s="13"/>
      <c r="C379" s="13"/>
      <c r="D379" s="13"/>
      <c r="E379" s="13"/>
      <c r="F379" s="13"/>
      <c r="G379" s="13"/>
      <c r="H379" s="13"/>
      <c r="I379" s="13"/>
      <c r="J379" s="14"/>
      <c r="K379" s="14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" customHeight="1">
      <c r="A380" s="14"/>
      <c r="B380" s="13"/>
      <c r="C380" s="13"/>
      <c r="D380" s="13"/>
      <c r="E380" s="13"/>
      <c r="F380" s="13"/>
      <c r="G380" s="13"/>
      <c r="H380" s="13"/>
      <c r="I380" s="13"/>
      <c r="J380" s="14"/>
      <c r="K380" s="14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" customHeight="1">
      <c r="A381" s="14"/>
      <c r="B381" s="13"/>
      <c r="C381" s="13"/>
      <c r="D381" s="13"/>
      <c r="E381" s="13"/>
      <c r="F381" s="13"/>
      <c r="G381" s="13"/>
      <c r="H381" s="13"/>
      <c r="I381" s="13"/>
      <c r="J381" s="14"/>
      <c r="K381" s="14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" customHeight="1">
      <c r="A382" s="14"/>
      <c r="B382" s="13"/>
      <c r="C382" s="13"/>
      <c r="D382" s="13"/>
      <c r="E382" s="13"/>
      <c r="F382" s="13"/>
      <c r="G382" s="13"/>
      <c r="H382" s="13"/>
      <c r="I382" s="13"/>
      <c r="J382" s="14"/>
      <c r="K382" s="14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" customHeight="1">
      <c r="A383" s="14"/>
      <c r="B383" s="13"/>
      <c r="C383" s="13"/>
      <c r="D383" s="13"/>
      <c r="E383" s="13"/>
      <c r="F383" s="13"/>
      <c r="G383" s="13"/>
      <c r="H383" s="13"/>
      <c r="I383" s="13"/>
      <c r="J383" s="14"/>
      <c r="K383" s="14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" customHeight="1">
      <c r="A384" s="14"/>
      <c r="B384" s="13"/>
      <c r="C384" s="13"/>
      <c r="D384" s="13"/>
      <c r="E384" s="13"/>
      <c r="F384" s="13"/>
      <c r="G384" s="13"/>
      <c r="H384" s="13"/>
      <c r="I384" s="13"/>
      <c r="J384" s="14"/>
      <c r="K384" s="14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" customHeight="1">
      <c r="A385" s="14"/>
      <c r="B385" s="13"/>
      <c r="C385" s="13"/>
      <c r="D385" s="13"/>
      <c r="E385" s="13"/>
      <c r="F385" s="13"/>
      <c r="G385" s="13"/>
      <c r="H385" s="13"/>
      <c r="I385" s="13"/>
      <c r="J385" s="14"/>
      <c r="K385" s="14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" customHeight="1">
      <c r="A386" s="14"/>
      <c r="B386" s="13"/>
      <c r="C386" s="13"/>
      <c r="D386" s="13"/>
      <c r="E386" s="13"/>
      <c r="F386" s="13"/>
      <c r="G386" s="13"/>
      <c r="H386" s="13"/>
      <c r="I386" s="13"/>
      <c r="J386" s="14"/>
      <c r="K386" s="14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" customHeight="1">
      <c r="A387" s="14"/>
      <c r="B387" s="13"/>
      <c r="C387" s="13"/>
      <c r="D387" s="13"/>
      <c r="E387" s="13"/>
      <c r="F387" s="13"/>
      <c r="G387" s="13"/>
      <c r="H387" s="13"/>
      <c r="I387" s="13"/>
      <c r="J387" s="14"/>
      <c r="K387" s="14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" customHeight="1">
      <c r="A388" s="14"/>
      <c r="B388" s="13"/>
      <c r="C388" s="13"/>
      <c r="D388" s="13"/>
      <c r="E388" s="13"/>
      <c r="F388" s="13"/>
      <c r="G388" s="13"/>
      <c r="H388" s="13"/>
      <c r="I388" s="13"/>
      <c r="J388" s="14"/>
      <c r="K388" s="14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" customHeight="1">
      <c r="A389" s="14"/>
      <c r="B389" s="13"/>
      <c r="C389" s="13"/>
      <c r="D389" s="13"/>
      <c r="E389" s="13"/>
      <c r="F389" s="13"/>
      <c r="G389" s="13"/>
      <c r="H389" s="13"/>
      <c r="I389" s="13"/>
      <c r="J389" s="14"/>
      <c r="K389" s="14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" customHeight="1">
      <c r="A390" s="14"/>
      <c r="B390" s="13"/>
      <c r="C390" s="13"/>
      <c r="D390" s="13"/>
      <c r="E390" s="13"/>
      <c r="F390" s="13"/>
      <c r="G390" s="13"/>
      <c r="H390" s="13"/>
      <c r="I390" s="13"/>
      <c r="J390" s="14"/>
      <c r="K390" s="14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" customHeight="1">
      <c r="A391" s="14"/>
      <c r="B391" s="13"/>
      <c r="C391" s="13"/>
      <c r="D391" s="13"/>
      <c r="E391" s="13"/>
      <c r="F391" s="13"/>
      <c r="G391" s="13"/>
      <c r="H391" s="13"/>
      <c r="I391" s="13"/>
      <c r="J391" s="14"/>
      <c r="K391" s="14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" customHeight="1">
      <c r="A392" s="14"/>
      <c r="B392" s="13"/>
      <c r="C392" s="13"/>
      <c r="D392" s="13"/>
      <c r="E392" s="13"/>
      <c r="F392" s="13"/>
      <c r="G392" s="13"/>
      <c r="H392" s="13"/>
      <c r="I392" s="13"/>
      <c r="J392" s="14"/>
      <c r="K392" s="14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" customHeight="1">
      <c r="A393" s="14"/>
      <c r="B393" s="13"/>
      <c r="C393" s="13"/>
      <c r="D393" s="13"/>
      <c r="E393" s="13"/>
      <c r="F393" s="13"/>
      <c r="G393" s="13"/>
      <c r="H393" s="13"/>
      <c r="I393" s="13"/>
      <c r="J393" s="14"/>
      <c r="K393" s="14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" customHeight="1">
      <c r="A394" s="14"/>
      <c r="B394" s="13"/>
      <c r="C394" s="13"/>
      <c r="D394" s="13"/>
      <c r="E394" s="13"/>
      <c r="F394" s="13"/>
      <c r="G394" s="13"/>
      <c r="H394" s="13"/>
      <c r="I394" s="13"/>
      <c r="J394" s="14"/>
      <c r="K394" s="14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" customHeight="1">
      <c r="A395" s="14"/>
      <c r="B395" s="13"/>
      <c r="C395" s="13"/>
      <c r="D395" s="13"/>
      <c r="E395" s="13"/>
      <c r="F395" s="13"/>
      <c r="G395" s="13"/>
      <c r="H395" s="13"/>
      <c r="I395" s="13"/>
      <c r="J395" s="14"/>
      <c r="K395" s="14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" customHeight="1">
      <c r="A396" s="14"/>
      <c r="B396" s="13"/>
      <c r="C396" s="13"/>
      <c r="D396" s="13"/>
      <c r="E396" s="13"/>
      <c r="F396" s="13"/>
      <c r="G396" s="13"/>
      <c r="H396" s="13"/>
      <c r="I396" s="13"/>
      <c r="J396" s="14"/>
      <c r="K396" s="14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" customHeight="1">
      <c r="A397" s="14"/>
      <c r="B397" s="13"/>
      <c r="C397" s="13"/>
      <c r="D397" s="13"/>
      <c r="E397" s="13"/>
      <c r="F397" s="13"/>
      <c r="G397" s="13"/>
      <c r="H397" s="13"/>
      <c r="I397" s="13"/>
      <c r="J397" s="14"/>
      <c r="K397" s="14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" customHeight="1">
      <c r="A398" s="14"/>
      <c r="B398" s="13"/>
      <c r="C398" s="13"/>
      <c r="D398" s="13"/>
      <c r="E398" s="13"/>
      <c r="F398" s="13"/>
      <c r="G398" s="13"/>
      <c r="H398" s="13"/>
      <c r="I398" s="13"/>
      <c r="J398" s="14"/>
      <c r="K398" s="14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" customHeight="1">
      <c r="A399" s="14"/>
      <c r="B399" s="13"/>
      <c r="C399" s="13"/>
      <c r="D399" s="13"/>
      <c r="E399" s="13"/>
      <c r="F399" s="13"/>
      <c r="G399" s="13"/>
      <c r="H399" s="13"/>
      <c r="I399" s="13"/>
      <c r="J399" s="14"/>
      <c r="K399" s="14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" customHeight="1">
      <c r="A400" s="14"/>
      <c r="B400" s="13"/>
      <c r="C400" s="13"/>
      <c r="D400" s="13"/>
      <c r="E400" s="13"/>
      <c r="F400" s="13"/>
      <c r="G400" s="13"/>
      <c r="H400" s="13"/>
      <c r="I400" s="13"/>
      <c r="J400" s="14"/>
      <c r="K400" s="14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" customHeight="1">
      <c r="A401" s="14"/>
      <c r="B401" s="13"/>
      <c r="C401" s="13"/>
      <c r="D401" s="13"/>
      <c r="E401" s="13"/>
      <c r="F401" s="13"/>
      <c r="G401" s="13"/>
      <c r="H401" s="13"/>
      <c r="I401" s="13"/>
      <c r="J401" s="14"/>
      <c r="K401" s="14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" customHeight="1">
      <c r="A402" s="14"/>
      <c r="B402" s="13"/>
      <c r="C402" s="13"/>
      <c r="D402" s="13"/>
      <c r="E402" s="13"/>
      <c r="F402" s="13"/>
      <c r="G402" s="13"/>
      <c r="H402" s="13"/>
      <c r="I402" s="13"/>
      <c r="J402" s="14"/>
      <c r="K402" s="14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" customHeight="1">
      <c r="A403" s="14"/>
      <c r="B403" s="13"/>
      <c r="C403" s="13"/>
      <c r="D403" s="13"/>
      <c r="E403" s="13"/>
      <c r="F403" s="13"/>
      <c r="G403" s="13"/>
      <c r="H403" s="13"/>
      <c r="I403" s="13"/>
      <c r="J403" s="14"/>
      <c r="K403" s="14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" customHeight="1">
      <c r="A404" s="14"/>
      <c r="B404" s="13"/>
      <c r="C404" s="13"/>
      <c r="D404" s="13"/>
      <c r="E404" s="13"/>
      <c r="F404" s="13"/>
      <c r="G404" s="13"/>
      <c r="H404" s="13"/>
      <c r="I404" s="13"/>
      <c r="J404" s="14"/>
      <c r="K404" s="14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" customHeight="1">
      <c r="A405" s="14"/>
      <c r="B405" s="13"/>
      <c r="C405" s="13"/>
      <c r="D405" s="13"/>
      <c r="E405" s="13"/>
      <c r="F405" s="13"/>
      <c r="G405" s="13"/>
      <c r="H405" s="13"/>
      <c r="I405" s="13"/>
      <c r="J405" s="14"/>
      <c r="K405" s="14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" customHeight="1">
      <c r="A406" s="14"/>
      <c r="B406" s="13"/>
      <c r="C406" s="13"/>
      <c r="D406" s="13"/>
      <c r="E406" s="13"/>
      <c r="F406" s="13"/>
      <c r="G406" s="13"/>
      <c r="H406" s="13"/>
      <c r="I406" s="13"/>
      <c r="J406" s="14"/>
      <c r="K406" s="14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" customHeight="1">
      <c r="A407" s="14"/>
      <c r="B407" s="13"/>
      <c r="C407" s="13"/>
      <c r="D407" s="13"/>
      <c r="E407" s="13"/>
      <c r="F407" s="13"/>
      <c r="G407" s="13"/>
      <c r="H407" s="13"/>
      <c r="I407" s="13"/>
      <c r="J407" s="14"/>
      <c r="K407" s="14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" customHeight="1">
      <c r="A408" s="14"/>
      <c r="B408" s="13"/>
      <c r="C408" s="13"/>
      <c r="D408" s="13"/>
      <c r="E408" s="13"/>
      <c r="F408" s="13"/>
      <c r="G408" s="13"/>
      <c r="H408" s="13"/>
      <c r="I408" s="13"/>
      <c r="J408" s="14"/>
      <c r="K408" s="14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" customHeight="1">
      <c r="A409" s="14"/>
      <c r="B409" s="13"/>
      <c r="C409" s="13"/>
      <c r="D409" s="13"/>
      <c r="E409" s="13"/>
      <c r="F409" s="13"/>
      <c r="G409" s="13"/>
      <c r="H409" s="13"/>
      <c r="I409" s="13"/>
      <c r="J409" s="14"/>
      <c r="K409" s="14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" customHeight="1">
      <c r="A410" s="14"/>
      <c r="B410" s="13"/>
      <c r="C410" s="13"/>
      <c r="D410" s="13"/>
      <c r="E410" s="13"/>
      <c r="F410" s="13"/>
      <c r="G410" s="13"/>
      <c r="H410" s="13"/>
      <c r="I410" s="13"/>
      <c r="J410" s="14"/>
      <c r="K410" s="14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" customHeight="1">
      <c r="A411" s="14"/>
      <c r="B411" s="13"/>
      <c r="C411" s="13"/>
      <c r="D411" s="13"/>
      <c r="E411" s="13"/>
      <c r="F411" s="13"/>
      <c r="G411" s="13"/>
      <c r="H411" s="13"/>
      <c r="I411" s="13"/>
      <c r="J411" s="14"/>
      <c r="K411" s="14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" customHeight="1">
      <c r="A412" s="14"/>
      <c r="B412" s="13"/>
      <c r="C412" s="13"/>
      <c r="D412" s="13"/>
      <c r="E412" s="13"/>
      <c r="F412" s="13"/>
      <c r="G412" s="13"/>
      <c r="H412" s="13"/>
      <c r="I412" s="13"/>
      <c r="J412" s="14"/>
      <c r="K412" s="14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" customHeight="1">
      <c r="A413" s="14"/>
      <c r="B413" s="13"/>
      <c r="C413" s="13"/>
      <c r="D413" s="13"/>
      <c r="E413" s="13"/>
      <c r="F413" s="13"/>
      <c r="G413" s="13"/>
      <c r="H413" s="13"/>
      <c r="I413" s="13"/>
      <c r="J413" s="14"/>
      <c r="K413" s="14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" customHeight="1">
      <c r="A414" s="14"/>
      <c r="B414" s="13"/>
      <c r="C414" s="13"/>
      <c r="D414" s="13"/>
      <c r="E414" s="13"/>
      <c r="F414" s="13"/>
      <c r="G414" s="13"/>
      <c r="H414" s="13"/>
      <c r="I414" s="13"/>
      <c r="J414" s="14"/>
      <c r="K414" s="14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" customHeight="1">
      <c r="A415" s="14"/>
      <c r="B415" s="13"/>
      <c r="C415" s="13"/>
      <c r="D415" s="13"/>
      <c r="E415" s="13"/>
      <c r="F415" s="13"/>
      <c r="G415" s="13"/>
      <c r="H415" s="13"/>
      <c r="I415" s="13"/>
      <c r="J415" s="14"/>
      <c r="K415" s="14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" customHeight="1">
      <c r="A416" s="14"/>
      <c r="B416" s="13"/>
      <c r="C416" s="13"/>
      <c r="D416" s="13"/>
      <c r="E416" s="13"/>
      <c r="F416" s="13"/>
      <c r="G416" s="13"/>
      <c r="H416" s="13"/>
      <c r="I416" s="13"/>
      <c r="J416" s="14"/>
      <c r="K416" s="14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" customHeight="1">
      <c r="A417" s="14"/>
      <c r="B417" s="13"/>
      <c r="C417" s="13"/>
      <c r="D417" s="13"/>
      <c r="E417" s="13"/>
      <c r="F417" s="13"/>
      <c r="G417" s="13"/>
      <c r="H417" s="13"/>
      <c r="I417" s="13"/>
      <c r="J417" s="14"/>
      <c r="K417" s="14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" customHeight="1">
      <c r="A418" s="14"/>
      <c r="B418" s="13"/>
      <c r="C418" s="13"/>
      <c r="D418" s="13"/>
      <c r="E418" s="13"/>
      <c r="F418" s="13"/>
      <c r="G418" s="13"/>
      <c r="H418" s="13"/>
      <c r="I418" s="13"/>
      <c r="J418" s="14"/>
      <c r="K418" s="14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" customHeight="1">
      <c r="A419" s="14"/>
      <c r="B419" s="13"/>
      <c r="C419" s="13"/>
      <c r="D419" s="13"/>
      <c r="E419" s="13"/>
      <c r="F419" s="13"/>
      <c r="G419" s="13"/>
      <c r="H419" s="13"/>
      <c r="I419" s="13"/>
      <c r="J419" s="14"/>
      <c r="K419" s="14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" customHeight="1">
      <c r="A420" s="14"/>
      <c r="B420" s="13"/>
      <c r="C420" s="13"/>
      <c r="D420" s="13"/>
      <c r="E420" s="13"/>
      <c r="F420" s="13"/>
      <c r="G420" s="13"/>
      <c r="H420" s="13"/>
      <c r="I420" s="13"/>
      <c r="J420" s="14"/>
      <c r="K420" s="14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" customHeight="1">
      <c r="A421" s="14"/>
      <c r="B421" s="13"/>
      <c r="C421" s="13"/>
      <c r="D421" s="13"/>
      <c r="E421" s="13"/>
      <c r="F421" s="13"/>
      <c r="G421" s="13"/>
      <c r="H421" s="13"/>
      <c r="I421" s="13"/>
      <c r="J421" s="14"/>
      <c r="K421" s="14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" customHeight="1">
      <c r="A422" s="14"/>
      <c r="B422" s="13"/>
      <c r="C422" s="13"/>
      <c r="D422" s="13"/>
      <c r="E422" s="13"/>
      <c r="F422" s="13"/>
      <c r="G422" s="13"/>
      <c r="H422" s="13"/>
      <c r="I422" s="13"/>
      <c r="J422" s="14"/>
      <c r="K422" s="14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" customHeight="1">
      <c r="A423" s="14"/>
      <c r="B423" s="13"/>
      <c r="C423" s="13"/>
      <c r="D423" s="13"/>
      <c r="E423" s="13"/>
      <c r="F423" s="13"/>
      <c r="G423" s="13"/>
      <c r="H423" s="13"/>
      <c r="I423" s="13"/>
      <c r="J423" s="14"/>
      <c r="K423" s="14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" customHeight="1">
      <c r="A424" s="14"/>
      <c r="B424" s="13"/>
      <c r="C424" s="13"/>
      <c r="D424" s="13"/>
      <c r="E424" s="13"/>
      <c r="F424" s="13"/>
      <c r="G424" s="13"/>
      <c r="H424" s="13"/>
      <c r="I424" s="13"/>
      <c r="J424" s="14"/>
      <c r="K424" s="14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" customHeight="1">
      <c r="A425" s="14"/>
      <c r="B425" s="13"/>
      <c r="C425" s="13"/>
      <c r="D425" s="13"/>
      <c r="E425" s="13"/>
      <c r="F425" s="13"/>
      <c r="G425" s="13"/>
      <c r="H425" s="13"/>
      <c r="I425" s="13"/>
      <c r="J425" s="14"/>
      <c r="K425" s="14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" customHeight="1">
      <c r="A426" s="14"/>
      <c r="B426" s="13"/>
      <c r="C426" s="13"/>
      <c r="D426" s="13"/>
      <c r="E426" s="13"/>
      <c r="F426" s="13"/>
      <c r="G426" s="13"/>
      <c r="H426" s="13"/>
      <c r="I426" s="13"/>
      <c r="J426" s="14"/>
      <c r="K426" s="14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" customHeight="1">
      <c r="A427" s="14"/>
      <c r="B427" s="13"/>
      <c r="C427" s="13"/>
      <c r="D427" s="13"/>
      <c r="E427" s="13"/>
      <c r="F427" s="13"/>
      <c r="G427" s="13"/>
      <c r="H427" s="13"/>
      <c r="I427" s="13"/>
      <c r="J427" s="14"/>
      <c r="K427" s="14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" customHeight="1">
      <c r="A428" s="14"/>
      <c r="B428" s="13"/>
      <c r="C428" s="13"/>
      <c r="D428" s="13"/>
      <c r="E428" s="13"/>
      <c r="F428" s="13"/>
      <c r="G428" s="13"/>
      <c r="H428" s="13"/>
      <c r="I428" s="13"/>
      <c r="J428" s="14"/>
      <c r="K428" s="14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" customHeight="1">
      <c r="A429" s="14"/>
      <c r="B429" s="13"/>
      <c r="C429" s="13"/>
      <c r="D429" s="13"/>
      <c r="E429" s="13"/>
      <c r="F429" s="13"/>
      <c r="G429" s="13"/>
      <c r="H429" s="13"/>
      <c r="I429" s="13"/>
      <c r="J429" s="14"/>
      <c r="K429" s="14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" customHeight="1">
      <c r="A430" s="14"/>
      <c r="B430" s="13"/>
      <c r="C430" s="13"/>
      <c r="D430" s="13"/>
      <c r="E430" s="13"/>
      <c r="F430" s="13"/>
      <c r="G430" s="13"/>
      <c r="H430" s="13"/>
      <c r="I430" s="13"/>
      <c r="J430" s="14"/>
      <c r="K430" s="14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" customHeight="1">
      <c r="A431" s="14"/>
      <c r="B431" s="13"/>
      <c r="C431" s="13"/>
      <c r="D431" s="13"/>
      <c r="E431" s="13"/>
      <c r="F431" s="13"/>
      <c r="G431" s="13"/>
      <c r="H431" s="13"/>
      <c r="I431" s="13"/>
      <c r="J431" s="14"/>
      <c r="K431" s="14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" customHeight="1">
      <c r="A432" s="14"/>
      <c r="B432" s="13"/>
      <c r="C432" s="13"/>
      <c r="D432" s="13"/>
      <c r="E432" s="13"/>
      <c r="F432" s="13"/>
      <c r="G432" s="13"/>
      <c r="H432" s="13"/>
      <c r="I432" s="13"/>
      <c r="J432" s="14"/>
      <c r="K432" s="14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" customHeight="1">
      <c r="A433" s="14"/>
      <c r="B433" s="13"/>
      <c r="C433" s="13"/>
      <c r="D433" s="13"/>
      <c r="E433" s="13"/>
      <c r="F433" s="13"/>
      <c r="G433" s="13"/>
      <c r="H433" s="13"/>
      <c r="I433" s="13"/>
      <c r="J433" s="14"/>
      <c r="K433" s="14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" customHeight="1">
      <c r="A434" s="14"/>
      <c r="B434" s="13"/>
      <c r="C434" s="13"/>
      <c r="D434" s="13"/>
      <c r="E434" s="13"/>
      <c r="F434" s="13"/>
      <c r="G434" s="13"/>
      <c r="H434" s="13"/>
      <c r="I434" s="13"/>
      <c r="J434" s="14"/>
      <c r="K434" s="14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" customHeight="1">
      <c r="A435" s="14"/>
      <c r="B435" s="13"/>
      <c r="C435" s="13"/>
      <c r="D435" s="13"/>
      <c r="E435" s="13"/>
      <c r="F435" s="13"/>
      <c r="G435" s="13"/>
      <c r="H435" s="13"/>
      <c r="I435" s="13"/>
      <c r="J435" s="14"/>
      <c r="K435" s="14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" customHeight="1">
      <c r="A436" s="14"/>
      <c r="B436" s="13"/>
      <c r="C436" s="13"/>
      <c r="D436" s="13"/>
      <c r="E436" s="13"/>
      <c r="F436" s="13"/>
      <c r="G436" s="13"/>
      <c r="H436" s="13"/>
      <c r="I436" s="13"/>
      <c r="J436" s="14"/>
      <c r="K436" s="14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" customHeight="1">
      <c r="A437" s="14"/>
      <c r="B437" s="13"/>
      <c r="C437" s="13"/>
      <c r="D437" s="13"/>
      <c r="E437" s="13"/>
      <c r="F437" s="13"/>
      <c r="G437" s="13"/>
      <c r="H437" s="13"/>
      <c r="I437" s="13"/>
      <c r="J437" s="14"/>
      <c r="K437" s="14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" customHeight="1">
      <c r="A438" s="14"/>
      <c r="B438" s="13"/>
      <c r="C438" s="13"/>
      <c r="D438" s="13"/>
      <c r="E438" s="13"/>
      <c r="F438" s="13"/>
      <c r="G438" s="13"/>
      <c r="H438" s="13"/>
      <c r="I438" s="13"/>
      <c r="J438" s="14"/>
      <c r="K438" s="14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" customHeight="1">
      <c r="A439" s="14"/>
      <c r="B439" s="13"/>
      <c r="C439" s="13"/>
      <c r="D439" s="13"/>
      <c r="E439" s="13"/>
      <c r="F439" s="13"/>
      <c r="G439" s="13"/>
      <c r="H439" s="13"/>
      <c r="I439" s="13"/>
      <c r="J439" s="14"/>
      <c r="K439" s="14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" customHeight="1">
      <c r="A440" s="14"/>
      <c r="B440" s="13"/>
      <c r="C440" s="13"/>
      <c r="D440" s="13"/>
      <c r="E440" s="13"/>
      <c r="F440" s="13"/>
      <c r="G440" s="13"/>
      <c r="H440" s="13"/>
      <c r="I440" s="13"/>
      <c r="J440" s="14"/>
      <c r="K440" s="14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" customHeight="1">
      <c r="A441" s="14"/>
      <c r="B441" s="13"/>
      <c r="C441" s="13"/>
      <c r="D441" s="13"/>
      <c r="E441" s="13"/>
      <c r="F441" s="13"/>
      <c r="G441" s="13"/>
      <c r="H441" s="13"/>
      <c r="I441" s="13"/>
      <c r="J441" s="14"/>
      <c r="K441" s="14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" customHeight="1">
      <c r="A442" s="14"/>
      <c r="B442" s="13"/>
      <c r="C442" s="13"/>
      <c r="D442" s="13"/>
      <c r="E442" s="13"/>
      <c r="F442" s="13"/>
      <c r="G442" s="13"/>
      <c r="H442" s="13"/>
      <c r="I442" s="13"/>
      <c r="J442" s="14"/>
      <c r="K442" s="14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" customHeight="1">
      <c r="A443" s="14"/>
      <c r="B443" s="13"/>
      <c r="C443" s="13"/>
      <c r="D443" s="13"/>
      <c r="E443" s="13"/>
      <c r="F443" s="13"/>
      <c r="G443" s="13"/>
      <c r="H443" s="13"/>
      <c r="I443" s="13"/>
      <c r="J443" s="14"/>
      <c r="K443" s="14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" customHeight="1">
      <c r="A444" s="14"/>
      <c r="B444" s="13"/>
      <c r="C444" s="13"/>
      <c r="D444" s="13"/>
      <c r="E444" s="13"/>
      <c r="F444" s="13"/>
      <c r="G444" s="13"/>
      <c r="H444" s="13"/>
      <c r="I444" s="13"/>
      <c r="J444" s="14"/>
      <c r="K444" s="14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" customHeight="1">
      <c r="A445" s="14"/>
      <c r="B445" s="13"/>
      <c r="C445" s="13"/>
      <c r="D445" s="13"/>
      <c r="E445" s="13"/>
      <c r="F445" s="13"/>
      <c r="G445" s="13"/>
      <c r="H445" s="13"/>
      <c r="I445" s="13"/>
      <c r="J445" s="14"/>
      <c r="K445" s="14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" customHeight="1">
      <c r="A446" s="14"/>
      <c r="B446" s="13"/>
      <c r="C446" s="13"/>
      <c r="D446" s="13"/>
      <c r="E446" s="13"/>
      <c r="F446" s="13"/>
      <c r="G446" s="13"/>
      <c r="H446" s="13"/>
      <c r="I446" s="13"/>
      <c r="J446" s="14"/>
      <c r="K446" s="14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" customHeight="1">
      <c r="A447" s="14"/>
      <c r="B447" s="13"/>
      <c r="C447" s="13"/>
      <c r="D447" s="13"/>
      <c r="E447" s="13"/>
      <c r="F447" s="13"/>
      <c r="G447" s="13"/>
      <c r="H447" s="13"/>
      <c r="I447" s="13"/>
      <c r="J447" s="14"/>
      <c r="K447" s="14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" customHeight="1">
      <c r="A448" s="14"/>
      <c r="B448" s="13"/>
      <c r="C448" s="13"/>
      <c r="D448" s="13"/>
      <c r="E448" s="13"/>
      <c r="F448" s="13"/>
      <c r="G448" s="13"/>
      <c r="H448" s="13"/>
      <c r="I448" s="13"/>
      <c r="J448" s="14"/>
      <c r="K448" s="14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" customHeight="1">
      <c r="A449" s="14"/>
      <c r="B449" s="13"/>
      <c r="C449" s="13"/>
      <c r="D449" s="13"/>
      <c r="E449" s="13"/>
      <c r="F449" s="13"/>
      <c r="G449" s="13"/>
      <c r="H449" s="13"/>
      <c r="I449" s="13"/>
      <c r="J449" s="14"/>
      <c r="K449" s="14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" customHeight="1">
      <c r="A450" s="14"/>
      <c r="B450" s="13"/>
      <c r="C450" s="13"/>
      <c r="D450" s="13"/>
      <c r="E450" s="13"/>
      <c r="F450" s="13"/>
      <c r="G450" s="13"/>
      <c r="H450" s="13"/>
      <c r="I450" s="13"/>
      <c r="J450" s="14"/>
      <c r="K450" s="14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" customHeight="1">
      <c r="A451" s="14"/>
      <c r="B451" s="13"/>
      <c r="C451" s="13"/>
      <c r="D451" s="13"/>
      <c r="E451" s="13"/>
      <c r="F451" s="13"/>
      <c r="G451" s="13"/>
      <c r="H451" s="13"/>
      <c r="I451" s="13"/>
      <c r="J451" s="14"/>
      <c r="K451" s="14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" customHeight="1">
      <c r="A452" s="14"/>
      <c r="B452" s="13"/>
      <c r="C452" s="13"/>
      <c r="D452" s="13"/>
      <c r="E452" s="13"/>
      <c r="F452" s="13"/>
      <c r="G452" s="13"/>
      <c r="H452" s="13"/>
      <c r="I452" s="13"/>
      <c r="J452" s="14"/>
      <c r="K452" s="14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" customHeight="1">
      <c r="A453" s="14"/>
      <c r="B453" s="13"/>
      <c r="C453" s="13"/>
      <c r="D453" s="13"/>
      <c r="E453" s="13"/>
      <c r="F453" s="13"/>
      <c r="G453" s="13"/>
      <c r="H453" s="13"/>
      <c r="I453" s="13"/>
      <c r="J453" s="14"/>
      <c r="K453" s="14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" customHeight="1">
      <c r="A454" s="14"/>
      <c r="B454" s="13"/>
      <c r="C454" s="13"/>
      <c r="D454" s="13"/>
      <c r="E454" s="13"/>
      <c r="F454" s="13"/>
      <c r="G454" s="13"/>
      <c r="H454" s="13"/>
      <c r="I454" s="13"/>
      <c r="J454" s="14"/>
      <c r="K454" s="14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" customHeight="1">
      <c r="A455" s="14"/>
      <c r="B455" s="13"/>
      <c r="C455" s="13"/>
      <c r="D455" s="13"/>
      <c r="E455" s="13"/>
      <c r="F455" s="13"/>
      <c r="G455" s="13"/>
      <c r="H455" s="13"/>
      <c r="I455" s="13"/>
      <c r="J455" s="14"/>
      <c r="K455" s="14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" customHeight="1">
      <c r="A456" s="14"/>
      <c r="B456" s="13"/>
      <c r="C456" s="13"/>
      <c r="D456" s="13"/>
      <c r="E456" s="13"/>
      <c r="F456" s="13"/>
      <c r="G456" s="13"/>
      <c r="H456" s="13"/>
      <c r="I456" s="13"/>
      <c r="J456" s="14"/>
      <c r="K456" s="14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" customHeight="1">
      <c r="A457" s="14"/>
      <c r="B457" s="13"/>
      <c r="C457" s="13"/>
      <c r="D457" s="13"/>
      <c r="E457" s="13"/>
      <c r="F457" s="13"/>
      <c r="G457" s="13"/>
      <c r="H457" s="13"/>
      <c r="I457" s="13"/>
      <c r="J457" s="14"/>
      <c r="K457" s="14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" customHeight="1">
      <c r="A458" s="14"/>
      <c r="B458" s="13"/>
      <c r="C458" s="13"/>
      <c r="D458" s="13"/>
      <c r="E458" s="13"/>
      <c r="F458" s="13"/>
      <c r="G458" s="13"/>
      <c r="H458" s="13"/>
      <c r="I458" s="13"/>
      <c r="J458" s="14"/>
      <c r="K458" s="14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" customHeight="1">
      <c r="A459" s="14"/>
      <c r="B459" s="13"/>
      <c r="C459" s="13"/>
      <c r="D459" s="13"/>
      <c r="E459" s="13"/>
      <c r="F459" s="13"/>
      <c r="G459" s="13"/>
      <c r="H459" s="13"/>
      <c r="I459" s="13"/>
      <c r="J459" s="14"/>
      <c r="K459" s="14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" customHeight="1">
      <c r="A460" s="14"/>
      <c r="B460" s="13"/>
      <c r="C460" s="13"/>
      <c r="D460" s="13"/>
      <c r="E460" s="13"/>
      <c r="F460" s="13"/>
      <c r="G460" s="13"/>
      <c r="H460" s="13"/>
      <c r="I460" s="13"/>
      <c r="J460" s="14"/>
      <c r="K460" s="14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" customHeight="1">
      <c r="A461" s="14"/>
      <c r="B461" s="13"/>
      <c r="C461" s="13"/>
      <c r="D461" s="13"/>
      <c r="E461" s="13"/>
      <c r="F461" s="13"/>
      <c r="G461" s="13"/>
      <c r="H461" s="13"/>
      <c r="I461" s="13"/>
      <c r="J461" s="14"/>
      <c r="K461" s="14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" customHeight="1">
      <c r="A462" s="14"/>
      <c r="B462" s="13"/>
      <c r="C462" s="13"/>
      <c r="D462" s="13"/>
      <c r="E462" s="13"/>
      <c r="F462" s="13"/>
      <c r="G462" s="13"/>
      <c r="H462" s="13"/>
      <c r="I462" s="13"/>
      <c r="J462" s="14"/>
      <c r="K462" s="14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" customHeight="1">
      <c r="A463" s="14"/>
      <c r="B463" s="13"/>
      <c r="C463" s="13"/>
      <c r="D463" s="13"/>
      <c r="E463" s="13"/>
      <c r="F463" s="13"/>
      <c r="G463" s="13"/>
      <c r="H463" s="13"/>
      <c r="I463" s="13"/>
      <c r="J463" s="14"/>
      <c r="K463" s="14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" customHeight="1">
      <c r="A464" s="14"/>
      <c r="B464" s="13"/>
      <c r="C464" s="13"/>
      <c r="D464" s="13"/>
      <c r="E464" s="13"/>
      <c r="F464" s="13"/>
      <c r="G464" s="13"/>
      <c r="H464" s="13"/>
      <c r="I464" s="13"/>
      <c r="J464" s="14"/>
      <c r="K464" s="14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" customHeight="1">
      <c r="A465" s="14"/>
      <c r="B465" s="13"/>
      <c r="C465" s="13"/>
      <c r="D465" s="13"/>
      <c r="E465" s="13"/>
      <c r="F465" s="13"/>
      <c r="G465" s="13"/>
      <c r="H465" s="13"/>
      <c r="I465" s="13"/>
      <c r="J465" s="14"/>
      <c r="K465" s="14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" customHeight="1">
      <c r="A466" s="14"/>
      <c r="B466" s="13"/>
      <c r="C466" s="13"/>
      <c r="D466" s="13"/>
      <c r="E466" s="13"/>
      <c r="F466" s="13"/>
      <c r="G466" s="13"/>
      <c r="H466" s="13"/>
      <c r="I466" s="13"/>
      <c r="J466" s="14"/>
      <c r="K466" s="14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" customHeight="1">
      <c r="A467" s="14"/>
      <c r="B467" s="13"/>
      <c r="C467" s="13"/>
      <c r="D467" s="13"/>
      <c r="E467" s="13"/>
      <c r="F467" s="13"/>
      <c r="G467" s="13"/>
      <c r="H467" s="13"/>
      <c r="I467" s="13"/>
      <c r="J467" s="14"/>
      <c r="K467" s="14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" customHeight="1">
      <c r="A468" s="14"/>
      <c r="B468" s="13"/>
      <c r="C468" s="13"/>
      <c r="D468" s="13"/>
      <c r="E468" s="13"/>
      <c r="F468" s="13"/>
      <c r="G468" s="13"/>
      <c r="H468" s="13"/>
      <c r="I468" s="13"/>
      <c r="J468" s="14"/>
      <c r="K468" s="14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" customHeight="1">
      <c r="A469" s="14"/>
      <c r="B469" s="13"/>
      <c r="C469" s="13"/>
      <c r="D469" s="13"/>
      <c r="E469" s="13"/>
      <c r="F469" s="13"/>
      <c r="G469" s="13"/>
      <c r="H469" s="13"/>
      <c r="I469" s="13"/>
      <c r="J469" s="14"/>
      <c r="K469" s="14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" customHeight="1">
      <c r="A470" s="14"/>
      <c r="B470" s="13"/>
      <c r="C470" s="13"/>
      <c r="D470" s="13"/>
      <c r="E470" s="13"/>
      <c r="F470" s="13"/>
      <c r="G470" s="13"/>
      <c r="H470" s="13"/>
      <c r="I470" s="13"/>
      <c r="J470" s="14"/>
      <c r="K470" s="14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" customHeight="1">
      <c r="A471" s="14"/>
      <c r="B471" s="13"/>
      <c r="C471" s="13"/>
      <c r="D471" s="13"/>
      <c r="E471" s="13"/>
      <c r="F471" s="13"/>
      <c r="G471" s="13"/>
      <c r="H471" s="13"/>
      <c r="I471" s="13"/>
      <c r="J471" s="14"/>
      <c r="K471" s="14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" customHeight="1">
      <c r="A472" s="14"/>
      <c r="B472" s="13"/>
      <c r="C472" s="13"/>
      <c r="D472" s="13"/>
      <c r="E472" s="13"/>
      <c r="F472" s="13"/>
      <c r="G472" s="13"/>
      <c r="H472" s="13"/>
      <c r="I472" s="13"/>
      <c r="J472" s="14"/>
      <c r="K472" s="14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" customHeight="1">
      <c r="A473" s="14"/>
      <c r="B473" s="13"/>
      <c r="C473" s="13"/>
      <c r="D473" s="13"/>
      <c r="E473" s="13"/>
      <c r="F473" s="13"/>
      <c r="G473" s="13"/>
      <c r="H473" s="13"/>
      <c r="I473" s="13"/>
      <c r="J473" s="14"/>
      <c r="K473" s="14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" customHeight="1">
      <c r="A474" s="14"/>
      <c r="B474" s="13"/>
      <c r="C474" s="13"/>
      <c r="D474" s="13"/>
      <c r="E474" s="13"/>
      <c r="F474" s="13"/>
      <c r="G474" s="13"/>
      <c r="H474" s="13"/>
      <c r="I474" s="13"/>
      <c r="J474" s="14"/>
      <c r="K474" s="14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" customHeight="1">
      <c r="A475" s="14"/>
      <c r="B475" s="13"/>
      <c r="C475" s="13"/>
      <c r="D475" s="13"/>
      <c r="E475" s="13"/>
      <c r="F475" s="13"/>
      <c r="G475" s="13"/>
      <c r="H475" s="13"/>
      <c r="I475" s="13"/>
      <c r="J475" s="14"/>
      <c r="K475" s="14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" customHeight="1">
      <c r="A476" s="14"/>
      <c r="B476" s="13"/>
      <c r="C476" s="13"/>
      <c r="D476" s="13"/>
      <c r="E476" s="13"/>
      <c r="F476" s="13"/>
      <c r="G476" s="13"/>
      <c r="H476" s="13"/>
      <c r="I476" s="13"/>
      <c r="J476" s="14"/>
      <c r="K476" s="14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" customHeight="1">
      <c r="A477" s="14"/>
      <c r="B477" s="13"/>
      <c r="C477" s="13"/>
      <c r="D477" s="13"/>
      <c r="E477" s="13"/>
      <c r="F477" s="13"/>
      <c r="G477" s="13"/>
      <c r="H477" s="13"/>
      <c r="I477" s="13"/>
      <c r="J477" s="14"/>
      <c r="K477" s="14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" customHeight="1">
      <c r="A478" s="14"/>
      <c r="B478" s="13"/>
      <c r="C478" s="13"/>
      <c r="D478" s="13"/>
      <c r="E478" s="13"/>
      <c r="F478" s="13"/>
      <c r="G478" s="13"/>
      <c r="H478" s="13"/>
      <c r="I478" s="13"/>
      <c r="J478" s="14"/>
      <c r="K478" s="14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" customHeight="1">
      <c r="A479" s="14"/>
      <c r="B479" s="13"/>
      <c r="C479" s="13"/>
      <c r="D479" s="13"/>
      <c r="E479" s="13"/>
      <c r="F479" s="13"/>
      <c r="G479" s="13"/>
      <c r="H479" s="13"/>
      <c r="I479" s="13"/>
      <c r="J479" s="14"/>
      <c r="K479" s="14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" customHeight="1">
      <c r="A480" s="14"/>
      <c r="B480" s="13"/>
      <c r="C480" s="13"/>
      <c r="D480" s="13"/>
      <c r="E480" s="13"/>
      <c r="F480" s="13"/>
      <c r="G480" s="13"/>
      <c r="H480" s="13"/>
      <c r="I480" s="13"/>
      <c r="J480" s="14"/>
      <c r="K480" s="14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" customHeight="1">
      <c r="A481" s="14"/>
      <c r="B481" s="13"/>
      <c r="C481" s="13"/>
      <c r="D481" s="13"/>
      <c r="E481" s="13"/>
      <c r="F481" s="13"/>
      <c r="G481" s="13"/>
      <c r="H481" s="13"/>
      <c r="I481" s="13"/>
      <c r="J481" s="14"/>
      <c r="K481" s="14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" customHeight="1">
      <c r="A482" s="14"/>
      <c r="B482" s="13"/>
      <c r="C482" s="13"/>
      <c r="D482" s="13"/>
      <c r="E482" s="13"/>
      <c r="F482" s="13"/>
      <c r="G482" s="13"/>
      <c r="H482" s="13"/>
      <c r="I482" s="13"/>
      <c r="J482" s="14"/>
      <c r="K482" s="14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" customHeight="1">
      <c r="A483" s="14"/>
      <c r="B483" s="13"/>
      <c r="C483" s="13"/>
      <c r="D483" s="13"/>
      <c r="E483" s="13"/>
      <c r="F483" s="13"/>
      <c r="G483" s="13"/>
      <c r="H483" s="13"/>
      <c r="I483" s="13"/>
      <c r="J483" s="14"/>
      <c r="K483" s="14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" customHeight="1">
      <c r="A484" s="14"/>
      <c r="B484" s="13"/>
      <c r="C484" s="13"/>
      <c r="D484" s="13"/>
      <c r="E484" s="13"/>
      <c r="F484" s="13"/>
      <c r="G484" s="13"/>
      <c r="H484" s="13"/>
      <c r="I484" s="13"/>
      <c r="J484" s="14"/>
      <c r="K484" s="14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" customHeight="1">
      <c r="A485" s="14"/>
      <c r="B485" s="13"/>
      <c r="C485" s="13"/>
      <c r="D485" s="13"/>
      <c r="E485" s="13"/>
      <c r="F485" s="13"/>
      <c r="G485" s="13"/>
      <c r="H485" s="13"/>
      <c r="I485" s="13"/>
      <c r="J485" s="14"/>
      <c r="K485" s="14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" customHeight="1">
      <c r="A486" s="14"/>
      <c r="B486" s="13"/>
      <c r="C486" s="13"/>
      <c r="D486" s="13"/>
      <c r="E486" s="13"/>
      <c r="F486" s="13"/>
      <c r="G486" s="13"/>
      <c r="H486" s="13"/>
      <c r="I486" s="13"/>
      <c r="J486" s="14"/>
      <c r="K486" s="14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" customHeight="1">
      <c r="A487" s="14"/>
      <c r="B487" s="13"/>
      <c r="C487" s="13"/>
      <c r="D487" s="13"/>
      <c r="E487" s="13"/>
      <c r="F487" s="13"/>
      <c r="G487" s="13"/>
      <c r="H487" s="13"/>
      <c r="I487" s="13"/>
      <c r="J487" s="14"/>
      <c r="K487" s="14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" customHeight="1">
      <c r="A488" s="14"/>
      <c r="B488" s="13"/>
      <c r="C488" s="13"/>
      <c r="D488" s="13"/>
      <c r="E488" s="13"/>
      <c r="F488" s="13"/>
      <c r="G488" s="13"/>
      <c r="H488" s="13"/>
      <c r="I488" s="13"/>
      <c r="J488" s="14"/>
      <c r="K488" s="14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" customHeight="1">
      <c r="A489" s="14"/>
      <c r="B489" s="13"/>
      <c r="C489" s="13"/>
      <c r="D489" s="13"/>
      <c r="E489" s="13"/>
      <c r="F489" s="13"/>
      <c r="G489" s="13"/>
      <c r="H489" s="13"/>
      <c r="I489" s="13"/>
      <c r="J489" s="14"/>
      <c r="K489" s="14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" customHeight="1">
      <c r="A490" s="14"/>
      <c r="B490" s="13"/>
      <c r="C490" s="13"/>
      <c r="D490" s="13"/>
      <c r="E490" s="13"/>
      <c r="F490" s="13"/>
      <c r="G490" s="13"/>
      <c r="H490" s="13"/>
      <c r="I490" s="13"/>
      <c r="J490" s="14"/>
      <c r="K490" s="14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" customHeight="1">
      <c r="A491" s="14"/>
      <c r="B491" s="13"/>
      <c r="C491" s="13"/>
      <c r="D491" s="13"/>
      <c r="E491" s="13"/>
      <c r="F491" s="13"/>
      <c r="G491" s="13"/>
      <c r="H491" s="13"/>
      <c r="I491" s="13"/>
      <c r="J491" s="14"/>
      <c r="K491" s="14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" customHeight="1">
      <c r="A492" s="14"/>
      <c r="B492" s="13"/>
      <c r="C492" s="13"/>
      <c r="D492" s="13"/>
      <c r="E492" s="13"/>
      <c r="F492" s="13"/>
      <c r="G492" s="13"/>
      <c r="H492" s="13"/>
      <c r="I492" s="13"/>
      <c r="J492" s="14"/>
      <c r="K492" s="14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" customHeight="1">
      <c r="A493" s="14"/>
      <c r="B493" s="13"/>
      <c r="C493" s="13"/>
      <c r="D493" s="13"/>
      <c r="E493" s="13"/>
      <c r="F493" s="13"/>
      <c r="G493" s="13"/>
      <c r="H493" s="13"/>
      <c r="I493" s="13"/>
      <c r="J493" s="14"/>
      <c r="K493" s="14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" customHeight="1">
      <c r="A494" s="14"/>
      <c r="B494" s="13"/>
      <c r="C494" s="13"/>
      <c r="D494" s="13"/>
      <c r="E494" s="13"/>
      <c r="F494" s="13"/>
      <c r="G494" s="13"/>
      <c r="H494" s="13"/>
      <c r="I494" s="13"/>
      <c r="J494" s="14"/>
      <c r="K494" s="14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" customHeight="1">
      <c r="A495" s="14"/>
      <c r="B495" s="13"/>
      <c r="C495" s="13"/>
      <c r="D495" s="13"/>
      <c r="E495" s="13"/>
      <c r="F495" s="13"/>
      <c r="G495" s="13"/>
      <c r="H495" s="13"/>
      <c r="I495" s="13"/>
      <c r="J495" s="14"/>
      <c r="K495" s="14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" customHeight="1">
      <c r="A496" s="14"/>
      <c r="B496" s="13"/>
      <c r="C496" s="13"/>
      <c r="D496" s="13"/>
      <c r="E496" s="13"/>
      <c r="F496" s="13"/>
      <c r="G496" s="13"/>
      <c r="H496" s="13"/>
      <c r="I496" s="13"/>
      <c r="J496" s="14"/>
      <c r="K496" s="14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" customHeight="1">
      <c r="A497" s="14"/>
      <c r="B497" s="13"/>
      <c r="C497" s="13"/>
      <c r="D497" s="13"/>
      <c r="E497" s="13"/>
      <c r="F497" s="13"/>
      <c r="G497" s="13"/>
      <c r="H497" s="13"/>
      <c r="I497" s="13"/>
      <c r="J497" s="14"/>
      <c r="K497" s="14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" customHeight="1">
      <c r="A498" s="14"/>
      <c r="B498" s="13"/>
      <c r="C498" s="13"/>
      <c r="D498" s="13"/>
      <c r="E498" s="13"/>
      <c r="F498" s="13"/>
      <c r="G498" s="13"/>
      <c r="H498" s="13"/>
      <c r="I498" s="13"/>
      <c r="J498" s="14"/>
      <c r="K498" s="14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" customHeight="1">
      <c r="A499" s="14"/>
      <c r="B499" s="13"/>
      <c r="C499" s="13"/>
      <c r="D499" s="13"/>
      <c r="E499" s="13"/>
      <c r="F499" s="13"/>
      <c r="G499" s="13"/>
      <c r="H499" s="13"/>
      <c r="I499" s="13"/>
      <c r="J499" s="14"/>
      <c r="K499" s="14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" customHeight="1">
      <c r="A500" s="14"/>
      <c r="B500" s="13"/>
      <c r="C500" s="13"/>
      <c r="D500" s="13"/>
      <c r="E500" s="13"/>
      <c r="F500" s="13"/>
      <c r="G500" s="13"/>
      <c r="H500" s="13"/>
      <c r="I500" s="13"/>
      <c r="J500" s="14"/>
      <c r="K500" s="14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" customHeight="1">
      <c r="A501" s="14"/>
      <c r="B501" s="13"/>
      <c r="C501" s="13"/>
      <c r="D501" s="13"/>
      <c r="E501" s="13"/>
      <c r="F501" s="13"/>
      <c r="G501" s="13"/>
      <c r="H501" s="13"/>
      <c r="I501" s="13"/>
      <c r="J501" s="14"/>
      <c r="K501" s="14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" customHeight="1">
      <c r="A502" s="14"/>
      <c r="B502" s="13"/>
      <c r="C502" s="13"/>
      <c r="D502" s="13"/>
      <c r="E502" s="13"/>
      <c r="F502" s="13"/>
      <c r="G502" s="13"/>
      <c r="H502" s="13"/>
      <c r="I502" s="13"/>
      <c r="J502" s="14"/>
      <c r="K502" s="14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" customHeight="1">
      <c r="A503" s="14"/>
      <c r="B503" s="13"/>
      <c r="C503" s="13"/>
      <c r="D503" s="13"/>
      <c r="E503" s="13"/>
      <c r="F503" s="13"/>
      <c r="G503" s="13"/>
      <c r="H503" s="13"/>
      <c r="I503" s="13"/>
      <c r="J503" s="14"/>
      <c r="K503" s="14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" customHeight="1">
      <c r="A504" s="14"/>
      <c r="B504" s="13"/>
      <c r="C504" s="13"/>
      <c r="D504" s="13"/>
      <c r="E504" s="13"/>
      <c r="F504" s="13"/>
      <c r="G504" s="13"/>
      <c r="H504" s="13"/>
      <c r="I504" s="13"/>
      <c r="J504" s="14"/>
      <c r="K504" s="14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" customHeight="1">
      <c r="A505" s="14"/>
      <c r="B505" s="13"/>
      <c r="C505" s="13"/>
      <c r="D505" s="13"/>
      <c r="E505" s="13"/>
      <c r="F505" s="13"/>
      <c r="G505" s="13"/>
      <c r="H505" s="13"/>
      <c r="I505" s="13"/>
      <c r="J505" s="14"/>
      <c r="K505" s="14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" customHeight="1">
      <c r="A506" s="14"/>
      <c r="B506" s="13"/>
      <c r="C506" s="13"/>
      <c r="D506" s="13"/>
      <c r="E506" s="13"/>
      <c r="F506" s="13"/>
      <c r="G506" s="13"/>
      <c r="H506" s="13"/>
      <c r="I506" s="13"/>
      <c r="J506" s="14"/>
      <c r="K506" s="14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" customHeight="1">
      <c r="A507" s="14"/>
      <c r="B507" s="13"/>
      <c r="C507" s="13"/>
      <c r="D507" s="13"/>
      <c r="E507" s="13"/>
      <c r="F507" s="13"/>
      <c r="G507" s="13"/>
      <c r="H507" s="13"/>
      <c r="I507" s="13"/>
      <c r="J507" s="14"/>
      <c r="K507" s="14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" customHeight="1">
      <c r="A508" s="14"/>
      <c r="B508" s="13"/>
      <c r="C508" s="13"/>
      <c r="D508" s="13"/>
      <c r="E508" s="13"/>
      <c r="F508" s="13"/>
      <c r="G508" s="13"/>
      <c r="H508" s="13"/>
      <c r="I508" s="13"/>
      <c r="J508" s="14"/>
      <c r="K508" s="14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" customHeight="1">
      <c r="A509" s="14"/>
      <c r="B509" s="13"/>
      <c r="C509" s="13"/>
      <c r="D509" s="13"/>
      <c r="E509" s="13"/>
      <c r="F509" s="13"/>
      <c r="G509" s="13"/>
      <c r="H509" s="13"/>
      <c r="I509" s="13"/>
      <c r="J509" s="14"/>
      <c r="K509" s="14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" customHeight="1">
      <c r="A510" s="14"/>
      <c r="B510" s="13"/>
      <c r="C510" s="13"/>
      <c r="D510" s="13"/>
      <c r="E510" s="13"/>
      <c r="F510" s="13"/>
      <c r="G510" s="13"/>
      <c r="H510" s="13"/>
      <c r="I510" s="13"/>
      <c r="J510" s="14"/>
      <c r="K510" s="14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" customHeight="1">
      <c r="A511" s="14"/>
      <c r="B511" s="13"/>
      <c r="C511" s="13"/>
      <c r="D511" s="13"/>
      <c r="E511" s="13"/>
      <c r="F511" s="13"/>
      <c r="G511" s="13"/>
      <c r="H511" s="13"/>
      <c r="I511" s="13"/>
      <c r="J511" s="14"/>
      <c r="K511" s="14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" customHeight="1">
      <c r="A512" s="14"/>
      <c r="B512" s="13"/>
      <c r="C512" s="13"/>
      <c r="D512" s="13"/>
      <c r="E512" s="13"/>
      <c r="F512" s="13"/>
      <c r="G512" s="13"/>
      <c r="H512" s="13"/>
      <c r="I512" s="13"/>
      <c r="J512" s="14"/>
      <c r="K512" s="14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" customHeight="1">
      <c r="A513" s="14"/>
      <c r="B513" s="13"/>
      <c r="C513" s="13"/>
      <c r="D513" s="13"/>
      <c r="E513" s="13"/>
      <c r="F513" s="13"/>
      <c r="G513" s="13"/>
      <c r="H513" s="13"/>
      <c r="I513" s="13"/>
      <c r="J513" s="14"/>
      <c r="K513" s="14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" customHeight="1">
      <c r="A514" s="14"/>
      <c r="B514" s="13"/>
      <c r="C514" s="13"/>
      <c r="D514" s="13"/>
      <c r="E514" s="13"/>
      <c r="F514" s="13"/>
      <c r="G514" s="13"/>
      <c r="H514" s="13"/>
      <c r="I514" s="13"/>
      <c r="J514" s="14"/>
      <c r="K514" s="14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" customHeight="1">
      <c r="A515" s="14"/>
      <c r="B515" s="13"/>
      <c r="C515" s="13"/>
      <c r="D515" s="13"/>
      <c r="E515" s="13"/>
      <c r="F515" s="13"/>
      <c r="G515" s="13"/>
      <c r="H515" s="13"/>
      <c r="I515" s="13"/>
      <c r="J515" s="14"/>
      <c r="K515" s="14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" customHeight="1">
      <c r="A516" s="14"/>
      <c r="B516" s="13"/>
      <c r="C516" s="13"/>
      <c r="D516" s="13"/>
      <c r="E516" s="13"/>
      <c r="F516" s="13"/>
      <c r="G516" s="13"/>
      <c r="H516" s="13"/>
      <c r="I516" s="13"/>
      <c r="J516" s="14"/>
      <c r="K516" s="14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" customHeight="1">
      <c r="A517" s="14"/>
      <c r="B517" s="13"/>
      <c r="C517" s="13"/>
      <c r="D517" s="13"/>
      <c r="E517" s="13"/>
      <c r="F517" s="13"/>
      <c r="G517" s="13"/>
      <c r="H517" s="13"/>
      <c r="I517" s="13"/>
      <c r="J517" s="14"/>
      <c r="K517" s="14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" customHeight="1">
      <c r="A518" s="14"/>
      <c r="B518" s="13"/>
      <c r="C518" s="13"/>
      <c r="D518" s="13"/>
      <c r="E518" s="13"/>
      <c r="F518" s="13"/>
      <c r="G518" s="13"/>
      <c r="H518" s="13"/>
      <c r="I518" s="13"/>
      <c r="J518" s="14"/>
      <c r="K518" s="14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" customHeight="1">
      <c r="A519" s="14"/>
      <c r="B519" s="13"/>
      <c r="C519" s="13"/>
      <c r="D519" s="13"/>
      <c r="E519" s="13"/>
      <c r="F519" s="13"/>
      <c r="G519" s="13"/>
      <c r="H519" s="13"/>
      <c r="I519" s="13"/>
      <c r="J519" s="14"/>
      <c r="K519" s="14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" customHeight="1">
      <c r="A520" s="14"/>
      <c r="B520" s="13"/>
      <c r="C520" s="13"/>
      <c r="D520" s="13"/>
      <c r="E520" s="13"/>
      <c r="F520" s="13"/>
      <c r="G520" s="13"/>
      <c r="H520" s="13"/>
      <c r="I520" s="13"/>
      <c r="J520" s="14"/>
      <c r="K520" s="14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" customHeight="1">
      <c r="A521" s="14"/>
      <c r="B521" s="13"/>
      <c r="C521" s="13"/>
      <c r="D521" s="13"/>
      <c r="E521" s="13"/>
      <c r="F521" s="13"/>
      <c r="G521" s="13"/>
      <c r="H521" s="13"/>
      <c r="I521" s="13"/>
      <c r="J521" s="14"/>
      <c r="K521" s="14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" customHeight="1">
      <c r="A522" s="14"/>
      <c r="B522" s="13"/>
      <c r="C522" s="13"/>
      <c r="D522" s="13"/>
      <c r="E522" s="13"/>
      <c r="F522" s="13"/>
      <c r="G522" s="13"/>
      <c r="H522" s="13"/>
      <c r="I522" s="13"/>
      <c r="J522" s="14"/>
      <c r="K522" s="14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" customHeight="1">
      <c r="A523" s="14"/>
      <c r="B523" s="13"/>
      <c r="C523" s="13"/>
      <c r="D523" s="13"/>
      <c r="E523" s="13"/>
      <c r="F523" s="13"/>
      <c r="G523" s="13"/>
      <c r="H523" s="13"/>
      <c r="I523" s="13"/>
      <c r="J523" s="14"/>
      <c r="K523" s="14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" customHeight="1">
      <c r="A524" s="14"/>
      <c r="B524" s="13"/>
      <c r="C524" s="13"/>
      <c r="D524" s="13"/>
      <c r="E524" s="13"/>
      <c r="F524" s="13"/>
      <c r="G524" s="13"/>
      <c r="H524" s="13"/>
      <c r="I524" s="13"/>
      <c r="J524" s="14"/>
      <c r="K524" s="14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" customHeight="1">
      <c r="A525" s="14"/>
      <c r="B525" s="13"/>
      <c r="C525" s="13"/>
      <c r="D525" s="13"/>
      <c r="E525" s="13"/>
      <c r="F525" s="13"/>
      <c r="G525" s="13"/>
      <c r="H525" s="13"/>
      <c r="I525" s="13"/>
      <c r="J525" s="14"/>
      <c r="K525" s="14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" customHeight="1">
      <c r="A526" s="14"/>
      <c r="B526" s="13"/>
      <c r="C526" s="13"/>
      <c r="D526" s="13"/>
      <c r="E526" s="13"/>
      <c r="F526" s="13"/>
      <c r="G526" s="13"/>
      <c r="H526" s="13"/>
      <c r="I526" s="13"/>
      <c r="J526" s="14"/>
      <c r="K526" s="14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" customHeight="1">
      <c r="A527" s="14"/>
      <c r="B527" s="13"/>
      <c r="C527" s="13"/>
      <c r="D527" s="13"/>
      <c r="E527" s="13"/>
      <c r="F527" s="13"/>
      <c r="G527" s="13"/>
      <c r="H527" s="13"/>
      <c r="I527" s="13"/>
      <c r="J527" s="14"/>
      <c r="K527" s="14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" customHeight="1">
      <c r="A528" s="14"/>
      <c r="B528" s="13"/>
      <c r="C528" s="13"/>
      <c r="D528" s="13"/>
      <c r="E528" s="13"/>
      <c r="F528" s="13"/>
      <c r="G528" s="13"/>
      <c r="H528" s="13"/>
      <c r="I528" s="13"/>
      <c r="J528" s="14"/>
      <c r="K528" s="14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" customHeight="1">
      <c r="A529" s="14"/>
      <c r="B529" s="13"/>
      <c r="C529" s="13"/>
      <c r="D529" s="13"/>
      <c r="E529" s="13"/>
      <c r="F529" s="13"/>
      <c r="G529" s="13"/>
      <c r="H529" s="13"/>
      <c r="I529" s="13"/>
      <c r="J529" s="14"/>
      <c r="K529" s="14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" customHeight="1">
      <c r="A530" s="14"/>
      <c r="B530" s="13"/>
      <c r="C530" s="13"/>
      <c r="D530" s="13"/>
      <c r="E530" s="13"/>
      <c r="F530" s="13"/>
      <c r="G530" s="13"/>
      <c r="H530" s="13"/>
      <c r="I530" s="13"/>
      <c r="J530" s="14"/>
      <c r="K530" s="14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" customHeight="1">
      <c r="A531" s="14"/>
      <c r="B531" s="13"/>
      <c r="C531" s="13"/>
      <c r="D531" s="13"/>
      <c r="E531" s="13"/>
      <c r="F531" s="13"/>
      <c r="G531" s="13"/>
      <c r="H531" s="13"/>
      <c r="I531" s="13"/>
      <c r="J531" s="14"/>
      <c r="K531" s="14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" customHeight="1">
      <c r="A532" s="14"/>
      <c r="B532" s="13"/>
      <c r="C532" s="13"/>
      <c r="D532" s="13"/>
      <c r="E532" s="13"/>
      <c r="F532" s="13"/>
      <c r="G532" s="13"/>
      <c r="H532" s="13"/>
      <c r="I532" s="13"/>
      <c r="J532" s="14"/>
      <c r="K532" s="14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" customHeight="1">
      <c r="A533" s="14"/>
      <c r="B533" s="13"/>
      <c r="C533" s="13"/>
      <c r="D533" s="13"/>
      <c r="E533" s="13"/>
      <c r="F533" s="13"/>
      <c r="G533" s="13"/>
      <c r="H533" s="13"/>
      <c r="I533" s="13"/>
      <c r="J533" s="14"/>
      <c r="K533" s="14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" customHeight="1">
      <c r="A534" s="14"/>
      <c r="B534" s="13"/>
      <c r="C534" s="13"/>
      <c r="D534" s="13"/>
      <c r="E534" s="13"/>
      <c r="F534" s="13"/>
      <c r="G534" s="13"/>
      <c r="H534" s="13"/>
      <c r="I534" s="13"/>
      <c r="J534" s="14"/>
      <c r="K534" s="14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" customHeight="1">
      <c r="A535" s="14"/>
      <c r="B535" s="13"/>
      <c r="C535" s="13"/>
      <c r="D535" s="13"/>
      <c r="E535" s="13"/>
      <c r="F535" s="13"/>
      <c r="G535" s="13"/>
      <c r="H535" s="13"/>
      <c r="I535" s="13"/>
      <c r="J535" s="14"/>
      <c r="K535" s="14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" customHeight="1">
      <c r="A536" s="14"/>
      <c r="B536" s="13"/>
      <c r="C536" s="13"/>
      <c r="D536" s="13"/>
      <c r="E536" s="13"/>
      <c r="F536" s="13"/>
      <c r="G536" s="13"/>
      <c r="H536" s="13"/>
      <c r="I536" s="13"/>
      <c r="J536" s="14"/>
      <c r="K536" s="14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" customHeight="1">
      <c r="A537" s="14"/>
      <c r="B537" s="13"/>
      <c r="C537" s="13"/>
      <c r="D537" s="13"/>
      <c r="E537" s="13"/>
      <c r="F537" s="13"/>
      <c r="G537" s="13"/>
      <c r="H537" s="13"/>
      <c r="I537" s="13"/>
      <c r="J537" s="14"/>
      <c r="K537" s="14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" customHeight="1">
      <c r="A538" s="14"/>
      <c r="B538" s="13"/>
      <c r="C538" s="13"/>
      <c r="D538" s="13"/>
      <c r="E538" s="13"/>
      <c r="F538" s="13"/>
      <c r="G538" s="13"/>
      <c r="H538" s="13"/>
      <c r="I538" s="13"/>
      <c r="J538" s="14"/>
      <c r="K538" s="14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" customHeight="1">
      <c r="A539" s="14"/>
      <c r="B539" s="13"/>
      <c r="C539" s="13"/>
      <c r="D539" s="13"/>
      <c r="E539" s="13"/>
      <c r="F539" s="13"/>
      <c r="G539" s="13"/>
      <c r="H539" s="13"/>
      <c r="I539" s="13"/>
      <c r="J539" s="14"/>
      <c r="K539" s="14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" customHeight="1">
      <c r="A540" s="14"/>
      <c r="B540" s="13"/>
      <c r="C540" s="13"/>
      <c r="D540" s="13"/>
      <c r="E540" s="13"/>
      <c r="F540" s="13"/>
      <c r="G540" s="13"/>
      <c r="H540" s="13"/>
      <c r="I540" s="13"/>
      <c r="J540" s="14"/>
      <c r="K540" s="14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" customHeight="1">
      <c r="A541" s="14"/>
      <c r="B541" s="13"/>
      <c r="C541" s="13"/>
      <c r="D541" s="13"/>
      <c r="E541" s="13"/>
      <c r="F541" s="13"/>
      <c r="G541" s="13"/>
      <c r="H541" s="13"/>
      <c r="I541" s="13"/>
      <c r="J541" s="14"/>
      <c r="K541" s="14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" customHeight="1">
      <c r="A542" s="14"/>
      <c r="B542" s="13"/>
      <c r="C542" s="13"/>
      <c r="D542" s="13"/>
      <c r="E542" s="13"/>
      <c r="F542" s="13"/>
      <c r="G542" s="13"/>
      <c r="H542" s="13"/>
      <c r="I542" s="13"/>
      <c r="J542" s="14"/>
      <c r="K542" s="14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" customHeight="1">
      <c r="A543" s="14"/>
      <c r="B543" s="13"/>
      <c r="C543" s="13"/>
      <c r="D543" s="13"/>
      <c r="E543" s="13"/>
      <c r="F543" s="13"/>
      <c r="G543" s="13"/>
      <c r="H543" s="13"/>
      <c r="I543" s="13"/>
      <c r="J543" s="14"/>
      <c r="K543" s="14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" customHeight="1">
      <c r="A544" s="14"/>
      <c r="B544" s="13"/>
      <c r="C544" s="13"/>
      <c r="D544" s="13"/>
      <c r="E544" s="13"/>
      <c r="F544" s="13"/>
      <c r="G544" s="13"/>
      <c r="H544" s="13"/>
      <c r="I544" s="13"/>
      <c r="J544" s="14"/>
      <c r="K544" s="14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" customHeight="1">
      <c r="A545" s="14"/>
      <c r="B545" s="13"/>
      <c r="C545" s="13"/>
      <c r="D545" s="13"/>
      <c r="E545" s="13"/>
      <c r="F545" s="13"/>
      <c r="G545" s="13"/>
      <c r="H545" s="13"/>
      <c r="I545" s="13"/>
      <c r="J545" s="14"/>
      <c r="K545" s="14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" customHeight="1">
      <c r="A546" s="14"/>
      <c r="B546" s="13"/>
      <c r="C546" s="13"/>
      <c r="D546" s="13"/>
      <c r="E546" s="13"/>
      <c r="F546" s="13"/>
      <c r="G546" s="13"/>
      <c r="H546" s="13"/>
      <c r="I546" s="13"/>
      <c r="J546" s="14"/>
      <c r="K546" s="14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" customHeight="1">
      <c r="A547" s="14"/>
      <c r="B547" s="13"/>
      <c r="C547" s="13"/>
      <c r="D547" s="13"/>
      <c r="E547" s="13"/>
      <c r="F547" s="13"/>
      <c r="G547" s="13"/>
      <c r="H547" s="13"/>
      <c r="I547" s="13"/>
      <c r="J547" s="14"/>
      <c r="K547" s="14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" customHeight="1">
      <c r="A548" s="14"/>
      <c r="B548" s="13"/>
      <c r="C548" s="13"/>
      <c r="D548" s="13"/>
      <c r="E548" s="13"/>
      <c r="F548" s="13"/>
      <c r="G548" s="13"/>
      <c r="H548" s="13"/>
      <c r="I548" s="13"/>
      <c r="J548" s="14"/>
      <c r="K548" s="14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" customHeight="1">
      <c r="A549" s="14"/>
      <c r="B549" s="13"/>
      <c r="C549" s="13"/>
      <c r="D549" s="13"/>
      <c r="E549" s="13"/>
      <c r="F549" s="13"/>
      <c r="G549" s="13"/>
      <c r="H549" s="13"/>
      <c r="I549" s="13"/>
      <c r="J549" s="14"/>
      <c r="K549" s="14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" customHeight="1">
      <c r="A550" s="14"/>
      <c r="B550" s="13"/>
      <c r="C550" s="13"/>
      <c r="D550" s="13"/>
      <c r="E550" s="13"/>
      <c r="F550" s="13"/>
      <c r="G550" s="13"/>
      <c r="H550" s="13"/>
      <c r="I550" s="13"/>
      <c r="J550" s="14"/>
      <c r="K550" s="14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" customHeight="1">
      <c r="A551" s="14"/>
      <c r="B551" s="13"/>
      <c r="C551" s="13"/>
      <c r="D551" s="13"/>
      <c r="E551" s="13"/>
      <c r="F551" s="13"/>
      <c r="G551" s="13"/>
      <c r="H551" s="13"/>
      <c r="I551" s="13"/>
      <c r="J551" s="14"/>
      <c r="K551" s="14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" customHeight="1">
      <c r="A552" s="14"/>
      <c r="B552" s="13"/>
      <c r="C552" s="13"/>
      <c r="D552" s="13"/>
      <c r="E552" s="13"/>
      <c r="F552" s="13"/>
      <c r="G552" s="13"/>
      <c r="H552" s="13"/>
      <c r="I552" s="13"/>
      <c r="J552" s="14"/>
      <c r="K552" s="14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" customHeight="1">
      <c r="A553" s="14"/>
      <c r="B553" s="13"/>
      <c r="C553" s="13"/>
      <c r="D553" s="13"/>
      <c r="E553" s="13"/>
      <c r="F553" s="13"/>
      <c r="G553" s="13"/>
      <c r="H553" s="13"/>
      <c r="I553" s="13"/>
      <c r="J553" s="14"/>
      <c r="K553" s="14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" customHeight="1">
      <c r="A554" s="14"/>
      <c r="B554" s="13"/>
      <c r="C554" s="13"/>
      <c r="D554" s="13"/>
      <c r="E554" s="13"/>
      <c r="F554" s="13"/>
      <c r="G554" s="13"/>
      <c r="H554" s="13"/>
      <c r="I554" s="13"/>
      <c r="J554" s="14"/>
      <c r="K554" s="14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" customHeight="1">
      <c r="A555" s="14"/>
      <c r="B555" s="13"/>
      <c r="C555" s="13"/>
      <c r="D555" s="13"/>
      <c r="E555" s="13"/>
      <c r="F555" s="13"/>
      <c r="G555" s="13"/>
      <c r="H555" s="13"/>
      <c r="I555" s="13"/>
      <c r="J555" s="14"/>
      <c r="K555" s="14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" customHeight="1">
      <c r="A556" s="14"/>
      <c r="B556" s="13"/>
      <c r="C556" s="13"/>
      <c r="D556" s="13"/>
      <c r="E556" s="13"/>
      <c r="F556" s="13"/>
      <c r="G556" s="13"/>
      <c r="H556" s="13"/>
      <c r="I556" s="13"/>
      <c r="J556" s="14"/>
      <c r="K556" s="14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" customHeight="1">
      <c r="A557" s="14"/>
      <c r="B557" s="13"/>
      <c r="C557" s="13"/>
      <c r="D557" s="13"/>
      <c r="E557" s="13"/>
      <c r="F557" s="13"/>
      <c r="G557" s="13"/>
      <c r="H557" s="13"/>
      <c r="I557" s="13"/>
      <c r="J557" s="14"/>
      <c r="K557" s="14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" customHeight="1">
      <c r="A558" s="14"/>
      <c r="B558" s="13"/>
      <c r="C558" s="13"/>
      <c r="D558" s="13"/>
      <c r="E558" s="13"/>
      <c r="F558" s="13"/>
      <c r="G558" s="13"/>
      <c r="H558" s="13"/>
      <c r="I558" s="13"/>
      <c r="J558" s="14"/>
      <c r="K558" s="14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" customHeight="1">
      <c r="A559" s="14"/>
      <c r="B559" s="13"/>
      <c r="C559" s="13"/>
      <c r="D559" s="13"/>
      <c r="E559" s="13"/>
      <c r="F559" s="13"/>
      <c r="G559" s="13"/>
      <c r="H559" s="13"/>
      <c r="I559" s="13"/>
      <c r="J559" s="14"/>
      <c r="K559" s="14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" customHeight="1">
      <c r="A560" s="14"/>
      <c r="B560" s="13"/>
      <c r="C560" s="13"/>
      <c r="D560" s="13"/>
      <c r="E560" s="13"/>
      <c r="F560" s="13"/>
      <c r="G560" s="13"/>
      <c r="H560" s="13"/>
      <c r="I560" s="13"/>
      <c r="J560" s="14"/>
      <c r="K560" s="14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" customHeight="1">
      <c r="A561" s="14"/>
      <c r="B561" s="13"/>
      <c r="C561" s="13"/>
      <c r="D561" s="13"/>
      <c r="E561" s="13"/>
      <c r="F561" s="13"/>
      <c r="G561" s="13"/>
      <c r="H561" s="13"/>
      <c r="I561" s="13"/>
      <c r="J561" s="14"/>
      <c r="K561" s="14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" customHeight="1">
      <c r="A562" s="14"/>
      <c r="B562" s="13"/>
      <c r="C562" s="13"/>
      <c r="D562" s="13"/>
      <c r="E562" s="13"/>
      <c r="F562" s="13"/>
      <c r="G562" s="13"/>
      <c r="H562" s="13"/>
      <c r="I562" s="13"/>
      <c r="J562" s="14"/>
      <c r="K562" s="14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" customHeight="1">
      <c r="A563" s="14"/>
      <c r="B563" s="13"/>
      <c r="C563" s="13"/>
      <c r="D563" s="13"/>
      <c r="E563" s="13"/>
      <c r="F563" s="13"/>
      <c r="G563" s="13"/>
      <c r="H563" s="13"/>
      <c r="I563" s="13"/>
      <c r="J563" s="14"/>
      <c r="K563" s="14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" customHeight="1">
      <c r="A564" s="14"/>
      <c r="B564" s="13"/>
      <c r="C564" s="13"/>
      <c r="D564" s="13"/>
      <c r="E564" s="13"/>
      <c r="F564" s="13"/>
      <c r="G564" s="13"/>
      <c r="H564" s="13"/>
      <c r="I564" s="13"/>
      <c r="J564" s="14"/>
      <c r="K564" s="14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" customHeight="1">
      <c r="A565" s="14"/>
      <c r="B565" s="13"/>
      <c r="C565" s="13"/>
      <c r="D565" s="13"/>
      <c r="E565" s="13"/>
      <c r="F565" s="13"/>
      <c r="G565" s="13"/>
      <c r="H565" s="13"/>
      <c r="I565" s="13"/>
      <c r="J565" s="14"/>
      <c r="K565" s="14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" customHeight="1">
      <c r="A566" s="14"/>
      <c r="B566" s="13"/>
      <c r="C566" s="13"/>
      <c r="D566" s="13"/>
      <c r="E566" s="13"/>
      <c r="F566" s="13"/>
      <c r="G566" s="13"/>
      <c r="H566" s="13"/>
      <c r="I566" s="13"/>
      <c r="J566" s="14"/>
      <c r="K566" s="14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" customHeight="1">
      <c r="A567" s="14"/>
      <c r="B567" s="13"/>
      <c r="C567" s="13"/>
      <c r="D567" s="13"/>
      <c r="E567" s="13"/>
      <c r="F567" s="13"/>
      <c r="G567" s="13"/>
      <c r="H567" s="13"/>
      <c r="I567" s="13"/>
      <c r="J567" s="14"/>
      <c r="K567" s="14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" customHeight="1">
      <c r="A568" s="14"/>
      <c r="B568" s="13"/>
      <c r="C568" s="13"/>
      <c r="D568" s="13"/>
      <c r="E568" s="13"/>
      <c r="F568" s="13"/>
      <c r="G568" s="13"/>
      <c r="H568" s="13"/>
      <c r="I568" s="13"/>
      <c r="J568" s="14"/>
      <c r="K568" s="14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" customHeight="1">
      <c r="A569" s="14"/>
      <c r="B569" s="13"/>
      <c r="C569" s="13"/>
      <c r="D569" s="13"/>
      <c r="E569" s="13"/>
      <c r="F569" s="13"/>
      <c r="G569" s="13"/>
      <c r="H569" s="13"/>
      <c r="I569" s="13"/>
      <c r="J569" s="14"/>
      <c r="K569" s="14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" customHeight="1">
      <c r="A570" s="14"/>
      <c r="B570" s="13"/>
      <c r="C570" s="13"/>
      <c r="D570" s="13"/>
      <c r="E570" s="13"/>
      <c r="F570" s="13"/>
      <c r="G570" s="13"/>
      <c r="H570" s="13"/>
      <c r="I570" s="13"/>
      <c r="J570" s="14"/>
      <c r="K570" s="14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" customHeight="1">
      <c r="A571" s="14"/>
      <c r="B571" s="13"/>
      <c r="C571" s="13"/>
      <c r="D571" s="13"/>
      <c r="E571" s="13"/>
      <c r="F571" s="13"/>
      <c r="G571" s="13"/>
      <c r="H571" s="13"/>
      <c r="I571" s="13"/>
      <c r="J571" s="14"/>
      <c r="K571" s="14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" customHeight="1">
      <c r="A572" s="14"/>
      <c r="B572" s="13"/>
      <c r="C572" s="13"/>
      <c r="D572" s="13"/>
      <c r="E572" s="13"/>
      <c r="F572" s="13"/>
      <c r="G572" s="13"/>
      <c r="H572" s="13"/>
      <c r="I572" s="13"/>
      <c r="J572" s="14"/>
      <c r="K572" s="14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" customHeight="1">
      <c r="A573" s="14"/>
      <c r="B573" s="13"/>
      <c r="C573" s="13"/>
      <c r="D573" s="13"/>
      <c r="E573" s="13"/>
      <c r="F573" s="13"/>
      <c r="G573" s="13"/>
      <c r="H573" s="13"/>
      <c r="I573" s="13"/>
      <c r="J573" s="14"/>
      <c r="K573" s="14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" customHeight="1">
      <c r="A574" s="14"/>
      <c r="B574" s="13"/>
      <c r="C574" s="13"/>
      <c r="D574" s="13"/>
      <c r="E574" s="13"/>
      <c r="F574" s="13"/>
      <c r="G574" s="13"/>
      <c r="H574" s="13"/>
      <c r="I574" s="13"/>
      <c r="J574" s="14"/>
      <c r="K574" s="14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" customHeight="1">
      <c r="A575" s="14"/>
      <c r="B575" s="13"/>
      <c r="C575" s="13"/>
      <c r="D575" s="13"/>
      <c r="E575" s="13"/>
      <c r="F575" s="13"/>
      <c r="G575" s="13"/>
      <c r="H575" s="13"/>
      <c r="I575" s="13"/>
      <c r="J575" s="14"/>
      <c r="K575" s="14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" customHeight="1">
      <c r="A576" s="14"/>
      <c r="B576" s="13"/>
      <c r="C576" s="13"/>
      <c r="D576" s="13"/>
      <c r="E576" s="13"/>
      <c r="F576" s="13"/>
      <c r="G576" s="13"/>
      <c r="H576" s="13"/>
      <c r="I576" s="13"/>
      <c r="J576" s="14"/>
      <c r="K576" s="14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" customHeight="1">
      <c r="A577" s="14"/>
      <c r="B577" s="13"/>
      <c r="C577" s="13"/>
      <c r="D577" s="13"/>
      <c r="E577" s="13"/>
      <c r="F577" s="13"/>
      <c r="G577" s="13"/>
      <c r="H577" s="13"/>
      <c r="I577" s="13"/>
      <c r="J577" s="14"/>
      <c r="K577" s="14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" customHeight="1">
      <c r="A578" s="14"/>
      <c r="B578" s="13"/>
      <c r="C578" s="13"/>
      <c r="D578" s="13"/>
      <c r="E578" s="13"/>
      <c r="F578" s="13"/>
      <c r="G578" s="13"/>
      <c r="H578" s="13"/>
      <c r="I578" s="13"/>
      <c r="J578" s="14"/>
      <c r="K578" s="14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" customHeight="1">
      <c r="A579" s="14"/>
      <c r="B579" s="13"/>
      <c r="C579" s="13"/>
      <c r="D579" s="13"/>
      <c r="E579" s="13"/>
      <c r="F579" s="13"/>
      <c r="G579" s="13"/>
      <c r="H579" s="13"/>
      <c r="I579" s="13"/>
      <c r="J579" s="14"/>
      <c r="K579" s="14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" customHeight="1">
      <c r="A580" s="14"/>
      <c r="B580" s="13"/>
      <c r="C580" s="13"/>
      <c r="D580" s="13"/>
      <c r="E580" s="13"/>
      <c r="F580" s="13"/>
      <c r="G580" s="13"/>
      <c r="H580" s="13"/>
      <c r="I580" s="13"/>
      <c r="J580" s="14"/>
      <c r="K580" s="14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" customHeight="1">
      <c r="A581" s="14"/>
      <c r="B581" s="13"/>
      <c r="C581" s="13"/>
      <c r="D581" s="13"/>
      <c r="E581" s="13"/>
      <c r="F581" s="13"/>
      <c r="G581" s="13"/>
      <c r="H581" s="13"/>
      <c r="I581" s="13"/>
      <c r="J581" s="14"/>
      <c r="K581" s="14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" customHeight="1">
      <c r="A582" s="14"/>
      <c r="B582" s="13"/>
      <c r="C582" s="13"/>
      <c r="D582" s="13"/>
      <c r="E582" s="13"/>
      <c r="F582" s="13"/>
      <c r="G582" s="13"/>
      <c r="H582" s="13"/>
      <c r="I582" s="13"/>
      <c r="J582" s="14"/>
      <c r="K582" s="14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" customHeight="1">
      <c r="A583" s="14"/>
      <c r="B583" s="13"/>
      <c r="C583" s="13"/>
      <c r="D583" s="13"/>
      <c r="E583" s="13"/>
      <c r="F583" s="13"/>
      <c r="G583" s="13"/>
      <c r="H583" s="13"/>
      <c r="I583" s="13"/>
      <c r="J583" s="14"/>
      <c r="K583" s="14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" customHeight="1">
      <c r="A584" s="14"/>
      <c r="B584" s="13"/>
      <c r="C584" s="13"/>
      <c r="D584" s="13"/>
      <c r="E584" s="13"/>
      <c r="F584" s="13"/>
      <c r="G584" s="13"/>
      <c r="H584" s="13"/>
      <c r="I584" s="13"/>
      <c r="J584" s="14"/>
      <c r="K584" s="14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" customHeight="1">
      <c r="A585" s="14"/>
      <c r="B585" s="13"/>
      <c r="C585" s="13"/>
      <c r="D585" s="13"/>
      <c r="E585" s="13"/>
      <c r="F585" s="13"/>
      <c r="G585" s="13"/>
      <c r="H585" s="13"/>
      <c r="I585" s="13"/>
      <c r="J585" s="14"/>
      <c r="K585" s="14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" customHeight="1">
      <c r="A586" s="14"/>
      <c r="B586" s="13"/>
      <c r="C586" s="13"/>
      <c r="D586" s="13"/>
      <c r="E586" s="13"/>
      <c r="F586" s="13"/>
      <c r="G586" s="13"/>
      <c r="H586" s="13"/>
      <c r="I586" s="13"/>
      <c r="J586" s="14"/>
      <c r="K586" s="14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" customHeight="1">
      <c r="A587" s="14"/>
      <c r="B587" s="13"/>
      <c r="C587" s="13"/>
      <c r="D587" s="13"/>
      <c r="E587" s="13"/>
      <c r="F587" s="13"/>
      <c r="G587" s="13"/>
      <c r="H587" s="13"/>
      <c r="I587" s="13"/>
      <c r="J587" s="14"/>
      <c r="K587" s="14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" customHeight="1">
      <c r="A588" s="14"/>
      <c r="B588" s="13"/>
      <c r="C588" s="13"/>
      <c r="D588" s="13"/>
      <c r="E588" s="13"/>
      <c r="F588" s="13"/>
      <c r="G588" s="13"/>
      <c r="H588" s="13"/>
      <c r="I588" s="13"/>
      <c r="J588" s="14"/>
      <c r="K588" s="14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" customHeight="1">
      <c r="A589" s="14"/>
      <c r="B589" s="13"/>
      <c r="C589" s="13"/>
      <c r="D589" s="13"/>
      <c r="E589" s="13"/>
      <c r="F589" s="13"/>
      <c r="G589" s="13"/>
      <c r="H589" s="13"/>
      <c r="I589" s="13"/>
      <c r="J589" s="14"/>
      <c r="K589" s="14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" customHeight="1">
      <c r="A590" s="14"/>
      <c r="B590" s="13"/>
      <c r="C590" s="13"/>
      <c r="D590" s="13"/>
      <c r="E590" s="13"/>
      <c r="F590" s="13"/>
      <c r="G590" s="13"/>
      <c r="H590" s="13"/>
      <c r="I590" s="13"/>
      <c r="J590" s="14"/>
      <c r="K590" s="14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" customHeight="1">
      <c r="A591" s="14"/>
      <c r="B591" s="13"/>
      <c r="C591" s="13"/>
      <c r="D591" s="13"/>
      <c r="E591" s="13"/>
      <c r="F591" s="13"/>
      <c r="G591" s="13"/>
      <c r="H591" s="13"/>
      <c r="I591" s="13"/>
      <c r="J591" s="14"/>
      <c r="K591" s="14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" customHeight="1">
      <c r="A592" s="14"/>
      <c r="B592" s="13"/>
      <c r="C592" s="13"/>
      <c r="D592" s="13"/>
      <c r="E592" s="13"/>
      <c r="F592" s="13"/>
      <c r="G592" s="13"/>
      <c r="H592" s="13"/>
      <c r="I592" s="13"/>
      <c r="J592" s="14"/>
      <c r="K592" s="14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" customHeight="1">
      <c r="A593" s="14"/>
      <c r="B593" s="13"/>
      <c r="C593" s="13"/>
      <c r="D593" s="13"/>
      <c r="E593" s="13"/>
      <c r="F593" s="13"/>
      <c r="G593" s="13"/>
      <c r="H593" s="13"/>
      <c r="I593" s="13"/>
      <c r="J593" s="14"/>
      <c r="K593" s="14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" customHeight="1">
      <c r="A594" s="14"/>
      <c r="B594" s="13"/>
      <c r="C594" s="13"/>
      <c r="D594" s="13"/>
      <c r="E594" s="13"/>
      <c r="F594" s="13"/>
      <c r="G594" s="13"/>
      <c r="H594" s="13"/>
      <c r="I594" s="13"/>
      <c r="J594" s="14"/>
      <c r="K594" s="14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" customHeight="1">
      <c r="A595" s="14"/>
      <c r="B595" s="13"/>
      <c r="C595" s="13"/>
      <c r="D595" s="13"/>
      <c r="E595" s="13"/>
      <c r="F595" s="13"/>
      <c r="G595" s="13"/>
      <c r="H595" s="13"/>
      <c r="I595" s="13"/>
      <c r="J595" s="14"/>
      <c r="K595" s="14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" customHeight="1">
      <c r="A596" s="14"/>
      <c r="B596" s="13"/>
      <c r="C596" s="13"/>
      <c r="D596" s="13"/>
      <c r="E596" s="13"/>
      <c r="F596" s="13"/>
      <c r="G596" s="13"/>
      <c r="H596" s="13"/>
      <c r="I596" s="13"/>
      <c r="J596" s="14"/>
      <c r="K596" s="14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" customHeight="1">
      <c r="A597" s="14"/>
      <c r="B597" s="13"/>
      <c r="C597" s="13"/>
      <c r="D597" s="13"/>
      <c r="E597" s="13"/>
      <c r="F597" s="13"/>
      <c r="G597" s="13"/>
      <c r="H597" s="13"/>
      <c r="I597" s="13"/>
      <c r="J597" s="14"/>
      <c r="K597" s="14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" customHeight="1">
      <c r="A598" s="14"/>
      <c r="B598" s="13"/>
      <c r="C598" s="13"/>
      <c r="D598" s="13"/>
      <c r="E598" s="13"/>
      <c r="F598" s="13"/>
      <c r="G598" s="13"/>
      <c r="H598" s="13"/>
      <c r="I598" s="13"/>
      <c r="J598" s="14"/>
      <c r="K598" s="14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" customHeight="1">
      <c r="A599" s="14"/>
      <c r="B599" s="13"/>
      <c r="C599" s="13"/>
      <c r="D599" s="13"/>
      <c r="E599" s="13"/>
      <c r="F599" s="13"/>
      <c r="G599" s="13"/>
      <c r="H599" s="13"/>
      <c r="I599" s="13"/>
      <c r="J599" s="14"/>
      <c r="K599" s="14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" customHeight="1">
      <c r="A600" s="14"/>
      <c r="B600" s="13"/>
      <c r="C600" s="13"/>
      <c r="D600" s="13"/>
      <c r="E600" s="13"/>
      <c r="F600" s="13"/>
      <c r="G600" s="13"/>
      <c r="H600" s="13"/>
      <c r="I600" s="13"/>
      <c r="J600" s="14"/>
      <c r="K600" s="14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" customHeight="1">
      <c r="A601" s="14"/>
      <c r="B601" s="13"/>
      <c r="C601" s="13"/>
      <c r="D601" s="13"/>
      <c r="E601" s="13"/>
      <c r="F601" s="13"/>
      <c r="G601" s="13"/>
      <c r="H601" s="13"/>
      <c r="I601" s="13"/>
      <c r="J601" s="14"/>
      <c r="K601" s="14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" customHeight="1">
      <c r="A602" s="14"/>
      <c r="B602" s="13"/>
      <c r="C602" s="13"/>
      <c r="D602" s="13"/>
      <c r="E602" s="13"/>
      <c r="F602" s="13"/>
      <c r="G602" s="13"/>
      <c r="H602" s="13"/>
      <c r="I602" s="13"/>
      <c r="J602" s="14"/>
      <c r="K602" s="14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" customHeight="1">
      <c r="A603" s="14"/>
      <c r="B603" s="13"/>
      <c r="C603" s="13"/>
      <c r="D603" s="13"/>
      <c r="E603" s="13"/>
      <c r="F603" s="13"/>
      <c r="G603" s="13"/>
      <c r="H603" s="13"/>
      <c r="I603" s="13"/>
      <c r="J603" s="14"/>
      <c r="K603" s="14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" customHeight="1">
      <c r="A604" s="14"/>
      <c r="B604" s="13"/>
      <c r="C604" s="13"/>
      <c r="D604" s="13"/>
      <c r="E604" s="13"/>
      <c r="F604" s="13"/>
      <c r="G604" s="13"/>
      <c r="H604" s="13"/>
      <c r="I604" s="13"/>
      <c r="J604" s="14"/>
      <c r="K604" s="14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" customHeight="1">
      <c r="A605" s="14"/>
      <c r="B605" s="13"/>
      <c r="C605" s="13"/>
      <c r="D605" s="13"/>
      <c r="E605" s="13"/>
      <c r="F605" s="13"/>
      <c r="G605" s="13"/>
      <c r="H605" s="13"/>
      <c r="I605" s="13"/>
      <c r="J605" s="14"/>
      <c r="K605" s="14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" customHeight="1">
      <c r="A606" s="14"/>
      <c r="B606" s="13"/>
      <c r="C606" s="13"/>
      <c r="D606" s="13"/>
      <c r="E606" s="13"/>
      <c r="F606" s="13"/>
      <c r="G606" s="13"/>
      <c r="H606" s="13"/>
      <c r="I606" s="13"/>
      <c r="J606" s="14"/>
      <c r="K606" s="14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" customHeight="1">
      <c r="A607" s="14"/>
      <c r="B607" s="13"/>
      <c r="C607" s="13"/>
      <c r="D607" s="13"/>
      <c r="E607" s="13"/>
      <c r="F607" s="13"/>
      <c r="G607" s="13"/>
      <c r="H607" s="13"/>
      <c r="I607" s="13"/>
      <c r="J607" s="14"/>
      <c r="K607" s="14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" customHeight="1">
      <c r="A608" s="14"/>
      <c r="B608" s="13"/>
      <c r="C608" s="13"/>
      <c r="D608" s="13"/>
      <c r="E608" s="13"/>
      <c r="F608" s="13"/>
      <c r="G608" s="13"/>
      <c r="H608" s="13"/>
      <c r="I608" s="13"/>
      <c r="J608" s="14"/>
      <c r="K608" s="14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" customHeight="1">
      <c r="A609" s="14"/>
      <c r="B609" s="13"/>
      <c r="C609" s="13"/>
      <c r="D609" s="13"/>
      <c r="E609" s="13"/>
      <c r="F609" s="13"/>
      <c r="G609" s="13"/>
      <c r="H609" s="13"/>
      <c r="I609" s="13"/>
      <c r="J609" s="14"/>
      <c r="K609" s="14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" customHeight="1">
      <c r="A610" s="14"/>
      <c r="B610" s="13"/>
      <c r="C610" s="13"/>
      <c r="D610" s="13"/>
      <c r="E610" s="13"/>
      <c r="F610" s="13"/>
      <c r="G610" s="13"/>
      <c r="H610" s="13"/>
      <c r="I610" s="13"/>
      <c r="J610" s="14"/>
      <c r="K610" s="14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" customHeight="1">
      <c r="A611" s="14"/>
      <c r="B611" s="13"/>
      <c r="C611" s="13"/>
      <c r="D611" s="13"/>
      <c r="E611" s="13"/>
      <c r="F611" s="13"/>
      <c r="G611" s="13"/>
      <c r="H611" s="13"/>
      <c r="I611" s="13"/>
      <c r="J611" s="14"/>
      <c r="K611" s="14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" customHeight="1">
      <c r="A612" s="14"/>
      <c r="B612" s="13"/>
      <c r="C612" s="13"/>
      <c r="D612" s="13"/>
      <c r="E612" s="13"/>
      <c r="F612" s="13"/>
      <c r="G612" s="13"/>
      <c r="H612" s="13"/>
      <c r="I612" s="13"/>
      <c r="J612" s="14"/>
      <c r="K612" s="14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" customHeight="1">
      <c r="A613" s="14"/>
      <c r="B613" s="13"/>
      <c r="C613" s="13"/>
      <c r="D613" s="13"/>
      <c r="E613" s="13"/>
      <c r="F613" s="13"/>
      <c r="G613" s="13"/>
      <c r="H613" s="13"/>
      <c r="I613" s="13"/>
      <c r="J613" s="14"/>
      <c r="K613" s="14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" customHeight="1">
      <c r="A614" s="14"/>
      <c r="B614" s="13"/>
      <c r="C614" s="13"/>
      <c r="D614" s="13"/>
      <c r="E614" s="13"/>
      <c r="F614" s="13"/>
      <c r="G614" s="13"/>
      <c r="H614" s="13"/>
      <c r="I614" s="13"/>
      <c r="J614" s="14"/>
      <c r="K614" s="14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" customHeight="1">
      <c r="A615" s="14"/>
      <c r="B615" s="13"/>
      <c r="C615" s="13"/>
      <c r="D615" s="13"/>
      <c r="E615" s="13"/>
      <c r="F615" s="13"/>
      <c r="G615" s="13"/>
      <c r="H615" s="13"/>
      <c r="I615" s="13"/>
      <c r="J615" s="14"/>
      <c r="K615" s="14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" customHeight="1">
      <c r="A616" s="14"/>
      <c r="B616" s="13"/>
      <c r="C616" s="13"/>
      <c r="D616" s="13"/>
      <c r="E616" s="13"/>
      <c r="F616" s="13"/>
      <c r="G616" s="13"/>
      <c r="H616" s="13"/>
      <c r="I616" s="13"/>
      <c r="J616" s="14"/>
      <c r="K616" s="14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" customHeight="1">
      <c r="A617" s="14"/>
      <c r="B617" s="13"/>
      <c r="C617" s="13"/>
      <c r="D617" s="13"/>
      <c r="E617" s="13"/>
      <c r="F617" s="13"/>
      <c r="G617" s="13"/>
      <c r="H617" s="13"/>
      <c r="I617" s="13"/>
      <c r="J617" s="14"/>
      <c r="K617" s="14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" customHeight="1">
      <c r="A618" s="14"/>
      <c r="B618" s="13"/>
      <c r="C618" s="13"/>
      <c r="D618" s="13"/>
      <c r="E618" s="13"/>
      <c r="F618" s="13"/>
      <c r="G618" s="13"/>
      <c r="H618" s="13"/>
      <c r="I618" s="13"/>
      <c r="J618" s="14"/>
      <c r="K618" s="14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" customHeight="1">
      <c r="A619" s="14"/>
      <c r="B619" s="13"/>
      <c r="C619" s="13"/>
      <c r="D619" s="13"/>
      <c r="E619" s="13"/>
      <c r="F619" s="13"/>
      <c r="G619" s="13"/>
      <c r="H619" s="13"/>
      <c r="I619" s="13"/>
      <c r="J619" s="14"/>
      <c r="K619" s="14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" customHeight="1">
      <c r="A620" s="14"/>
      <c r="B620" s="13"/>
      <c r="C620" s="13"/>
      <c r="D620" s="13"/>
      <c r="E620" s="13"/>
      <c r="F620" s="13"/>
      <c r="G620" s="13"/>
      <c r="H620" s="13"/>
      <c r="I620" s="13"/>
      <c r="J620" s="14"/>
      <c r="K620" s="14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" customHeight="1">
      <c r="A621" s="14"/>
      <c r="B621" s="13"/>
      <c r="C621" s="13"/>
      <c r="D621" s="13"/>
      <c r="E621" s="13"/>
      <c r="F621" s="13"/>
      <c r="G621" s="13"/>
      <c r="H621" s="13"/>
      <c r="I621" s="13"/>
      <c r="J621" s="14"/>
      <c r="K621" s="14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" customHeight="1">
      <c r="A622" s="14"/>
      <c r="B622" s="13"/>
      <c r="C622" s="13"/>
      <c r="D622" s="13"/>
      <c r="E622" s="13"/>
      <c r="F622" s="13"/>
      <c r="G622" s="13"/>
      <c r="H622" s="13"/>
      <c r="I622" s="13"/>
      <c r="J622" s="14"/>
      <c r="K622" s="14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" customHeight="1">
      <c r="A623" s="14"/>
      <c r="B623" s="13"/>
      <c r="C623" s="13"/>
      <c r="D623" s="13"/>
      <c r="E623" s="13"/>
      <c r="F623" s="13"/>
      <c r="G623" s="13"/>
      <c r="H623" s="13"/>
      <c r="I623" s="13"/>
      <c r="J623" s="14"/>
      <c r="K623" s="14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" customHeight="1">
      <c r="A624" s="14"/>
      <c r="B624" s="13"/>
      <c r="C624" s="13"/>
      <c r="D624" s="13"/>
      <c r="E624" s="13"/>
      <c r="F624" s="13"/>
      <c r="G624" s="13"/>
      <c r="H624" s="13"/>
      <c r="I624" s="13"/>
      <c r="J624" s="14"/>
      <c r="K624" s="14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" customHeight="1">
      <c r="A625" s="14"/>
      <c r="B625" s="13"/>
      <c r="C625" s="13"/>
      <c r="D625" s="13"/>
      <c r="E625" s="13"/>
      <c r="F625" s="13"/>
      <c r="G625" s="13"/>
      <c r="H625" s="13"/>
      <c r="I625" s="13"/>
      <c r="J625" s="14"/>
      <c r="K625" s="14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" customHeight="1">
      <c r="A626" s="14"/>
      <c r="B626" s="13"/>
      <c r="C626" s="13"/>
      <c r="D626" s="13"/>
      <c r="E626" s="13"/>
      <c r="F626" s="13"/>
      <c r="G626" s="13"/>
      <c r="H626" s="13"/>
      <c r="I626" s="13"/>
      <c r="J626" s="14"/>
      <c r="K626" s="14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" customHeight="1">
      <c r="A627" s="14"/>
      <c r="B627" s="13"/>
      <c r="C627" s="13"/>
      <c r="D627" s="13"/>
      <c r="E627" s="13"/>
      <c r="F627" s="13"/>
      <c r="G627" s="13"/>
      <c r="H627" s="13"/>
      <c r="I627" s="13"/>
      <c r="J627" s="14"/>
      <c r="K627" s="14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" customHeight="1">
      <c r="A628" s="14"/>
      <c r="B628" s="13"/>
      <c r="C628" s="13"/>
      <c r="D628" s="13"/>
      <c r="E628" s="13"/>
      <c r="F628" s="13"/>
      <c r="G628" s="13"/>
      <c r="H628" s="13"/>
      <c r="I628" s="13"/>
      <c r="J628" s="14"/>
      <c r="K628" s="14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" customHeight="1">
      <c r="A629" s="14"/>
      <c r="B629" s="13"/>
      <c r="C629" s="13"/>
      <c r="D629" s="13"/>
      <c r="E629" s="13"/>
      <c r="F629" s="13"/>
      <c r="G629" s="13"/>
      <c r="H629" s="13"/>
      <c r="I629" s="13"/>
      <c r="J629" s="14"/>
      <c r="K629" s="14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" customHeight="1">
      <c r="A630" s="14"/>
      <c r="B630" s="13"/>
      <c r="C630" s="13"/>
      <c r="D630" s="13"/>
      <c r="E630" s="13"/>
      <c r="F630" s="13"/>
      <c r="G630" s="13"/>
      <c r="H630" s="13"/>
      <c r="I630" s="13"/>
      <c r="J630" s="14"/>
      <c r="K630" s="14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" customHeight="1">
      <c r="A631" s="14"/>
      <c r="B631" s="13"/>
      <c r="C631" s="13"/>
      <c r="D631" s="13"/>
      <c r="E631" s="13"/>
      <c r="F631" s="13"/>
      <c r="G631" s="13"/>
      <c r="H631" s="13"/>
      <c r="I631" s="13"/>
      <c r="J631" s="14"/>
      <c r="K631" s="14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" customHeight="1">
      <c r="A632" s="14"/>
      <c r="B632" s="13"/>
      <c r="C632" s="13"/>
      <c r="D632" s="13"/>
      <c r="E632" s="13"/>
      <c r="F632" s="13"/>
      <c r="G632" s="13"/>
      <c r="H632" s="13"/>
      <c r="I632" s="13"/>
      <c r="J632" s="14"/>
      <c r="K632" s="14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" customHeight="1">
      <c r="A633" s="14"/>
      <c r="B633" s="13"/>
      <c r="C633" s="13"/>
      <c r="D633" s="13"/>
      <c r="E633" s="13"/>
      <c r="F633" s="13"/>
      <c r="G633" s="13"/>
      <c r="H633" s="13"/>
      <c r="I633" s="13"/>
      <c r="J633" s="14"/>
      <c r="K633" s="14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" customHeight="1">
      <c r="A634" s="14"/>
      <c r="B634" s="13"/>
      <c r="C634" s="13"/>
      <c r="D634" s="13"/>
      <c r="E634" s="13"/>
      <c r="F634" s="13"/>
      <c r="G634" s="13"/>
      <c r="H634" s="13"/>
      <c r="I634" s="13"/>
      <c r="J634" s="14"/>
      <c r="K634" s="14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" customHeight="1">
      <c r="A635" s="14"/>
      <c r="B635" s="13"/>
      <c r="C635" s="13"/>
      <c r="D635" s="13"/>
      <c r="E635" s="13"/>
      <c r="F635" s="13"/>
      <c r="G635" s="13"/>
      <c r="H635" s="13"/>
      <c r="I635" s="13"/>
      <c r="J635" s="14"/>
      <c r="K635" s="14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" customHeight="1">
      <c r="A636" s="14"/>
      <c r="B636" s="13"/>
      <c r="C636" s="13"/>
      <c r="D636" s="13"/>
      <c r="E636" s="13"/>
      <c r="F636" s="13"/>
      <c r="G636" s="13"/>
      <c r="H636" s="13"/>
      <c r="I636" s="13"/>
      <c r="J636" s="14"/>
      <c r="K636" s="14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" customHeight="1">
      <c r="A637" s="14"/>
      <c r="B637" s="13"/>
      <c r="C637" s="13"/>
      <c r="D637" s="13"/>
      <c r="E637" s="13"/>
      <c r="F637" s="13"/>
      <c r="G637" s="13"/>
      <c r="H637" s="13"/>
      <c r="I637" s="13"/>
      <c r="J637" s="14"/>
      <c r="K637" s="14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" customHeight="1">
      <c r="A638" s="14"/>
      <c r="B638" s="13"/>
      <c r="C638" s="13"/>
      <c r="D638" s="13"/>
      <c r="E638" s="13"/>
      <c r="F638" s="13"/>
      <c r="G638" s="13"/>
      <c r="H638" s="13"/>
      <c r="I638" s="13"/>
      <c r="J638" s="14"/>
      <c r="K638" s="14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" customHeight="1">
      <c r="A639" s="14"/>
      <c r="B639" s="13"/>
      <c r="C639" s="13"/>
      <c r="D639" s="13"/>
      <c r="E639" s="13"/>
      <c r="F639" s="13"/>
      <c r="G639" s="13"/>
      <c r="H639" s="13"/>
      <c r="I639" s="13"/>
      <c r="J639" s="14"/>
      <c r="K639" s="14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" customHeight="1">
      <c r="A640" s="14"/>
      <c r="B640" s="13"/>
      <c r="C640" s="13"/>
      <c r="D640" s="13"/>
      <c r="E640" s="13"/>
      <c r="F640" s="13"/>
      <c r="G640" s="13"/>
      <c r="H640" s="13"/>
      <c r="I640" s="13"/>
      <c r="J640" s="14"/>
      <c r="K640" s="14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" customHeight="1">
      <c r="A641" s="14"/>
      <c r="B641" s="13"/>
      <c r="C641" s="13"/>
      <c r="D641" s="13"/>
      <c r="E641" s="13"/>
      <c r="F641" s="13"/>
      <c r="G641" s="13"/>
      <c r="H641" s="13"/>
      <c r="I641" s="13"/>
      <c r="J641" s="14"/>
      <c r="K641" s="14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" customHeight="1">
      <c r="A642" s="14"/>
      <c r="B642" s="13"/>
      <c r="C642" s="13"/>
      <c r="D642" s="13"/>
      <c r="E642" s="13"/>
      <c r="F642" s="13"/>
      <c r="G642" s="13"/>
      <c r="H642" s="13"/>
      <c r="I642" s="13"/>
      <c r="J642" s="14"/>
      <c r="K642" s="14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" customHeight="1">
      <c r="A643" s="14"/>
      <c r="B643" s="13"/>
      <c r="C643" s="13"/>
      <c r="D643" s="13"/>
      <c r="E643" s="13"/>
      <c r="F643" s="13"/>
      <c r="G643" s="13"/>
      <c r="H643" s="13"/>
      <c r="I643" s="13"/>
      <c r="J643" s="14"/>
      <c r="K643" s="14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" customHeight="1">
      <c r="A644" s="14"/>
      <c r="B644" s="13"/>
      <c r="C644" s="13"/>
      <c r="D644" s="13"/>
      <c r="E644" s="13"/>
      <c r="F644" s="13"/>
      <c r="G644" s="13"/>
      <c r="H644" s="13"/>
      <c r="I644" s="13"/>
      <c r="J644" s="14"/>
      <c r="K644" s="14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" customHeight="1">
      <c r="A645" s="14"/>
      <c r="B645" s="13"/>
      <c r="C645" s="13"/>
      <c r="D645" s="13"/>
      <c r="E645" s="13"/>
      <c r="F645" s="13"/>
      <c r="G645" s="13"/>
      <c r="H645" s="13"/>
      <c r="I645" s="13"/>
      <c r="J645" s="14"/>
      <c r="K645" s="14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" customHeight="1">
      <c r="A646" s="14"/>
      <c r="B646" s="13"/>
      <c r="C646" s="13"/>
      <c r="D646" s="13"/>
      <c r="E646" s="13"/>
      <c r="F646" s="13"/>
      <c r="G646" s="13"/>
      <c r="H646" s="13"/>
      <c r="I646" s="13"/>
      <c r="J646" s="14"/>
      <c r="K646" s="14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" customHeight="1">
      <c r="A647" s="14"/>
      <c r="B647" s="13"/>
      <c r="C647" s="13"/>
      <c r="D647" s="13"/>
      <c r="E647" s="13"/>
      <c r="F647" s="13"/>
      <c r="G647" s="13"/>
      <c r="H647" s="13"/>
      <c r="I647" s="13"/>
      <c r="J647" s="14"/>
      <c r="K647" s="14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" customHeight="1">
      <c r="A648" s="14"/>
      <c r="B648" s="13"/>
      <c r="C648" s="13"/>
      <c r="D648" s="13"/>
      <c r="E648" s="13"/>
      <c r="F648" s="13"/>
      <c r="G648" s="13"/>
      <c r="H648" s="13"/>
      <c r="I648" s="13"/>
      <c r="J648" s="14"/>
      <c r="K648" s="14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" customHeight="1">
      <c r="A649" s="14"/>
      <c r="B649" s="13"/>
      <c r="C649" s="13"/>
      <c r="D649" s="13"/>
      <c r="E649" s="13"/>
      <c r="F649" s="13"/>
      <c r="G649" s="13"/>
      <c r="H649" s="13"/>
      <c r="I649" s="13"/>
      <c r="J649" s="14"/>
      <c r="K649" s="14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" customHeight="1">
      <c r="A650" s="14"/>
      <c r="B650" s="13"/>
      <c r="C650" s="13"/>
      <c r="D650" s="13"/>
      <c r="E650" s="13"/>
      <c r="F650" s="13"/>
      <c r="G650" s="13"/>
      <c r="H650" s="13"/>
      <c r="I650" s="13"/>
      <c r="J650" s="14"/>
      <c r="K650" s="14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" customHeight="1">
      <c r="A651" s="14"/>
      <c r="B651" s="13"/>
      <c r="C651" s="13"/>
      <c r="D651" s="13"/>
      <c r="E651" s="13"/>
      <c r="F651" s="13"/>
      <c r="G651" s="13"/>
      <c r="H651" s="13"/>
      <c r="I651" s="13"/>
      <c r="J651" s="14"/>
      <c r="K651" s="14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" customHeight="1">
      <c r="A652" s="14"/>
      <c r="B652" s="13"/>
      <c r="C652" s="13"/>
      <c r="D652" s="13"/>
      <c r="E652" s="13"/>
      <c r="F652" s="13"/>
      <c r="G652" s="13"/>
      <c r="H652" s="13"/>
      <c r="I652" s="13"/>
      <c r="J652" s="14"/>
      <c r="K652" s="14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" customHeight="1">
      <c r="A653" s="14"/>
      <c r="B653" s="13"/>
      <c r="C653" s="13"/>
      <c r="D653" s="13"/>
      <c r="E653" s="13"/>
      <c r="F653" s="13"/>
      <c r="G653" s="13"/>
      <c r="H653" s="13"/>
      <c r="I653" s="13"/>
      <c r="J653" s="14"/>
      <c r="K653" s="14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" customHeight="1">
      <c r="A654" s="14"/>
      <c r="B654" s="13"/>
      <c r="C654" s="13"/>
      <c r="D654" s="13"/>
      <c r="E654" s="13"/>
      <c r="F654" s="13"/>
      <c r="G654" s="13"/>
      <c r="H654" s="13"/>
      <c r="I654" s="13"/>
      <c r="J654" s="14"/>
      <c r="K654" s="14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" customHeight="1">
      <c r="A655" s="14"/>
      <c r="B655" s="13"/>
      <c r="C655" s="13"/>
      <c r="D655" s="13"/>
      <c r="E655" s="13"/>
      <c r="F655" s="13"/>
      <c r="G655" s="13"/>
      <c r="H655" s="13"/>
      <c r="I655" s="13"/>
      <c r="J655" s="14"/>
      <c r="K655" s="14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" customHeight="1">
      <c r="A656" s="14"/>
      <c r="B656" s="13"/>
      <c r="C656" s="13"/>
      <c r="D656" s="13"/>
      <c r="E656" s="13"/>
      <c r="F656" s="13"/>
      <c r="G656" s="13"/>
      <c r="H656" s="13"/>
      <c r="I656" s="13"/>
      <c r="J656" s="14"/>
      <c r="K656" s="14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" customHeight="1">
      <c r="A657" s="14"/>
      <c r="B657" s="13"/>
      <c r="C657" s="13"/>
      <c r="D657" s="13"/>
      <c r="E657" s="13"/>
      <c r="F657" s="13"/>
      <c r="G657" s="13"/>
      <c r="H657" s="13"/>
      <c r="I657" s="13"/>
      <c r="J657" s="14"/>
      <c r="K657" s="14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" customHeight="1">
      <c r="A658" s="14"/>
      <c r="B658" s="13"/>
      <c r="C658" s="13"/>
      <c r="D658" s="13"/>
      <c r="E658" s="13"/>
      <c r="F658" s="13"/>
      <c r="G658" s="13"/>
      <c r="H658" s="13"/>
      <c r="I658" s="13"/>
      <c r="J658" s="14"/>
      <c r="K658" s="14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" customHeight="1">
      <c r="A659" s="14"/>
      <c r="B659" s="13"/>
      <c r="C659" s="13"/>
      <c r="D659" s="13"/>
      <c r="E659" s="13"/>
      <c r="F659" s="13"/>
      <c r="G659" s="13"/>
      <c r="H659" s="13"/>
      <c r="I659" s="13"/>
      <c r="J659" s="14"/>
      <c r="K659" s="14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" customHeight="1">
      <c r="A660" s="14"/>
      <c r="B660" s="13"/>
      <c r="C660" s="13"/>
      <c r="D660" s="13"/>
      <c r="E660" s="13"/>
      <c r="F660" s="13"/>
      <c r="G660" s="13"/>
      <c r="H660" s="13"/>
      <c r="I660" s="13"/>
      <c r="J660" s="14"/>
      <c r="K660" s="14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" customHeight="1">
      <c r="A661" s="14"/>
      <c r="B661" s="13"/>
      <c r="C661" s="13"/>
      <c r="D661" s="13"/>
      <c r="E661" s="13"/>
      <c r="F661" s="13"/>
      <c r="G661" s="13"/>
      <c r="H661" s="13"/>
      <c r="I661" s="13"/>
      <c r="J661" s="14"/>
      <c r="K661" s="14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" customHeight="1">
      <c r="A662" s="14"/>
      <c r="B662" s="13"/>
      <c r="C662" s="13"/>
      <c r="D662" s="13"/>
      <c r="E662" s="13"/>
      <c r="F662" s="13"/>
      <c r="G662" s="13"/>
      <c r="H662" s="13"/>
      <c r="I662" s="13"/>
      <c r="J662" s="14"/>
      <c r="K662" s="14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" customHeight="1">
      <c r="A663" s="14"/>
      <c r="B663" s="13"/>
      <c r="C663" s="13"/>
      <c r="D663" s="13"/>
      <c r="E663" s="13"/>
      <c r="F663" s="13"/>
      <c r="G663" s="13"/>
      <c r="H663" s="13"/>
      <c r="I663" s="13"/>
      <c r="J663" s="14"/>
      <c r="K663" s="14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" customHeight="1">
      <c r="A664" s="14"/>
      <c r="B664" s="13"/>
      <c r="C664" s="13"/>
      <c r="D664" s="13"/>
      <c r="E664" s="13"/>
      <c r="F664" s="13"/>
      <c r="G664" s="13"/>
      <c r="H664" s="13"/>
      <c r="I664" s="13"/>
      <c r="J664" s="14"/>
      <c r="K664" s="14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" customHeight="1">
      <c r="A665" s="14"/>
      <c r="B665" s="13"/>
      <c r="C665" s="13"/>
      <c r="D665" s="13"/>
      <c r="E665" s="13"/>
      <c r="F665" s="13"/>
      <c r="G665" s="13"/>
      <c r="H665" s="13"/>
      <c r="I665" s="13"/>
      <c r="J665" s="14"/>
      <c r="K665" s="14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" customHeight="1">
      <c r="A666" s="14"/>
      <c r="B666" s="13"/>
      <c r="C666" s="13"/>
      <c r="D666" s="13"/>
      <c r="E666" s="13"/>
      <c r="F666" s="13"/>
      <c r="G666" s="13"/>
      <c r="H666" s="13"/>
      <c r="I666" s="13"/>
      <c r="J666" s="14"/>
      <c r="K666" s="14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" customHeight="1">
      <c r="A667" s="14"/>
      <c r="B667" s="13"/>
      <c r="C667" s="13"/>
      <c r="D667" s="13"/>
      <c r="E667" s="13"/>
      <c r="F667" s="13"/>
      <c r="G667" s="13"/>
      <c r="H667" s="13"/>
      <c r="I667" s="13"/>
      <c r="J667" s="14"/>
      <c r="K667" s="14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" customHeight="1">
      <c r="A668" s="14"/>
      <c r="B668" s="13"/>
      <c r="C668" s="13"/>
      <c r="D668" s="13"/>
      <c r="E668" s="13"/>
      <c r="F668" s="13"/>
      <c r="G668" s="13"/>
      <c r="H668" s="13"/>
      <c r="I668" s="13"/>
      <c r="J668" s="14"/>
      <c r="K668" s="14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" customHeight="1">
      <c r="A669" s="14"/>
      <c r="B669" s="13"/>
      <c r="C669" s="13"/>
      <c r="D669" s="13"/>
      <c r="E669" s="13"/>
      <c r="F669" s="13"/>
      <c r="G669" s="13"/>
      <c r="H669" s="13"/>
      <c r="I669" s="13"/>
      <c r="J669" s="14"/>
      <c r="K669" s="14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" customHeight="1">
      <c r="A670" s="14"/>
      <c r="B670" s="13"/>
      <c r="C670" s="13"/>
      <c r="D670" s="13"/>
      <c r="E670" s="13"/>
      <c r="F670" s="13"/>
      <c r="G670" s="13"/>
      <c r="H670" s="13"/>
      <c r="I670" s="13"/>
      <c r="J670" s="14"/>
      <c r="K670" s="14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" customHeight="1">
      <c r="A671" s="14"/>
      <c r="B671" s="13"/>
      <c r="C671" s="13"/>
      <c r="D671" s="13"/>
      <c r="E671" s="13"/>
      <c r="F671" s="13"/>
      <c r="G671" s="13"/>
      <c r="H671" s="13"/>
      <c r="I671" s="13"/>
      <c r="J671" s="14"/>
      <c r="K671" s="14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" customHeight="1">
      <c r="A672" s="14"/>
      <c r="B672" s="13"/>
      <c r="C672" s="13"/>
      <c r="D672" s="13"/>
      <c r="E672" s="13"/>
      <c r="F672" s="13"/>
      <c r="G672" s="13"/>
      <c r="H672" s="13"/>
      <c r="I672" s="13"/>
      <c r="J672" s="14"/>
      <c r="K672" s="14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" customHeight="1">
      <c r="A673" s="14"/>
      <c r="B673" s="13"/>
      <c r="C673" s="13"/>
      <c r="D673" s="13"/>
      <c r="E673" s="13"/>
      <c r="F673" s="13"/>
      <c r="G673" s="13"/>
      <c r="H673" s="13"/>
      <c r="I673" s="13"/>
      <c r="J673" s="14"/>
      <c r="K673" s="14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" customHeight="1">
      <c r="A674" s="14"/>
      <c r="B674" s="13"/>
      <c r="C674" s="13"/>
      <c r="D674" s="13"/>
      <c r="E674" s="13"/>
      <c r="F674" s="13"/>
      <c r="G674" s="13"/>
      <c r="H674" s="13"/>
      <c r="I674" s="13"/>
      <c r="J674" s="14"/>
      <c r="K674" s="14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" customHeight="1">
      <c r="A675" s="14"/>
      <c r="B675" s="13"/>
      <c r="C675" s="13"/>
      <c r="D675" s="13"/>
      <c r="E675" s="13"/>
      <c r="F675" s="13"/>
      <c r="G675" s="13"/>
      <c r="H675" s="13"/>
      <c r="I675" s="13"/>
      <c r="J675" s="14"/>
      <c r="K675" s="14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" customHeight="1">
      <c r="A676" s="14"/>
      <c r="B676" s="13"/>
      <c r="C676" s="13"/>
      <c r="D676" s="13"/>
      <c r="E676" s="13"/>
      <c r="F676" s="13"/>
      <c r="G676" s="13"/>
      <c r="H676" s="13"/>
      <c r="I676" s="13"/>
      <c r="J676" s="14"/>
      <c r="K676" s="14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" customHeight="1">
      <c r="A677" s="14"/>
      <c r="B677" s="13"/>
      <c r="C677" s="13"/>
      <c r="D677" s="13"/>
      <c r="E677" s="13"/>
      <c r="F677" s="13"/>
      <c r="G677" s="13"/>
      <c r="H677" s="13"/>
      <c r="I677" s="13"/>
      <c r="J677" s="14"/>
      <c r="K677" s="14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" customHeight="1">
      <c r="A678" s="14"/>
      <c r="B678" s="13"/>
      <c r="C678" s="13"/>
      <c r="D678" s="13"/>
      <c r="E678" s="13"/>
      <c r="F678" s="13"/>
      <c r="G678" s="13"/>
      <c r="H678" s="13"/>
      <c r="I678" s="13"/>
      <c r="J678" s="14"/>
      <c r="K678" s="14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" customHeight="1">
      <c r="A679" s="14"/>
      <c r="B679" s="13"/>
      <c r="C679" s="13"/>
      <c r="D679" s="13"/>
      <c r="E679" s="13"/>
      <c r="F679" s="13"/>
      <c r="G679" s="13"/>
      <c r="H679" s="13"/>
      <c r="I679" s="13"/>
      <c r="J679" s="14"/>
      <c r="K679" s="14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" customHeight="1">
      <c r="A680" s="14"/>
      <c r="B680" s="13"/>
      <c r="C680" s="13"/>
      <c r="D680" s="13"/>
      <c r="E680" s="13"/>
      <c r="F680" s="13"/>
      <c r="G680" s="13"/>
      <c r="H680" s="13"/>
      <c r="I680" s="13"/>
      <c r="J680" s="14"/>
      <c r="K680" s="14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" customHeight="1">
      <c r="A681" s="14"/>
      <c r="B681" s="13"/>
      <c r="C681" s="13"/>
      <c r="D681" s="13"/>
      <c r="E681" s="13"/>
      <c r="F681" s="13"/>
      <c r="G681" s="13"/>
      <c r="H681" s="13"/>
      <c r="I681" s="13"/>
      <c r="J681" s="14"/>
      <c r="K681" s="14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" customHeight="1">
      <c r="A682" s="14"/>
      <c r="B682" s="13"/>
      <c r="C682" s="13"/>
      <c r="D682" s="13"/>
      <c r="E682" s="13"/>
      <c r="F682" s="13"/>
      <c r="G682" s="13"/>
      <c r="H682" s="13"/>
      <c r="I682" s="13"/>
      <c r="J682" s="14"/>
      <c r="K682" s="14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" customHeight="1">
      <c r="A683" s="14"/>
      <c r="B683" s="13"/>
      <c r="C683" s="13"/>
      <c r="D683" s="13"/>
      <c r="E683" s="13"/>
      <c r="F683" s="13"/>
      <c r="G683" s="13"/>
      <c r="H683" s="13"/>
      <c r="I683" s="13"/>
      <c r="J683" s="14"/>
      <c r="K683" s="14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" customHeight="1">
      <c r="A684" s="14"/>
      <c r="B684" s="13"/>
      <c r="C684" s="13"/>
      <c r="D684" s="13"/>
      <c r="E684" s="13"/>
      <c r="F684" s="13"/>
      <c r="G684" s="13"/>
      <c r="H684" s="13"/>
      <c r="I684" s="13"/>
      <c r="J684" s="14"/>
      <c r="K684" s="14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" customHeight="1">
      <c r="A685" s="14"/>
      <c r="B685" s="13"/>
      <c r="C685" s="13"/>
      <c r="D685" s="13"/>
      <c r="E685" s="13"/>
      <c r="F685" s="13"/>
      <c r="G685" s="13"/>
      <c r="H685" s="13"/>
      <c r="I685" s="13"/>
      <c r="J685" s="14"/>
      <c r="K685" s="14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" customHeight="1">
      <c r="A686" s="14"/>
      <c r="B686" s="13"/>
      <c r="C686" s="13"/>
      <c r="D686" s="13"/>
      <c r="E686" s="13"/>
      <c r="F686" s="13"/>
      <c r="G686" s="13"/>
      <c r="H686" s="13"/>
      <c r="I686" s="13"/>
      <c r="J686" s="14"/>
      <c r="K686" s="14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" customHeight="1">
      <c r="A687" s="14"/>
      <c r="B687" s="13"/>
      <c r="C687" s="13"/>
      <c r="D687" s="13"/>
      <c r="E687" s="13"/>
      <c r="F687" s="13"/>
      <c r="G687" s="13"/>
      <c r="H687" s="13"/>
      <c r="I687" s="13"/>
      <c r="J687" s="14"/>
      <c r="K687" s="14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" customHeight="1">
      <c r="A688" s="14"/>
      <c r="B688" s="13"/>
      <c r="C688" s="13"/>
      <c r="D688" s="13"/>
      <c r="E688" s="13"/>
      <c r="F688" s="13"/>
      <c r="G688" s="13"/>
      <c r="H688" s="13"/>
      <c r="I688" s="13"/>
      <c r="J688" s="14"/>
      <c r="K688" s="14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" customHeight="1">
      <c r="A689" s="14"/>
      <c r="B689" s="13"/>
      <c r="C689" s="13"/>
      <c r="D689" s="13"/>
      <c r="E689" s="13"/>
      <c r="F689" s="13"/>
      <c r="G689" s="13"/>
      <c r="H689" s="13"/>
      <c r="I689" s="13"/>
      <c r="J689" s="14"/>
      <c r="K689" s="14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" customHeight="1">
      <c r="A690" s="14"/>
      <c r="B690" s="13"/>
      <c r="C690" s="13"/>
      <c r="D690" s="13"/>
      <c r="E690" s="13"/>
      <c r="F690" s="13"/>
      <c r="G690" s="13"/>
      <c r="H690" s="13"/>
      <c r="I690" s="13"/>
      <c r="J690" s="14"/>
      <c r="K690" s="14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" customHeight="1">
      <c r="A691" s="14"/>
      <c r="B691" s="13"/>
      <c r="C691" s="13"/>
      <c r="D691" s="13"/>
      <c r="E691" s="13"/>
      <c r="F691" s="13"/>
      <c r="G691" s="13"/>
      <c r="H691" s="13"/>
      <c r="I691" s="13"/>
      <c r="J691" s="14"/>
      <c r="K691" s="14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" customHeight="1">
      <c r="A692" s="14"/>
      <c r="B692" s="13"/>
      <c r="C692" s="13"/>
      <c r="D692" s="13"/>
      <c r="E692" s="13"/>
      <c r="F692" s="13"/>
      <c r="G692" s="13"/>
      <c r="H692" s="13"/>
      <c r="I692" s="13"/>
      <c r="J692" s="14"/>
      <c r="K692" s="14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" customHeight="1">
      <c r="A693" s="14"/>
      <c r="B693" s="13"/>
      <c r="C693" s="13"/>
      <c r="D693" s="13"/>
      <c r="E693" s="13"/>
      <c r="F693" s="13"/>
      <c r="G693" s="13"/>
      <c r="H693" s="13"/>
      <c r="I693" s="13"/>
      <c r="J693" s="14"/>
      <c r="K693" s="14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" customHeight="1">
      <c r="A694" s="14"/>
      <c r="B694" s="13"/>
      <c r="C694" s="13"/>
      <c r="D694" s="13"/>
      <c r="E694" s="13"/>
      <c r="F694" s="13"/>
      <c r="G694" s="13"/>
      <c r="H694" s="13"/>
      <c r="I694" s="13"/>
      <c r="J694" s="14"/>
      <c r="K694" s="14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" customHeight="1">
      <c r="A695" s="14"/>
      <c r="B695" s="13"/>
      <c r="C695" s="13"/>
      <c r="D695" s="13"/>
      <c r="E695" s="13"/>
      <c r="F695" s="13"/>
      <c r="G695" s="13"/>
      <c r="H695" s="13"/>
      <c r="I695" s="13"/>
      <c r="J695" s="14"/>
      <c r="K695" s="14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" customHeight="1">
      <c r="A696" s="14"/>
      <c r="B696" s="13"/>
      <c r="C696" s="13"/>
      <c r="D696" s="13"/>
      <c r="E696" s="13"/>
      <c r="F696" s="13"/>
      <c r="G696" s="13"/>
      <c r="H696" s="13"/>
      <c r="I696" s="13"/>
      <c r="J696" s="14"/>
      <c r="K696" s="14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" customHeight="1">
      <c r="A697" s="14"/>
      <c r="B697" s="13"/>
      <c r="C697" s="13"/>
      <c r="D697" s="13"/>
      <c r="E697" s="13"/>
      <c r="F697" s="13"/>
      <c r="G697" s="13"/>
      <c r="H697" s="13"/>
      <c r="I697" s="13"/>
      <c r="J697" s="14"/>
      <c r="K697" s="14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" customHeight="1">
      <c r="A698" s="14"/>
      <c r="B698" s="13"/>
      <c r="C698" s="13"/>
      <c r="D698" s="13"/>
      <c r="E698" s="13"/>
      <c r="F698" s="13"/>
      <c r="G698" s="13"/>
      <c r="H698" s="13"/>
      <c r="I698" s="13"/>
      <c r="J698" s="14"/>
      <c r="K698" s="14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" customHeight="1">
      <c r="A699" s="14"/>
      <c r="B699" s="13"/>
      <c r="C699" s="13"/>
      <c r="D699" s="13"/>
      <c r="E699" s="13"/>
      <c r="F699" s="13"/>
      <c r="G699" s="13"/>
      <c r="H699" s="13"/>
      <c r="I699" s="13"/>
      <c r="J699" s="14"/>
      <c r="K699" s="14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" customHeight="1">
      <c r="A700" s="14"/>
      <c r="B700" s="13"/>
      <c r="C700" s="13"/>
      <c r="D700" s="13"/>
      <c r="E700" s="13"/>
      <c r="F700" s="13"/>
      <c r="G700" s="13"/>
      <c r="H700" s="13"/>
      <c r="I700" s="13"/>
      <c r="J700" s="14"/>
      <c r="K700" s="14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" customHeight="1">
      <c r="A701" s="14"/>
      <c r="B701" s="13"/>
      <c r="C701" s="13"/>
      <c r="D701" s="13"/>
      <c r="E701" s="13"/>
      <c r="F701" s="13"/>
      <c r="G701" s="13"/>
      <c r="H701" s="13"/>
      <c r="I701" s="13"/>
      <c r="J701" s="14"/>
      <c r="K701" s="14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" customHeight="1">
      <c r="A702" s="14"/>
      <c r="B702" s="13"/>
      <c r="C702" s="13"/>
      <c r="D702" s="13"/>
      <c r="E702" s="13"/>
      <c r="F702" s="13"/>
      <c r="G702" s="13"/>
      <c r="H702" s="13"/>
      <c r="I702" s="13"/>
      <c r="J702" s="14"/>
      <c r="K702" s="14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" customHeight="1">
      <c r="A703" s="14"/>
      <c r="B703" s="13"/>
      <c r="C703" s="13"/>
      <c r="D703" s="13"/>
      <c r="E703" s="13"/>
      <c r="F703" s="13"/>
      <c r="G703" s="13"/>
      <c r="H703" s="13"/>
      <c r="I703" s="13"/>
      <c r="J703" s="14"/>
      <c r="K703" s="14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" customHeight="1">
      <c r="A704" s="14"/>
      <c r="B704" s="13"/>
      <c r="C704" s="13"/>
      <c r="D704" s="13"/>
      <c r="E704" s="13"/>
      <c r="F704" s="13"/>
      <c r="G704" s="13"/>
      <c r="H704" s="13"/>
      <c r="I704" s="13"/>
      <c r="J704" s="14"/>
      <c r="K704" s="14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" customHeight="1">
      <c r="A705" s="14"/>
      <c r="B705" s="13"/>
      <c r="C705" s="13"/>
      <c r="D705" s="13"/>
      <c r="E705" s="13"/>
      <c r="F705" s="13"/>
      <c r="G705" s="13"/>
      <c r="H705" s="13"/>
      <c r="I705" s="13"/>
      <c r="J705" s="14"/>
      <c r="K705" s="14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" customHeight="1">
      <c r="A706" s="14"/>
      <c r="B706" s="13"/>
      <c r="C706" s="13"/>
      <c r="D706" s="13"/>
      <c r="E706" s="13"/>
      <c r="F706" s="13"/>
      <c r="G706" s="13"/>
      <c r="H706" s="13"/>
      <c r="I706" s="13"/>
      <c r="J706" s="14"/>
      <c r="K706" s="14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" customHeight="1">
      <c r="A707" s="14"/>
      <c r="B707" s="13"/>
      <c r="C707" s="13"/>
      <c r="D707" s="13"/>
      <c r="E707" s="13"/>
      <c r="F707" s="13"/>
      <c r="G707" s="13"/>
      <c r="H707" s="13"/>
      <c r="I707" s="13"/>
      <c r="J707" s="14"/>
      <c r="K707" s="14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" customHeight="1">
      <c r="A708" s="14"/>
      <c r="B708" s="13"/>
      <c r="C708" s="13"/>
      <c r="D708" s="13"/>
      <c r="E708" s="13"/>
      <c r="F708" s="13"/>
      <c r="G708" s="13"/>
      <c r="H708" s="13"/>
      <c r="I708" s="13"/>
      <c r="J708" s="14"/>
      <c r="K708" s="14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" customHeight="1">
      <c r="A709" s="14"/>
      <c r="B709" s="13"/>
      <c r="C709" s="13"/>
      <c r="D709" s="13"/>
      <c r="E709" s="13"/>
      <c r="F709" s="13"/>
      <c r="G709" s="13"/>
      <c r="H709" s="13"/>
      <c r="I709" s="13"/>
      <c r="J709" s="14"/>
      <c r="K709" s="14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" customHeight="1">
      <c r="A710" s="14"/>
      <c r="B710" s="13"/>
      <c r="C710" s="13"/>
      <c r="D710" s="13"/>
      <c r="E710" s="13"/>
      <c r="F710" s="13"/>
      <c r="G710" s="13"/>
      <c r="H710" s="13"/>
      <c r="I710" s="13"/>
      <c r="J710" s="14"/>
      <c r="K710" s="14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" customHeight="1">
      <c r="A711" s="14"/>
      <c r="B711" s="13"/>
      <c r="C711" s="13"/>
      <c r="D711" s="13"/>
      <c r="E711" s="13"/>
      <c r="F711" s="13"/>
      <c r="G711" s="13"/>
      <c r="H711" s="13"/>
      <c r="I711" s="13"/>
      <c r="J711" s="14"/>
      <c r="K711" s="14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" customHeight="1">
      <c r="A712" s="14"/>
      <c r="B712" s="13"/>
      <c r="C712" s="13"/>
      <c r="D712" s="13"/>
      <c r="E712" s="13"/>
      <c r="F712" s="13"/>
      <c r="G712" s="13"/>
      <c r="H712" s="13"/>
      <c r="I712" s="13"/>
      <c r="J712" s="14"/>
      <c r="K712" s="14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" customHeight="1">
      <c r="A713" s="14"/>
      <c r="B713" s="13"/>
      <c r="C713" s="13"/>
      <c r="D713" s="13"/>
      <c r="E713" s="13"/>
      <c r="F713" s="13"/>
      <c r="G713" s="13"/>
      <c r="H713" s="13"/>
      <c r="I713" s="13"/>
      <c r="J713" s="14"/>
      <c r="K713" s="14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" customHeight="1">
      <c r="A714" s="14"/>
      <c r="B714" s="13"/>
      <c r="C714" s="13"/>
      <c r="D714" s="13"/>
      <c r="E714" s="13"/>
      <c r="F714" s="13"/>
      <c r="G714" s="13"/>
      <c r="H714" s="13"/>
      <c r="I714" s="13"/>
      <c r="J714" s="14"/>
      <c r="K714" s="14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" customHeight="1">
      <c r="A715" s="14"/>
      <c r="B715" s="13"/>
      <c r="C715" s="13"/>
      <c r="D715" s="13"/>
      <c r="E715" s="13"/>
      <c r="F715" s="13"/>
      <c r="G715" s="13"/>
      <c r="H715" s="13"/>
      <c r="I715" s="13"/>
      <c r="J715" s="14"/>
      <c r="K715" s="14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" customHeight="1">
      <c r="A716" s="14"/>
      <c r="B716" s="13"/>
      <c r="C716" s="13"/>
      <c r="D716" s="13"/>
      <c r="E716" s="13"/>
      <c r="F716" s="13"/>
      <c r="G716" s="13"/>
      <c r="H716" s="13"/>
      <c r="I716" s="13"/>
      <c r="J716" s="14"/>
      <c r="K716" s="14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" customHeight="1">
      <c r="A717" s="14"/>
      <c r="B717" s="13"/>
      <c r="C717" s="13"/>
      <c r="D717" s="13"/>
      <c r="E717" s="13"/>
      <c r="F717" s="13"/>
      <c r="G717" s="13"/>
      <c r="H717" s="13"/>
      <c r="I717" s="13"/>
      <c r="J717" s="14"/>
      <c r="K717" s="14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" customHeight="1">
      <c r="A718" s="14"/>
      <c r="B718" s="13"/>
      <c r="C718" s="13"/>
      <c r="D718" s="13"/>
      <c r="E718" s="13"/>
      <c r="F718" s="13"/>
      <c r="G718" s="13"/>
      <c r="H718" s="13"/>
      <c r="I718" s="13"/>
      <c r="J718" s="14"/>
      <c r="K718" s="14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" customHeight="1">
      <c r="A719" s="14"/>
      <c r="B719" s="13"/>
      <c r="C719" s="13"/>
      <c r="D719" s="13"/>
      <c r="E719" s="13"/>
      <c r="F719" s="13"/>
      <c r="G719" s="13"/>
      <c r="H719" s="13"/>
      <c r="I719" s="13"/>
      <c r="J719" s="14"/>
      <c r="K719" s="14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" customHeight="1">
      <c r="A720" s="14"/>
      <c r="B720" s="13"/>
      <c r="C720" s="13"/>
      <c r="D720" s="13"/>
      <c r="E720" s="13"/>
      <c r="F720" s="13"/>
      <c r="G720" s="13"/>
      <c r="H720" s="13"/>
      <c r="I720" s="13"/>
      <c r="J720" s="14"/>
      <c r="K720" s="14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" customHeight="1">
      <c r="A721" s="14"/>
      <c r="B721" s="13"/>
      <c r="C721" s="13"/>
      <c r="D721" s="13"/>
      <c r="E721" s="13"/>
      <c r="F721" s="13"/>
      <c r="G721" s="13"/>
      <c r="H721" s="13"/>
      <c r="I721" s="13"/>
      <c r="J721" s="14"/>
      <c r="K721" s="14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" customHeight="1">
      <c r="A722" s="14"/>
      <c r="B722" s="13"/>
      <c r="C722" s="13"/>
      <c r="D722" s="13"/>
      <c r="E722" s="13"/>
      <c r="F722" s="13"/>
      <c r="G722" s="13"/>
      <c r="H722" s="13"/>
      <c r="I722" s="13"/>
      <c r="J722" s="14"/>
      <c r="K722" s="14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" customHeight="1">
      <c r="A723" s="14"/>
      <c r="B723" s="13"/>
      <c r="C723" s="13"/>
      <c r="D723" s="13"/>
      <c r="E723" s="13"/>
      <c r="F723" s="13"/>
      <c r="G723" s="13"/>
      <c r="H723" s="13"/>
      <c r="I723" s="13"/>
      <c r="J723" s="14"/>
      <c r="K723" s="14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" customHeight="1">
      <c r="A724" s="14"/>
      <c r="B724" s="13"/>
      <c r="C724" s="13"/>
      <c r="D724" s="13"/>
      <c r="E724" s="13"/>
      <c r="F724" s="13"/>
      <c r="G724" s="13"/>
      <c r="H724" s="13"/>
      <c r="I724" s="13"/>
      <c r="J724" s="14"/>
      <c r="K724" s="14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" customHeight="1">
      <c r="A725" s="14"/>
      <c r="B725" s="13"/>
      <c r="C725" s="13"/>
      <c r="D725" s="13"/>
      <c r="E725" s="13"/>
      <c r="F725" s="13"/>
      <c r="G725" s="13"/>
      <c r="H725" s="13"/>
      <c r="I725" s="13"/>
      <c r="J725" s="14"/>
      <c r="K725" s="14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" customHeight="1">
      <c r="A726" s="14"/>
      <c r="B726" s="13"/>
      <c r="C726" s="13"/>
      <c r="D726" s="13"/>
      <c r="E726" s="13"/>
      <c r="F726" s="13"/>
      <c r="G726" s="13"/>
      <c r="H726" s="13"/>
      <c r="I726" s="13"/>
      <c r="J726" s="14"/>
      <c r="K726" s="14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" customHeight="1">
      <c r="A727" s="14"/>
      <c r="B727" s="13"/>
      <c r="C727" s="13"/>
      <c r="D727" s="13"/>
      <c r="E727" s="13"/>
      <c r="F727" s="13"/>
      <c r="G727" s="13"/>
      <c r="H727" s="13"/>
      <c r="I727" s="13"/>
      <c r="J727" s="14"/>
      <c r="K727" s="14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" customHeight="1">
      <c r="A728" s="14"/>
      <c r="B728" s="13"/>
      <c r="C728" s="13"/>
      <c r="D728" s="13"/>
      <c r="E728" s="13"/>
      <c r="F728" s="13"/>
      <c r="G728" s="13"/>
      <c r="H728" s="13"/>
      <c r="I728" s="13"/>
      <c r="J728" s="14"/>
      <c r="K728" s="14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" customHeight="1">
      <c r="A729" s="14"/>
      <c r="B729" s="13"/>
      <c r="C729" s="13"/>
      <c r="D729" s="13"/>
      <c r="E729" s="13"/>
      <c r="F729" s="13"/>
      <c r="G729" s="13"/>
      <c r="H729" s="13"/>
      <c r="I729" s="13"/>
      <c r="J729" s="14"/>
      <c r="K729" s="14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" customHeight="1">
      <c r="A730" s="14"/>
      <c r="B730" s="13"/>
      <c r="C730" s="13"/>
      <c r="D730" s="13"/>
      <c r="E730" s="13"/>
      <c r="F730" s="13"/>
      <c r="G730" s="13"/>
      <c r="H730" s="13"/>
      <c r="I730" s="13"/>
      <c r="J730" s="14"/>
      <c r="K730" s="14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" customHeight="1">
      <c r="A731" s="14"/>
      <c r="B731" s="13"/>
      <c r="C731" s="13"/>
      <c r="D731" s="13"/>
      <c r="E731" s="13"/>
      <c r="F731" s="13"/>
      <c r="G731" s="13"/>
      <c r="H731" s="13"/>
      <c r="I731" s="13"/>
      <c r="J731" s="14"/>
      <c r="K731" s="14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" customHeight="1">
      <c r="A732" s="14"/>
      <c r="B732" s="13"/>
      <c r="C732" s="13"/>
      <c r="D732" s="13"/>
      <c r="E732" s="13"/>
      <c r="F732" s="13"/>
      <c r="G732" s="13"/>
      <c r="H732" s="13"/>
      <c r="I732" s="13"/>
      <c r="J732" s="14"/>
      <c r="K732" s="14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" customHeight="1">
      <c r="A733" s="14"/>
      <c r="B733" s="13"/>
      <c r="C733" s="13"/>
      <c r="D733" s="13"/>
      <c r="E733" s="13"/>
      <c r="F733" s="13"/>
      <c r="G733" s="13"/>
      <c r="H733" s="13"/>
      <c r="I733" s="13"/>
      <c r="J733" s="14"/>
      <c r="K733" s="14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" customHeight="1">
      <c r="A734" s="14"/>
      <c r="B734" s="13"/>
      <c r="C734" s="13"/>
      <c r="D734" s="13"/>
      <c r="E734" s="13"/>
      <c r="F734" s="13"/>
      <c r="G734" s="13"/>
      <c r="H734" s="13"/>
      <c r="I734" s="13"/>
      <c r="J734" s="14"/>
      <c r="K734" s="14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" customHeight="1">
      <c r="A735" s="14"/>
      <c r="B735" s="13"/>
      <c r="C735" s="13"/>
      <c r="D735" s="13"/>
      <c r="E735" s="13"/>
      <c r="F735" s="13"/>
      <c r="G735" s="13"/>
      <c r="H735" s="13"/>
      <c r="I735" s="13"/>
      <c r="J735" s="14"/>
      <c r="K735" s="14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" customHeight="1">
      <c r="A736" s="14"/>
      <c r="B736" s="13"/>
      <c r="C736" s="13"/>
      <c r="D736" s="13"/>
      <c r="E736" s="13"/>
      <c r="F736" s="13"/>
      <c r="G736" s="13"/>
      <c r="H736" s="13"/>
      <c r="I736" s="13"/>
      <c r="J736" s="14"/>
      <c r="K736" s="14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" customHeight="1">
      <c r="A737" s="14"/>
      <c r="B737" s="13"/>
      <c r="C737" s="13"/>
      <c r="D737" s="13"/>
      <c r="E737" s="13"/>
      <c r="F737" s="13"/>
      <c r="G737" s="13"/>
      <c r="H737" s="13"/>
      <c r="I737" s="13"/>
      <c r="J737" s="14"/>
      <c r="K737" s="14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" customHeight="1">
      <c r="A738" s="14"/>
      <c r="B738" s="13"/>
      <c r="C738" s="13"/>
      <c r="D738" s="13"/>
      <c r="E738" s="13"/>
      <c r="F738" s="13"/>
      <c r="G738" s="13"/>
      <c r="H738" s="13"/>
      <c r="I738" s="13"/>
      <c r="J738" s="14"/>
      <c r="K738" s="14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" customHeight="1">
      <c r="A739" s="14"/>
      <c r="B739" s="13"/>
      <c r="C739" s="13"/>
      <c r="D739" s="13"/>
      <c r="E739" s="13"/>
      <c r="F739" s="13"/>
      <c r="G739" s="13"/>
      <c r="H739" s="13"/>
      <c r="I739" s="13"/>
      <c r="J739" s="14"/>
      <c r="K739" s="14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" customHeight="1">
      <c r="A740" s="14"/>
      <c r="B740" s="13"/>
      <c r="C740" s="13"/>
      <c r="D740" s="13"/>
      <c r="E740" s="13"/>
      <c r="F740" s="13"/>
      <c r="G740" s="13"/>
      <c r="H740" s="13"/>
      <c r="I740" s="13"/>
      <c r="J740" s="14"/>
      <c r="K740" s="14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" customHeight="1">
      <c r="A741" s="14"/>
      <c r="B741" s="13"/>
      <c r="C741" s="13"/>
      <c r="D741" s="13"/>
      <c r="E741" s="13"/>
      <c r="F741" s="13"/>
      <c r="G741" s="13"/>
      <c r="H741" s="13"/>
      <c r="I741" s="13"/>
      <c r="J741" s="14"/>
      <c r="K741" s="14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" customHeight="1">
      <c r="A742" s="14"/>
      <c r="B742" s="13"/>
      <c r="C742" s="13"/>
      <c r="D742" s="13"/>
      <c r="E742" s="13"/>
      <c r="F742" s="13"/>
      <c r="G742" s="13"/>
      <c r="H742" s="13"/>
      <c r="I742" s="13"/>
      <c r="J742" s="14"/>
      <c r="K742" s="14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" customHeight="1">
      <c r="A743" s="14"/>
      <c r="B743" s="13"/>
      <c r="C743" s="13"/>
      <c r="D743" s="13"/>
      <c r="E743" s="13"/>
      <c r="F743" s="13"/>
      <c r="G743" s="13"/>
      <c r="H743" s="13"/>
      <c r="I743" s="13"/>
      <c r="J743" s="14"/>
      <c r="K743" s="14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" customHeight="1">
      <c r="A744" s="14"/>
      <c r="B744" s="13"/>
      <c r="C744" s="13"/>
      <c r="D744" s="13"/>
      <c r="E744" s="13"/>
      <c r="F744" s="13"/>
      <c r="G744" s="13"/>
      <c r="H744" s="13"/>
      <c r="I744" s="13"/>
      <c r="J744" s="14"/>
      <c r="K744" s="14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" customHeight="1">
      <c r="A745" s="14"/>
      <c r="B745" s="13"/>
      <c r="C745" s="13"/>
      <c r="D745" s="13"/>
      <c r="E745" s="13"/>
      <c r="F745" s="13"/>
      <c r="G745" s="13"/>
      <c r="H745" s="13"/>
      <c r="I745" s="13"/>
      <c r="J745" s="14"/>
      <c r="K745" s="14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" customHeight="1">
      <c r="A746" s="14"/>
      <c r="B746" s="13"/>
      <c r="C746" s="13"/>
      <c r="D746" s="13"/>
      <c r="E746" s="13"/>
      <c r="F746" s="13"/>
      <c r="G746" s="13"/>
      <c r="H746" s="13"/>
      <c r="I746" s="13"/>
      <c r="J746" s="14"/>
      <c r="K746" s="14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" customHeight="1">
      <c r="A747" s="14"/>
      <c r="B747" s="13"/>
      <c r="C747" s="13"/>
      <c r="D747" s="13"/>
      <c r="E747" s="13"/>
      <c r="F747" s="13"/>
      <c r="G747" s="13"/>
      <c r="H747" s="13"/>
      <c r="I747" s="13"/>
      <c r="J747" s="14"/>
      <c r="K747" s="14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" customHeight="1">
      <c r="A748" s="14"/>
      <c r="B748" s="13"/>
      <c r="C748" s="13"/>
      <c r="D748" s="13"/>
      <c r="E748" s="13"/>
      <c r="F748" s="13"/>
      <c r="G748" s="13"/>
      <c r="H748" s="13"/>
      <c r="I748" s="13"/>
      <c r="J748" s="14"/>
      <c r="K748" s="14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" customHeight="1">
      <c r="A749" s="14"/>
      <c r="B749" s="13"/>
      <c r="C749" s="13"/>
      <c r="D749" s="13"/>
      <c r="E749" s="13"/>
      <c r="F749" s="13"/>
      <c r="G749" s="13"/>
      <c r="H749" s="13"/>
      <c r="I749" s="13"/>
      <c r="J749" s="14"/>
      <c r="K749" s="14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" customHeight="1">
      <c r="A750" s="14"/>
      <c r="B750" s="13"/>
      <c r="C750" s="13"/>
      <c r="D750" s="13"/>
      <c r="E750" s="13"/>
      <c r="F750" s="13"/>
      <c r="G750" s="13"/>
      <c r="H750" s="13"/>
      <c r="I750" s="13"/>
      <c r="J750" s="14"/>
      <c r="K750" s="14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" customHeight="1">
      <c r="A751" s="14"/>
      <c r="B751" s="13"/>
      <c r="C751" s="13"/>
      <c r="D751" s="13"/>
      <c r="E751" s="13"/>
      <c r="F751" s="13"/>
      <c r="G751" s="13"/>
      <c r="H751" s="13"/>
      <c r="I751" s="13"/>
      <c r="J751" s="14"/>
      <c r="K751" s="14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" customHeight="1">
      <c r="A752" s="14"/>
      <c r="B752" s="13"/>
      <c r="C752" s="13"/>
      <c r="D752" s="13"/>
      <c r="E752" s="13"/>
      <c r="F752" s="13"/>
      <c r="G752" s="13"/>
      <c r="H752" s="13"/>
      <c r="I752" s="13"/>
      <c r="J752" s="14"/>
      <c r="K752" s="14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" customHeight="1">
      <c r="A753" s="14"/>
      <c r="B753" s="13"/>
      <c r="C753" s="13"/>
      <c r="D753" s="13"/>
      <c r="E753" s="13"/>
      <c r="F753" s="13"/>
      <c r="G753" s="13"/>
      <c r="H753" s="13"/>
      <c r="I753" s="13"/>
      <c r="J753" s="14"/>
      <c r="K753" s="14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" customHeight="1">
      <c r="A754" s="14"/>
      <c r="B754" s="13"/>
      <c r="C754" s="13"/>
      <c r="D754" s="13"/>
      <c r="E754" s="13"/>
      <c r="F754" s="13"/>
      <c r="G754" s="13"/>
      <c r="H754" s="13"/>
      <c r="I754" s="13"/>
      <c r="J754" s="14"/>
      <c r="K754" s="14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" customHeight="1">
      <c r="A755" s="14"/>
      <c r="B755" s="13"/>
      <c r="C755" s="13"/>
      <c r="D755" s="13"/>
      <c r="E755" s="13"/>
      <c r="F755" s="13"/>
      <c r="G755" s="13"/>
      <c r="H755" s="13"/>
      <c r="I755" s="13"/>
      <c r="J755" s="14"/>
      <c r="K755" s="14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" customHeight="1">
      <c r="A756" s="14"/>
      <c r="B756" s="13"/>
      <c r="C756" s="13"/>
      <c r="D756" s="13"/>
      <c r="E756" s="13"/>
      <c r="F756" s="13"/>
      <c r="G756" s="13"/>
      <c r="H756" s="13"/>
      <c r="I756" s="13"/>
      <c r="J756" s="14"/>
      <c r="K756" s="14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" customHeight="1">
      <c r="A757" s="14"/>
      <c r="B757" s="13"/>
      <c r="C757" s="13"/>
      <c r="D757" s="13"/>
      <c r="E757" s="13"/>
      <c r="F757" s="13"/>
      <c r="G757" s="13"/>
      <c r="H757" s="13"/>
      <c r="I757" s="13"/>
      <c r="J757" s="14"/>
      <c r="K757" s="14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" customHeight="1">
      <c r="A758" s="14"/>
      <c r="B758" s="13"/>
      <c r="C758" s="13"/>
      <c r="D758" s="13"/>
      <c r="E758" s="13"/>
      <c r="F758" s="13"/>
      <c r="G758" s="13"/>
      <c r="H758" s="13"/>
      <c r="I758" s="13"/>
      <c r="J758" s="14"/>
      <c r="K758" s="14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" customHeight="1">
      <c r="A759" s="14"/>
      <c r="B759" s="13"/>
      <c r="C759" s="13"/>
      <c r="D759" s="13"/>
      <c r="E759" s="13"/>
      <c r="F759" s="13"/>
      <c r="G759" s="13"/>
      <c r="H759" s="13"/>
      <c r="I759" s="13"/>
      <c r="J759" s="14"/>
      <c r="K759" s="14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" customHeight="1">
      <c r="A760" s="14"/>
      <c r="B760" s="13"/>
      <c r="C760" s="13"/>
      <c r="D760" s="13"/>
      <c r="E760" s="13"/>
      <c r="F760" s="13"/>
      <c r="G760" s="13"/>
      <c r="H760" s="13"/>
      <c r="I760" s="13"/>
      <c r="J760" s="14"/>
      <c r="K760" s="14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" customHeight="1">
      <c r="A761" s="14"/>
      <c r="B761" s="13"/>
      <c r="C761" s="13"/>
      <c r="D761" s="13"/>
      <c r="E761" s="13"/>
      <c r="F761" s="13"/>
      <c r="G761" s="13"/>
      <c r="H761" s="13"/>
      <c r="I761" s="13"/>
      <c r="J761" s="14"/>
      <c r="K761" s="14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" customHeight="1">
      <c r="A762" s="14"/>
      <c r="B762" s="13"/>
      <c r="C762" s="13"/>
      <c r="D762" s="13"/>
      <c r="E762" s="13"/>
      <c r="F762" s="13"/>
      <c r="G762" s="13"/>
      <c r="H762" s="13"/>
      <c r="I762" s="13"/>
      <c r="J762" s="14"/>
      <c r="K762" s="14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" customHeight="1">
      <c r="A763" s="14"/>
      <c r="B763" s="13"/>
      <c r="C763" s="13"/>
      <c r="D763" s="13"/>
      <c r="E763" s="13"/>
      <c r="F763" s="13"/>
      <c r="G763" s="13"/>
      <c r="H763" s="13"/>
      <c r="I763" s="13"/>
      <c r="J763" s="14"/>
      <c r="K763" s="14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" customHeight="1">
      <c r="A764" s="14"/>
      <c r="B764" s="13"/>
      <c r="C764" s="13"/>
      <c r="D764" s="13"/>
      <c r="E764" s="13"/>
      <c r="F764" s="13"/>
      <c r="G764" s="13"/>
      <c r="H764" s="13"/>
      <c r="I764" s="13"/>
      <c r="J764" s="14"/>
      <c r="K764" s="14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" customHeight="1">
      <c r="A765" s="14"/>
      <c r="B765" s="13"/>
      <c r="C765" s="13"/>
      <c r="D765" s="13"/>
      <c r="E765" s="13"/>
      <c r="F765" s="13"/>
      <c r="G765" s="13"/>
      <c r="H765" s="13"/>
      <c r="I765" s="13"/>
      <c r="J765" s="14"/>
      <c r="K765" s="14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" customHeight="1">
      <c r="A766" s="14"/>
      <c r="B766" s="13"/>
      <c r="C766" s="13"/>
      <c r="D766" s="13"/>
      <c r="E766" s="13"/>
      <c r="F766" s="13"/>
      <c r="G766" s="13"/>
      <c r="H766" s="13"/>
      <c r="I766" s="13"/>
      <c r="J766" s="14"/>
      <c r="K766" s="14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" customHeight="1">
      <c r="A767" s="14"/>
      <c r="B767" s="13"/>
      <c r="C767" s="13"/>
      <c r="D767" s="13"/>
      <c r="E767" s="13"/>
      <c r="F767" s="13"/>
      <c r="G767" s="13"/>
      <c r="H767" s="13"/>
      <c r="I767" s="13"/>
      <c r="J767" s="14"/>
      <c r="K767" s="14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" customHeight="1">
      <c r="A768" s="14"/>
      <c r="B768" s="13"/>
      <c r="C768" s="13"/>
      <c r="D768" s="13"/>
      <c r="E768" s="13"/>
      <c r="F768" s="13"/>
      <c r="G768" s="13"/>
      <c r="H768" s="13"/>
      <c r="I768" s="13"/>
      <c r="J768" s="14"/>
      <c r="K768" s="14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" customHeight="1">
      <c r="A769" s="14"/>
      <c r="B769" s="13"/>
      <c r="C769" s="13"/>
      <c r="D769" s="13"/>
      <c r="E769" s="13"/>
      <c r="F769" s="13"/>
      <c r="G769" s="13"/>
      <c r="H769" s="13"/>
      <c r="I769" s="13"/>
      <c r="J769" s="14"/>
      <c r="K769" s="14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" customHeight="1">
      <c r="A770" s="14"/>
      <c r="B770" s="13"/>
      <c r="C770" s="13"/>
      <c r="D770" s="13"/>
      <c r="E770" s="13"/>
      <c r="F770" s="13"/>
      <c r="G770" s="13"/>
      <c r="H770" s="13"/>
      <c r="I770" s="13"/>
      <c r="J770" s="14"/>
      <c r="K770" s="14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" customHeight="1">
      <c r="A771" s="14"/>
      <c r="B771" s="13"/>
      <c r="C771" s="13"/>
      <c r="D771" s="13"/>
      <c r="E771" s="13"/>
      <c r="F771" s="13"/>
      <c r="G771" s="13"/>
      <c r="H771" s="13"/>
      <c r="I771" s="13"/>
      <c r="J771" s="14"/>
      <c r="K771" s="14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" customHeight="1">
      <c r="A772" s="14"/>
      <c r="B772" s="13"/>
      <c r="C772" s="13"/>
      <c r="D772" s="13"/>
      <c r="E772" s="13"/>
      <c r="F772" s="13"/>
      <c r="G772" s="13"/>
      <c r="H772" s="13"/>
      <c r="I772" s="13"/>
      <c r="J772" s="14"/>
      <c r="K772" s="14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" customHeight="1">
      <c r="A773" s="14"/>
      <c r="B773" s="13"/>
      <c r="C773" s="13"/>
      <c r="D773" s="13"/>
      <c r="E773" s="13"/>
      <c r="F773" s="13"/>
      <c r="G773" s="13"/>
      <c r="H773" s="13"/>
      <c r="I773" s="13"/>
      <c r="J773" s="14"/>
      <c r="K773" s="14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" customHeight="1">
      <c r="A774" s="14"/>
      <c r="B774" s="13"/>
      <c r="C774" s="13"/>
      <c r="D774" s="13"/>
      <c r="E774" s="13"/>
      <c r="F774" s="13"/>
      <c r="G774" s="13"/>
      <c r="H774" s="13"/>
      <c r="I774" s="13"/>
      <c r="J774" s="14"/>
      <c r="K774" s="14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" customHeight="1">
      <c r="A775" s="14"/>
      <c r="B775" s="13"/>
      <c r="C775" s="13"/>
      <c r="D775" s="13"/>
      <c r="E775" s="13"/>
      <c r="F775" s="13"/>
      <c r="G775" s="13"/>
      <c r="H775" s="13"/>
      <c r="I775" s="13"/>
      <c r="J775" s="14"/>
      <c r="K775" s="14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" customHeight="1">
      <c r="A776" s="14"/>
      <c r="B776" s="13"/>
      <c r="C776" s="13"/>
      <c r="D776" s="13"/>
      <c r="E776" s="13"/>
      <c r="F776" s="13"/>
      <c r="G776" s="13"/>
      <c r="H776" s="13"/>
      <c r="I776" s="13"/>
      <c r="J776" s="14"/>
      <c r="K776" s="14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" customHeight="1">
      <c r="A777" s="14"/>
      <c r="B777" s="13"/>
      <c r="C777" s="13"/>
      <c r="D777" s="13"/>
      <c r="E777" s="13"/>
      <c r="F777" s="13"/>
      <c r="G777" s="13"/>
      <c r="H777" s="13"/>
      <c r="I777" s="13"/>
      <c r="J777" s="14"/>
      <c r="K777" s="14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" customHeight="1">
      <c r="A778" s="14"/>
      <c r="B778" s="13"/>
      <c r="C778" s="13"/>
      <c r="D778" s="13"/>
      <c r="E778" s="13"/>
      <c r="F778" s="13"/>
      <c r="G778" s="13"/>
      <c r="H778" s="13"/>
      <c r="I778" s="13"/>
      <c r="J778" s="14"/>
      <c r="K778" s="14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" customHeight="1">
      <c r="A779" s="14"/>
      <c r="B779" s="13"/>
      <c r="C779" s="13"/>
      <c r="D779" s="13"/>
      <c r="E779" s="13"/>
      <c r="F779" s="13"/>
      <c r="G779" s="13"/>
      <c r="H779" s="13"/>
      <c r="I779" s="13"/>
      <c r="J779" s="14"/>
      <c r="K779" s="14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" customHeight="1">
      <c r="A780" s="14"/>
      <c r="B780" s="13"/>
      <c r="C780" s="13"/>
      <c r="D780" s="13"/>
      <c r="E780" s="13"/>
      <c r="F780" s="13"/>
      <c r="G780" s="13"/>
      <c r="H780" s="13"/>
      <c r="I780" s="13"/>
      <c r="J780" s="14"/>
      <c r="K780" s="14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" customHeight="1">
      <c r="A781" s="14"/>
      <c r="B781" s="13"/>
      <c r="C781" s="13"/>
      <c r="D781" s="13"/>
      <c r="E781" s="13"/>
      <c r="F781" s="13"/>
      <c r="G781" s="13"/>
      <c r="H781" s="13"/>
      <c r="I781" s="13"/>
      <c r="J781" s="14"/>
      <c r="K781" s="14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" customHeight="1">
      <c r="A782" s="14"/>
      <c r="B782" s="13"/>
      <c r="C782" s="13"/>
      <c r="D782" s="13"/>
      <c r="E782" s="13"/>
      <c r="F782" s="13"/>
      <c r="G782" s="13"/>
      <c r="H782" s="13"/>
      <c r="I782" s="13"/>
      <c r="J782" s="14"/>
      <c r="K782" s="14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" customHeight="1">
      <c r="A783" s="14"/>
      <c r="B783" s="13"/>
      <c r="C783" s="13"/>
      <c r="D783" s="13"/>
      <c r="E783" s="13"/>
      <c r="F783" s="13"/>
      <c r="G783" s="13"/>
      <c r="H783" s="13"/>
      <c r="I783" s="13"/>
      <c r="J783" s="14"/>
      <c r="K783" s="14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" customHeight="1">
      <c r="A784" s="14"/>
      <c r="B784" s="13"/>
      <c r="C784" s="13"/>
      <c r="D784" s="13"/>
      <c r="E784" s="13"/>
      <c r="F784" s="13"/>
      <c r="G784" s="13"/>
      <c r="H784" s="13"/>
      <c r="I784" s="13"/>
      <c r="J784" s="14"/>
      <c r="K784" s="14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" customHeight="1">
      <c r="A785" s="14"/>
      <c r="B785" s="13"/>
      <c r="C785" s="13"/>
      <c r="D785" s="13"/>
      <c r="E785" s="13"/>
      <c r="F785" s="13"/>
      <c r="G785" s="13"/>
      <c r="H785" s="13"/>
      <c r="I785" s="13"/>
      <c r="J785" s="14"/>
      <c r="K785" s="14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" customHeight="1">
      <c r="A786" s="14"/>
      <c r="B786" s="13"/>
      <c r="C786" s="13"/>
      <c r="D786" s="13"/>
      <c r="E786" s="13"/>
      <c r="F786" s="13"/>
      <c r="G786" s="13"/>
      <c r="H786" s="13"/>
      <c r="I786" s="13"/>
      <c r="J786" s="14"/>
      <c r="K786" s="14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" customHeight="1">
      <c r="A787" s="14"/>
      <c r="B787" s="13"/>
      <c r="C787" s="13"/>
      <c r="D787" s="13"/>
      <c r="E787" s="13"/>
      <c r="F787" s="13"/>
      <c r="G787" s="13"/>
      <c r="H787" s="13"/>
      <c r="I787" s="13"/>
      <c r="J787" s="14"/>
      <c r="K787" s="14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" customHeight="1">
      <c r="A788" s="14"/>
      <c r="B788" s="13"/>
      <c r="C788" s="13"/>
      <c r="D788" s="13"/>
      <c r="E788" s="13"/>
      <c r="F788" s="13"/>
      <c r="G788" s="13"/>
      <c r="H788" s="13"/>
      <c r="I788" s="13"/>
      <c r="J788" s="14"/>
      <c r="K788" s="14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" customHeight="1">
      <c r="A789" s="14"/>
      <c r="B789" s="13"/>
      <c r="C789" s="13"/>
      <c r="D789" s="13"/>
      <c r="E789" s="13"/>
      <c r="F789" s="13"/>
      <c r="G789" s="13"/>
      <c r="H789" s="13"/>
      <c r="I789" s="13"/>
      <c r="J789" s="14"/>
      <c r="K789" s="14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" customHeight="1">
      <c r="A790" s="14"/>
      <c r="B790" s="13"/>
      <c r="C790" s="13"/>
      <c r="D790" s="13"/>
      <c r="E790" s="13"/>
      <c r="F790" s="13"/>
      <c r="G790" s="13"/>
      <c r="H790" s="13"/>
      <c r="I790" s="13"/>
      <c r="J790" s="14"/>
      <c r="K790" s="14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" customHeight="1">
      <c r="A791" s="14"/>
      <c r="B791" s="13"/>
      <c r="C791" s="13"/>
      <c r="D791" s="13"/>
      <c r="E791" s="13"/>
      <c r="F791" s="13"/>
      <c r="G791" s="13"/>
      <c r="H791" s="13"/>
      <c r="I791" s="13"/>
      <c r="J791" s="14"/>
      <c r="K791" s="14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" customHeight="1">
      <c r="A792" s="14"/>
      <c r="B792" s="13"/>
      <c r="C792" s="13"/>
      <c r="D792" s="13"/>
      <c r="E792" s="13"/>
      <c r="F792" s="13"/>
      <c r="G792" s="13"/>
      <c r="H792" s="13"/>
      <c r="I792" s="13"/>
      <c r="J792" s="14"/>
      <c r="K792" s="14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" customHeight="1">
      <c r="A793" s="14"/>
      <c r="B793" s="13"/>
      <c r="C793" s="13"/>
      <c r="D793" s="13"/>
      <c r="E793" s="13"/>
      <c r="F793" s="13"/>
      <c r="G793" s="13"/>
      <c r="H793" s="13"/>
      <c r="I793" s="13"/>
      <c r="J793" s="14"/>
      <c r="K793" s="14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" customHeight="1">
      <c r="A794" s="14"/>
      <c r="B794" s="13"/>
      <c r="C794" s="13"/>
      <c r="D794" s="13"/>
      <c r="E794" s="13"/>
      <c r="F794" s="13"/>
      <c r="G794" s="13"/>
      <c r="H794" s="13"/>
      <c r="I794" s="13"/>
      <c r="J794" s="14"/>
      <c r="K794" s="14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" customHeight="1">
      <c r="A795" s="14"/>
      <c r="B795" s="13"/>
      <c r="C795" s="13"/>
      <c r="D795" s="13"/>
      <c r="E795" s="13"/>
      <c r="F795" s="13"/>
      <c r="G795" s="13"/>
      <c r="H795" s="13"/>
      <c r="I795" s="13"/>
      <c r="J795" s="14"/>
      <c r="K795" s="14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" customHeight="1">
      <c r="A796" s="14"/>
      <c r="B796" s="13"/>
      <c r="C796" s="13"/>
      <c r="D796" s="13"/>
      <c r="E796" s="13"/>
      <c r="F796" s="13"/>
      <c r="G796" s="13"/>
      <c r="H796" s="13"/>
      <c r="I796" s="13"/>
      <c r="J796" s="14"/>
      <c r="K796" s="14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" customHeight="1">
      <c r="A797" s="14"/>
      <c r="B797" s="13"/>
      <c r="C797" s="13"/>
      <c r="D797" s="13"/>
      <c r="E797" s="13"/>
      <c r="F797" s="13"/>
      <c r="G797" s="13"/>
      <c r="H797" s="13"/>
      <c r="I797" s="13"/>
      <c r="J797" s="14"/>
      <c r="K797" s="14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" customHeight="1">
      <c r="A798" s="14"/>
      <c r="B798" s="13"/>
      <c r="C798" s="13"/>
      <c r="D798" s="13"/>
      <c r="E798" s="13"/>
      <c r="F798" s="13"/>
      <c r="G798" s="13"/>
      <c r="H798" s="13"/>
      <c r="I798" s="13"/>
      <c r="J798" s="14"/>
      <c r="K798" s="14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" customHeight="1">
      <c r="A799" s="14"/>
      <c r="B799" s="13"/>
      <c r="C799" s="13"/>
      <c r="D799" s="13"/>
      <c r="E799" s="13"/>
      <c r="F799" s="13"/>
      <c r="G799" s="13"/>
      <c r="H799" s="13"/>
      <c r="I799" s="13"/>
      <c r="J799" s="14"/>
      <c r="K799" s="14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" customHeight="1">
      <c r="A800" s="14"/>
      <c r="B800" s="13"/>
      <c r="C800" s="13"/>
      <c r="D800" s="13"/>
      <c r="E800" s="13"/>
      <c r="F800" s="13"/>
      <c r="G800" s="13"/>
      <c r="H800" s="13"/>
      <c r="I800" s="13"/>
      <c r="J800" s="14"/>
      <c r="K800" s="14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" customHeight="1">
      <c r="A801" s="14"/>
      <c r="B801" s="13"/>
      <c r="C801" s="13"/>
      <c r="D801" s="13"/>
      <c r="E801" s="13"/>
      <c r="F801" s="13"/>
      <c r="G801" s="13"/>
      <c r="H801" s="13"/>
      <c r="I801" s="13"/>
      <c r="J801" s="14"/>
      <c r="K801" s="14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" customHeight="1">
      <c r="A802" s="14"/>
      <c r="B802" s="13"/>
      <c r="C802" s="13"/>
      <c r="D802" s="13"/>
      <c r="E802" s="13"/>
      <c r="F802" s="13"/>
      <c r="G802" s="13"/>
      <c r="H802" s="13"/>
      <c r="I802" s="13"/>
      <c r="J802" s="14"/>
      <c r="K802" s="14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" customHeight="1">
      <c r="A803" s="14"/>
      <c r="B803" s="13"/>
      <c r="C803" s="13"/>
      <c r="D803" s="13"/>
      <c r="E803" s="13"/>
      <c r="F803" s="13"/>
      <c r="G803" s="13"/>
      <c r="H803" s="13"/>
      <c r="I803" s="13"/>
      <c r="J803" s="14"/>
      <c r="K803" s="14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" customHeight="1">
      <c r="A804" s="14"/>
      <c r="B804" s="13"/>
      <c r="C804" s="13"/>
      <c r="D804" s="13"/>
      <c r="E804" s="13"/>
      <c r="F804" s="13"/>
      <c r="G804" s="13"/>
      <c r="H804" s="13"/>
      <c r="I804" s="13"/>
      <c r="J804" s="14"/>
      <c r="K804" s="14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" customHeight="1">
      <c r="A805" s="14"/>
      <c r="B805" s="13"/>
      <c r="C805" s="13"/>
      <c r="D805" s="13"/>
      <c r="E805" s="13"/>
      <c r="F805" s="13"/>
      <c r="G805" s="13"/>
      <c r="H805" s="13"/>
      <c r="I805" s="13"/>
      <c r="J805" s="14"/>
      <c r="K805" s="14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" customHeight="1">
      <c r="A806" s="14"/>
      <c r="B806" s="13"/>
      <c r="C806" s="13"/>
      <c r="D806" s="13"/>
      <c r="E806" s="13"/>
      <c r="F806" s="13"/>
      <c r="G806" s="13"/>
      <c r="H806" s="13"/>
      <c r="I806" s="13"/>
      <c r="J806" s="14"/>
      <c r="K806" s="14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" customHeight="1">
      <c r="A807" s="14"/>
      <c r="B807" s="13"/>
      <c r="C807" s="13"/>
      <c r="D807" s="13"/>
      <c r="E807" s="13"/>
      <c r="F807" s="13"/>
      <c r="G807" s="13"/>
      <c r="H807" s="13"/>
      <c r="I807" s="13"/>
      <c r="J807" s="14"/>
      <c r="K807" s="14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" customHeight="1">
      <c r="A808" s="14"/>
      <c r="B808" s="13"/>
      <c r="C808" s="13"/>
      <c r="D808" s="13"/>
      <c r="E808" s="13"/>
      <c r="F808" s="13"/>
      <c r="G808" s="13"/>
      <c r="H808" s="13"/>
      <c r="I808" s="13"/>
      <c r="J808" s="14"/>
      <c r="K808" s="14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" customHeight="1">
      <c r="A809" s="14"/>
      <c r="B809" s="13"/>
      <c r="C809" s="13"/>
      <c r="D809" s="13"/>
      <c r="E809" s="13"/>
      <c r="F809" s="13"/>
      <c r="G809" s="13"/>
      <c r="H809" s="13"/>
      <c r="I809" s="13"/>
      <c r="J809" s="14"/>
      <c r="K809" s="14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" customHeight="1">
      <c r="A810" s="14"/>
      <c r="B810" s="13"/>
      <c r="C810" s="13"/>
      <c r="D810" s="13"/>
      <c r="E810" s="13"/>
      <c r="F810" s="13"/>
      <c r="G810" s="13"/>
      <c r="H810" s="13"/>
      <c r="I810" s="13"/>
      <c r="J810" s="14"/>
      <c r="K810" s="14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" customHeight="1">
      <c r="A811" s="14"/>
      <c r="B811" s="13"/>
      <c r="C811" s="13"/>
      <c r="D811" s="13"/>
      <c r="E811" s="13"/>
      <c r="F811" s="13"/>
      <c r="G811" s="13"/>
      <c r="H811" s="13"/>
      <c r="I811" s="13"/>
      <c r="J811" s="14"/>
      <c r="K811" s="14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" customHeight="1">
      <c r="A812" s="14"/>
      <c r="B812" s="13"/>
      <c r="C812" s="13"/>
      <c r="D812" s="13"/>
      <c r="E812" s="13"/>
      <c r="F812" s="13"/>
      <c r="G812" s="13"/>
      <c r="H812" s="13"/>
      <c r="I812" s="13"/>
      <c r="J812" s="14"/>
      <c r="K812" s="14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" customHeight="1">
      <c r="A813" s="14"/>
      <c r="B813" s="13"/>
      <c r="C813" s="13"/>
      <c r="D813" s="13"/>
      <c r="E813" s="13"/>
      <c r="F813" s="13"/>
      <c r="G813" s="13"/>
      <c r="H813" s="13"/>
      <c r="I813" s="13"/>
      <c r="J813" s="14"/>
      <c r="K813" s="14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" customHeight="1">
      <c r="A814" s="14"/>
      <c r="B814" s="13"/>
      <c r="C814" s="13"/>
      <c r="D814" s="13"/>
      <c r="E814" s="13"/>
      <c r="F814" s="13"/>
      <c r="G814" s="13"/>
      <c r="H814" s="13"/>
      <c r="I814" s="13"/>
      <c r="J814" s="14"/>
      <c r="K814" s="14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" customHeight="1">
      <c r="A815" s="14"/>
      <c r="B815" s="13"/>
      <c r="C815" s="13"/>
      <c r="D815" s="13"/>
      <c r="E815" s="13"/>
      <c r="F815" s="13"/>
      <c r="G815" s="13"/>
      <c r="H815" s="13"/>
      <c r="I815" s="13"/>
      <c r="J815" s="14"/>
      <c r="K815" s="14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" customHeight="1">
      <c r="A816" s="14"/>
      <c r="B816" s="13"/>
      <c r="C816" s="13"/>
      <c r="D816" s="13"/>
      <c r="E816" s="13"/>
      <c r="F816" s="13"/>
      <c r="G816" s="13"/>
      <c r="H816" s="13"/>
      <c r="I816" s="13"/>
      <c r="J816" s="14"/>
      <c r="K816" s="14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" customHeight="1">
      <c r="A817" s="14"/>
      <c r="B817" s="13"/>
      <c r="C817" s="13"/>
      <c r="D817" s="13"/>
      <c r="E817" s="13"/>
      <c r="F817" s="13"/>
      <c r="G817" s="13"/>
      <c r="H817" s="13"/>
      <c r="I817" s="13"/>
      <c r="J817" s="14"/>
      <c r="K817" s="14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" customHeight="1">
      <c r="A818" s="14"/>
      <c r="B818" s="13"/>
      <c r="C818" s="13"/>
      <c r="D818" s="13"/>
      <c r="E818" s="13"/>
      <c r="F818" s="13"/>
      <c r="G818" s="13"/>
      <c r="H818" s="13"/>
      <c r="I818" s="13"/>
      <c r="J818" s="14"/>
      <c r="K818" s="14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" customHeight="1">
      <c r="A819" s="14"/>
      <c r="B819" s="13"/>
      <c r="C819" s="13"/>
      <c r="D819" s="13"/>
      <c r="E819" s="13"/>
      <c r="F819" s="13"/>
      <c r="G819" s="13"/>
      <c r="H819" s="13"/>
      <c r="I819" s="13"/>
      <c r="J819" s="14"/>
      <c r="K819" s="14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" customHeight="1">
      <c r="A820" s="14"/>
      <c r="B820" s="13"/>
      <c r="C820" s="13"/>
      <c r="D820" s="13"/>
      <c r="E820" s="13"/>
      <c r="F820" s="13"/>
      <c r="G820" s="13"/>
      <c r="H820" s="13"/>
      <c r="I820" s="13"/>
      <c r="J820" s="14"/>
      <c r="K820" s="14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" customHeight="1">
      <c r="A821" s="14"/>
      <c r="B821" s="13"/>
      <c r="C821" s="13"/>
      <c r="D821" s="13"/>
      <c r="E821" s="13"/>
      <c r="F821" s="13"/>
      <c r="G821" s="13"/>
      <c r="H821" s="13"/>
      <c r="I821" s="13"/>
      <c r="J821" s="14"/>
      <c r="K821" s="14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" customHeight="1">
      <c r="A822" s="14"/>
      <c r="B822" s="13"/>
      <c r="C822" s="13"/>
      <c r="D822" s="13"/>
      <c r="E822" s="13"/>
      <c r="F822" s="13"/>
      <c r="G822" s="13"/>
      <c r="H822" s="13"/>
      <c r="I822" s="13"/>
      <c r="J822" s="14"/>
      <c r="K822" s="14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" customHeight="1">
      <c r="A823" s="14"/>
      <c r="B823" s="13"/>
      <c r="C823" s="13"/>
      <c r="D823" s="13"/>
      <c r="E823" s="13"/>
      <c r="F823" s="13"/>
      <c r="G823" s="13"/>
      <c r="H823" s="13"/>
      <c r="I823" s="13"/>
      <c r="J823" s="14"/>
      <c r="K823" s="14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" customHeight="1">
      <c r="A824" s="14"/>
      <c r="B824" s="13"/>
      <c r="C824" s="13"/>
      <c r="D824" s="13"/>
      <c r="E824" s="13"/>
      <c r="F824" s="13"/>
      <c r="G824" s="13"/>
      <c r="H824" s="13"/>
      <c r="I824" s="13"/>
      <c r="J824" s="14"/>
      <c r="K824" s="14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" customHeight="1">
      <c r="A825" s="14"/>
      <c r="B825" s="13"/>
      <c r="C825" s="13"/>
      <c r="D825" s="13"/>
      <c r="E825" s="13"/>
      <c r="F825" s="13"/>
      <c r="G825" s="13"/>
      <c r="H825" s="13"/>
      <c r="I825" s="13"/>
      <c r="J825" s="14"/>
      <c r="K825" s="14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" customHeight="1">
      <c r="A826" s="14"/>
      <c r="B826" s="13"/>
      <c r="C826" s="13"/>
      <c r="D826" s="13"/>
      <c r="E826" s="13"/>
      <c r="F826" s="13"/>
      <c r="G826" s="13"/>
      <c r="H826" s="13"/>
      <c r="I826" s="13"/>
      <c r="J826" s="14"/>
      <c r="K826" s="14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" customHeight="1">
      <c r="A827" s="14"/>
      <c r="B827" s="13"/>
      <c r="C827" s="13"/>
      <c r="D827" s="13"/>
      <c r="E827" s="13"/>
      <c r="F827" s="13"/>
      <c r="G827" s="13"/>
      <c r="H827" s="13"/>
      <c r="I827" s="13"/>
      <c r="J827" s="14"/>
      <c r="K827" s="14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" customHeight="1">
      <c r="A828" s="14"/>
      <c r="B828" s="13"/>
      <c r="C828" s="13"/>
      <c r="D828" s="13"/>
      <c r="E828" s="13"/>
      <c r="F828" s="13"/>
      <c r="G828" s="13"/>
      <c r="H828" s="13"/>
      <c r="I828" s="13"/>
      <c r="J828" s="14"/>
      <c r="K828" s="14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" customHeight="1">
      <c r="A829" s="14"/>
      <c r="B829" s="13"/>
      <c r="C829" s="13"/>
      <c r="D829" s="13"/>
      <c r="E829" s="13"/>
      <c r="F829" s="13"/>
      <c r="G829" s="13"/>
      <c r="H829" s="13"/>
      <c r="I829" s="13"/>
      <c r="J829" s="14"/>
      <c r="K829" s="14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" customHeight="1">
      <c r="A830" s="14"/>
      <c r="B830" s="13"/>
      <c r="C830" s="13"/>
      <c r="D830" s="13"/>
      <c r="E830" s="13"/>
      <c r="F830" s="13"/>
      <c r="G830" s="13"/>
      <c r="H830" s="13"/>
      <c r="I830" s="13"/>
      <c r="J830" s="14"/>
      <c r="K830" s="14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" customHeight="1">
      <c r="A831" s="14"/>
      <c r="B831" s="13"/>
      <c r="C831" s="13"/>
      <c r="D831" s="13"/>
      <c r="E831" s="13"/>
      <c r="F831" s="13"/>
      <c r="G831" s="13"/>
      <c r="H831" s="13"/>
      <c r="I831" s="13"/>
      <c r="J831" s="14"/>
      <c r="K831" s="14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" customHeight="1">
      <c r="A832" s="14"/>
      <c r="B832" s="13"/>
      <c r="C832" s="13"/>
      <c r="D832" s="13"/>
      <c r="E832" s="13"/>
      <c r="F832" s="13"/>
      <c r="G832" s="13"/>
      <c r="H832" s="13"/>
      <c r="I832" s="13"/>
      <c r="J832" s="14"/>
      <c r="K832" s="14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" customHeight="1">
      <c r="A833" s="14"/>
      <c r="B833" s="13"/>
      <c r="C833" s="13"/>
      <c r="D833" s="13"/>
      <c r="E833" s="13"/>
      <c r="F833" s="13"/>
      <c r="G833" s="13"/>
      <c r="H833" s="13"/>
      <c r="I833" s="13"/>
      <c r="J833" s="14"/>
      <c r="K833" s="14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" customHeight="1">
      <c r="A834" s="14"/>
      <c r="B834" s="13"/>
      <c r="C834" s="13"/>
      <c r="D834" s="13"/>
      <c r="E834" s="13"/>
      <c r="F834" s="13"/>
      <c r="G834" s="13"/>
      <c r="H834" s="13"/>
      <c r="I834" s="13"/>
      <c r="J834" s="14"/>
      <c r="K834" s="14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" customHeight="1">
      <c r="A835" s="14"/>
      <c r="B835" s="13"/>
      <c r="C835" s="13"/>
      <c r="D835" s="13"/>
      <c r="E835" s="13"/>
      <c r="F835" s="13"/>
      <c r="G835" s="13"/>
      <c r="H835" s="13"/>
      <c r="I835" s="13"/>
      <c r="J835" s="14"/>
      <c r="K835" s="14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" customHeight="1">
      <c r="A836" s="14"/>
      <c r="B836" s="13"/>
      <c r="C836" s="13"/>
      <c r="D836" s="13"/>
      <c r="E836" s="13"/>
      <c r="F836" s="13"/>
      <c r="G836" s="13"/>
      <c r="H836" s="13"/>
      <c r="I836" s="13"/>
      <c r="J836" s="14"/>
      <c r="K836" s="14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" customHeight="1">
      <c r="A837" s="14"/>
      <c r="B837" s="13"/>
      <c r="C837" s="13"/>
      <c r="D837" s="13"/>
      <c r="E837" s="13"/>
      <c r="F837" s="13"/>
      <c r="G837" s="13"/>
      <c r="H837" s="13"/>
      <c r="I837" s="13"/>
      <c r="J837" s="14"/>
      <c r="K837" s="14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" customHeight="1">
      <c r="A838" s="14"/>
      <c r="B838" s="13"/>
      <c r="C838" s="13"/>
      <c r="D838" s="13"/>
      <c r="E838" s="13"/>
      <c r="F838" s="13"/>
      <c r="G838" s="13"/>
      <c r="H838" s="13"/>
      <c r="I838" s="13"/>
      <c r="J838" s="14"/>
      <c r="K838" s="14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" customHeight="1">
      <c r="A839" s="14"/>
      <c r="B839" s="13"/>
      <c r="C839" s="13"/>
      <c r="D839" s="13"/>
      <c r="E839" s="13"/>
      <c r="F839" s="13"/>
      <c r="G839" s="13"/>
      <c r="H839" s="13"/>
      <c r="I839" s="13"/>
      <c r="J839" s="14"/>
      <c r="K839" s="14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" customHeight="1">
      <c r="A840" s="14"/>
      <c r="B840" s="13"/>
      <c r="C840" s="13"/>
      <c r="D840" s="13"/>
      <c r="E840" s="13"/>
      <c r="F840" s="13"/>
      <c r="G840" s="13"/>
      <c r="H840" s="13"/>
      <c r="I840" s="13"/>
      <c r="J840" s="14"/>
      <c r="K840" s="14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" customHeight="1">
      <c r="A841" s="14"/>
      <c r="B841" s="13"/>
      <c r="C841" s="13"/>
      <c r="D841" s="13"/>
      <c r="E841" s="13"/>
      <c r="F841" s="13"/>
      <c r="G841" s="13"/>
      <c r="H841" s="13"/>
      <c r="I841" s="13"/>
      <c r="J841" s="14"/>
      <c r="K841" s="14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" customHeight="1">
      <c r="A842" s="14"/>
      <c r="B842" s="13"/>
      <c r="C842" s="13"/>
      <c r="D842" s="13"/>
      <c r="E842" s="13"/>
      <c r="F842" s="13"/>
      <c r="G842" s="13"/>
      <c r="H842" s="13"/>
      <c r="I842" s="13"/>
      <c r="J842" s="14"/>
      <c r="K842" s="14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" customHeight="1">
      <c r="A843" s="14"/>
      <c r="B843" s="13"/>
      <c r="C843" s="13"/>
      <c r="D843" s="13"/>
      <c r="E843" s="13"/>
      <c r="F843" s="13"/>
      <c r="G843" s="13"/>
      <c r="H843" s="13"/>
      <c r="I843" s="13"/>
      <c r="J843" s="14"/>
      <c r="K843" s="14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" customHeight="1">
      <c r="A844" s="14"/>
      <c r="B844" s="13"/>
      <c r="C844" s="13"/>
      <c r="D844" s="13"/>
      <c r="E844" s="13"/>
      <c r="F844" s="13"/>
      <c r="G844" s="13"/>
      <c r="H844" s="13"/>
      <c r="I844" s="13"/>
      <c r="J844" s="14"/>
      <c r="K844" s="14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" customHeight="1">
      <c r="A845" s="14"/>
      <c r="B845" s="13"/>
      <c r="C845" s="13"/>
      <c r="D845" s="13"/>
      <c r="E845" s="13"/>
      <c r="F845" s="13"/>
      <c r="G845" s="13"/>
      <c r="H845" s="13"/>
      <c r="I845" s="13"/>
      <c r="J845" s="14"/>
      <c r="K845" s="14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" customHeight="1">
      <c r="A846" s="14"/>
      <c r="B846" s="13"/>
      <c r="C846" s="13"/>
      <c r="D846" s="13"/>
      <c r="E846" s="13"/>
      <c r="F846" s="13"/>
      <c r="G846" s="13"/>
      <c r="H846" s="13"/>
      <c r="I846" s="13"/>
      <c r="J846" s="14"/>
      <c r="K846" s="14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" customHeight="1">
      <c r="A847" s="14"/>
      <c r="B847" s="13"/>
      <c r="C847" s="13"/>
      <c r="D847" s="13"/>
      <c r="E847" s="13"/>
      <c r="F847" s="13"/>
      <c r="G847" s="13"/>
      <c r="H847" s="13"/>
      <c r="I847" s="13"/>
      <c r="J847" s="14"/>
      <c r="K847" s="14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" customHeight="1">
      <c r="A848" s="14"/>
      <c r="B848" s="13"/>
      <c r="C848" s="13"/>
      <c r="D848" s="13"/>
      <c r="E848" s="13"/>
      <c r="F848" s="13"/>
      <c r="G848" s="13"/>
      <c r="H848" s="13"/>
      <c r="I848" s="13"/>
      <c r="J848" s="14"/>
      <c r="K848" s="14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" customHeight="1">
      <c r="A849" s="14"/>
      <c r="B849" s="13"/>
      <c r="C849" s="13"/>
      <c r="D849" s="13"/>
      <c r="E849" s="13"/>
      <c r="F849" s="13"/>
      <c r="G849" s="13"/>
      <c r="H849" s="13"/>
      <c r="I849" s="13"/>
      <c r="J849" s="14"/>
      <c r="K849" s="14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" customHeight="1">
      <c r="A850" s="14"/>
      <c r="B850" s="13"/>
      <c r="C850" s="13"/>
      <c r="D850" s="13"/>
      <c r="E850" s="13"/>
      <c r="F850" s="13"/>
      <c r="G850" s="13"/>
      <c r="H850" s="13"/>
      <c r="I850" s="13"/>
      <c r="J850" s="14"/>
      <c r="K850" s="14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" customHeight="1">
      <c r="A851" s="14"/>
      <c r="B851" s="13"/>
      <c r="C851" s="13"/>
      <c r="D851" s="13"/>
      <c r="E851" s="13"/>
      <c r="F851" s="13"/>
      <c r="G851" s="13"/>
      <c r="H851" s="13"/>
      <c r="I851" s="13"/>
      <c r="J851" s="14"/>
      <c r="K851" s="14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" customHeight="1">
      <c r="A852" s="14"/>
      <c r="B852" s="13"/>
      <c r="C852" s="13"/>
      <c r="D852" s="13"/>
      <c r="E852" s="13"/>
      <c r="F852" s="13"/>
      <c r="G852" s="13"/>
      <c r="H852" s="13"/>
      <c r="I852" s="13"/>
      <c r="J852" s="14"/>
      <c r="K852" s="14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" customHeight="1">
      <c r="A853" s="14"/>
      <c r="B853" s="13"/>
      <c r="C853" s="13"/>
      <c r="D853" s="13"/>
      <c r="E853" s="13"/>
      <c r="F853" s="13"/>
      <c r="G853" s="13"/>
      <c r="H853" s="13"/>
      <c r="I853" s="13"/>
      <c r="J853" s="14"/>
      <c r="K853" s="14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" customHeight="1">
      <c r="A854" s="14"/>
      <c r="B854" s="13"/>
      <c r="C854" s="13"/>
      <c r="D854" s="13"/>
      <c r="E854" s="13"/>
      <c r="F854" s="13"/>
      <c r="G854" s="13"/>
      <c r="H854" s="13"/>
      <c r="I854" s="13"/>
      <c r="J854" s="14"/>
      <c r="K854" s="14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" customHeight="1">
      <c r="A855" s="14"/>
      <c r="B855" s="13"/>
      <c r="C855" s="13"/>
      <c r="D855" s="13"/>
      <c r="E855" s="13"/>
      <c r="F855" s="13"/>
      <c r="G855" s="13"/>
      <c r="H855" s="13"/>
      <c r="I855" s="13"/>
      <c r="J855" s="14"/>
      <c r="K855" s="14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" customHeight="1">
      <c r="A856" s="14"/>
      <c r="B856" s="13"/>
      <c r="C856" s="13"/>
      <c r="D856" s="13"/>
      <c r="E856" s="13"/>
      <c r="F856" s="13"/>
      <c r="G856" s="13"/>
      <c r="H856" s="13"/>
      <c r="I856" s="13"/>
      <c r="J856" s="14"/>
      <c r="K856" s="14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" customHeight="1">
      <c r="A857" s="14"/>
      <c r="B857" s="13"/>
      <c r="C857" s="13"/>
      <c r="D857" s="13"/>
      <c r="E857" s="13"/>
      <c r="F857" s="13"/>
      <c r="G857" s="13"/>
      <c r="H857" s="13"/>
      <c r="I857" s="13"/>
      <c r="J857" s="14"/>
      <c r="K857" s="14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" customHeight="1">
      <c r="A858" s="14"/>
      <c r="B858" s="13"/>
      <c r="C858" s="13"/>
      <c r="D858" s="13"/>
      <c r="E858" s="13"/>
      <c r="F858" s="13"/>
      <c r="G858" s="13"/>
      <c r="H858" s="13"/>
      <c r="I858" s="13"/>
      <c r="J858" s="14"/>
      <c r="K858" s="14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" customHeight="1">
      <c r="A859" s="14"/>
      <c r="B859" s="13"/>
      <c r="C859" s="13"/>
      <c r="D859" s="13"/>
      <c r="E859" s="13"/>
      <c r="F859" s="13"/>
      <c r="G859" s="13"/>
      <c r="H859" s="13"/>
      <c r="I859" s="13"/>
      <c r="J859" s="14"/>
      <c r="K859" s="14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" customHeight="1">
      <c r="A860" s="14"/>
      <c r="B860" s="13"/>
      <c r="C860" s="13"/>
      <c r="D860" s="13"/>
      <c r="E860" s="13"/>
      <c r="F860" s="13"/>
      <c r="G860" s="13"/>
      <c r="H860" s="13"/>
      <c r="I860" s="13"/>
      <c r="J860" s="14"/>
      <c r="K860" s="14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" customHeight="1">
      <c r="A861" s="14"/>
      <c r="B861" s="13"/>
      <c r="C861" s="13"/>
      <c r="D861" s="13"/>
      <c r="E861" s="13"/>
      <c r="F861" s="13"/>
      <c r="G861" s="13"/>
      <c r="H861" s="13"/>
      <c r="I861" s="13"/>
      <c r="J861" s="14"/>
      <c r="K861" s="14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" customHeight="1">
      <c r="A862" s="14"/>
      <c r="B862" s="13"/>
      <c r="C862" s="13"/>
      <c r="D862" s="13"/>
      <c r="E862" s="13"/>
      <c r="F862" s="13"/>
      <c r="G862" s="13"/>
      <c r="H862" s="13"/>
      <c r="I862" s="13"/>
      <c r="J862" s="14"/>
      <c r="K862" s="14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" customHeight="1">
      <c r="A863" s="14"/>
      <c r="B863" s="13"/>
      <c r="C863" s="13"/>
      <c r="D863" s="13"/>
      <c r="E863" s="13"/>
      <c r="F863" s="13"/>
      <c r="G863" s="13"/>
      <c r="H863" s="13"/>
      <c r="I863" s="13"/>
      <c r="J863" s="14"/>
      <c r="K863" s="14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" customHeight="1">
      <c r="A864" s="14"/>
      <c r="B864" s="13"/>
      <c r="C864" s="13"/>
      <c r="D864" s="13"/>
      <c r="E864" s="13"/>
      <c r="F864" s="13"/>
      <c r="G864" s="13"/>
      <c r="H864" s="13"/>
      <c r="I864" s="13"/>
      <c r="J864" s="14"/>
      <c r="K864" s="14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" customHeight="1">
      <c r="A865" s="14"/>
      <c r="B865" s="13"/>
      <c r="C865" s="13"/>
      <c r="D865" s="13"/>
      <c r="E865" s="13"/>
      <c r="F865" s="13"/>
      <c r="G865" s="13"/>
      <c r="H865" s="13"/>
      <c r="I865" s="13"/>
      <c r="J865" s="14"/>
      <c r="K865" s="14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" customHeight="1">
      <c r="A866" s="14"/>
      <c r="B866" s="13"/>
      <c r="C866" s="13"/>
      <c r="D866" s="13"/>
      <c r="E866" s="13"/>
      <c r="F866" s="13"/>
      <c r="G866" s="13"/>
      <c r="H866" s="13"/>
      <c r="I866" s="13"/>
      <c r="J866" s="14"/>
      <c r="K866" s="14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" customHeight="1">
      <c r="A867" s="14"/>
      <c r="B867" s="13"/>
      <c r="C867" s="13"/>
      <c r="D867" s="13"/>
      <c r="E867" s="13"/>
      <c r="F867" s="13"/>
      <c r="G867" s="13"/>
      <c r="H867" s="13"/>
      <c r="I867" s="13"/>
      <c r="J867" s="14"/>
      <c r="K867" s="14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" customHeight="1">
      <c r="A868" s="14"/>
      <c r="B868" s="13"/>
      <c r="C868" s="13"/>
      <c r="D868" s="13"/>
      <c r="E868" s="13"/>
      <c r="F868" s="13"/>
      <c r="G868" s="13"/>
      <c r="H868" s="13"/>
      <c r="I868" s="13"/>
      <c r="J868" s="14"/>
      <c r="K868" s="14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" customHeight="1">
      <c r="A869" s="14"/>
      <c r="B869" s="13"/>
      <c r="C869" s="13"/>
      <c r="D869" s="13"/>
      <c r="E869" s="13"/>
      <c r="F869" s="13"/>
      <c r="G869" s="13"/>
      <c r="H869" s="13"/>
      <c r="I869" s="13"/>
      <c r="J869" s="14"/>
      <c r="K869" s="14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" customHeight="1">
      <c r="A870" s="14"/>
      <c r="B870" s="13"/>
      <c r="C870" s="13"/>
      <c r="D870" s="13"/>
      <c r="E870" s="13"/>
      <c r="F870" s="13"/>
      <c r="G870" s="13"/>
      <c r="H870" s="13"/>
      <c r="I870" s="13"/>
      <c r="J870" s="14"/>
      <c r="K870" s="14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" customHeight="1">
      <c r="A871" s="14"/>
      <c r="B871" s="13"/>
      <c r="C871" s="13"/>
      <c r="D871" s="13"/>
      <c r="E871" s="13"/>
      <c r="F871" s="13"/>
      <c r="G871" s="13"/>
      <c r="H871" s="13"/>
      <c r="I871" s="13"/>
      <c r="J871" s="14"/>
      <c r="K871" s="14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" customHeight="1">
      <c r="A872" s="14"/>
      <c r="B872" s="13"/>
      <c r="C872" s="13"/>
      <c r="D872" s="13"/>
      <c r="E872" s="13"/>
      <c r="F872" s="13"/>
      <c r="G872" s="13"/>
      <c r="H872" s="13"/>
      <c r="I872" s="13"/>
      <c r="J872" s="14"/>
      <c r="K872" s="14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" customHeight="1">
      <c r="A873" s="14"/>
      <c r="B873" s="13"/>
      <c r="C873" s="13"/>
      <c r="D873" s="13"/>
      <c r="E873" s="13"/>
      <c r="F873" s="13"/>
      <c r="G873" s="13"/>
      <c r="H873" s="13"/>
      <c r="I873" s="13"/>
      <c r="J873" s="14"/>
      <c r="K873" s="14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" customHeight="1">
      <c r="A874" s="14"/>
      <c r="B874" s="13"/>
      <c r="C874" s="13"/>
      <c r="D874" s="13"/>
      <c r="E874" s="13"/>
      <c r="F874" s="13"/>
      <c r="G874" s="13"/>
      <c r="H874" s="13"/>
      <c r="I874" s="13"/>
      <c r="J874" s="14"/>
      <c r="K874" s="14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" customHeight="1">
      <c r="A875" s="14"/>
      <c r="B875" s="13"/>
      <c r="C875" s="13"/>
      <c r="D875" s="13"/>
      <c r="E875" s="13"/>
      <c r="F875" s="13"/>
      <c r="G875" s="13"/>
      <c r="H875" s="13"/>
      <c r="I875" s="13"/>
      <c r="J875" s="14"/>
      <c r="K875" s="14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" customHeight="1">
      <c r="A876" s="14"/>
      <c r="B876" s="13"/>
      <c r="C876" s="13"/>
      <c r="D876" s="13"/>
      <c r="E876" s="13"/>
      <c r="F876" s="13"/>
      <c r="G876" s="13"/>
      <c r="H876" s="13"/>
      <c r="I876" s="13"/>
      <c r="J876" s="14"/>
      <c r="K876" s="14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" customHeight="1">
      <c r="A877" s="14"/>
      <c r="B877" s="13"/>
      <c r="C877" s="13"/>
      <c r="D877" s="13"/>
      <c r="E877" s="13"/>
      <c r="F877" s="13"/>
      <c r="G877" s="13"/>
      <c r="H877" s="13"/>
      <c r="I877" s="13"/>
      <c r="J877" s="14"/>
      <c r="K877" s="14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" customHeight="1">
      <c r="A878" s="14"/>
      <c r="B878" s="13"/>
      <c r="C878" s="13"/>
      <c r="D878" s="13"/>
      <c r="E878" s="13"/>
      <c r="F878" s="13"/>
      <c r="G878" s="13"/>
      <c r="H878" s="13"/>
      <c r="I878" s="13"/>
      <c r="J878" s="14"/>
      <c r="K878" s="14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" customHeight="1">
      <c r="A879" s="14"/>
      <c r="B879" s="13"/>
      <c r="C879" s="13"/>
      <c r="D879" s="13"/>
      <c r="E879" s="13"/>
      <c r="F879" s="13"/>
      <c r="G879" s="13"/>
      <c r="H879" s="13"/>
      <c r="I879" s="13"/>
      <c r="J879" s="14"/>
      <c r="K879" s="14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" customHeight="1">
      <c r="A880" s="14"/>
      <c r="B880" s="13"/>
      <c r="C880" s="13"/>
      <c r="D880" s="13"/>
      <c r="E880" s="13"/>
      <c r="F880" s="13"/>
      <c r="G880" s="13"/>
      <c r="H880" s="13"/>
      <c r="I880" s="13"/>
      <c r="J880" s="14"/>
      <c r="K880" s="14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" customHeight="1">
      <c r="A881" s="14"/>
      <c r="B881" s="13"/>
      <c r="C881" s="13"/>
      <c r="D881" s="13"/>
      <c r="E881" s="13"/>
      <c r="F881" s="13"/>
      <c r="G881" s="13"/>
      <c r="H881" s="13"/>
      <c r="I881" s="13"/>
      <c r="J881" s="14"/>
      <c r="K881" s="14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" customHeight="1">
      <c r="A882" s="14"/>
      <c r="B882" s="13"/>
      <c r="C882" s="13"/>
      <c r="D882" s="13"/>
      <c r="E882" s="13"/>
      <c r="F882" s="13"/>
      <c r="G882" s="13"/>
      <c r="H882" s="13"/>
      <c r="I882" s="13"/>
      <c r="J882" s="14"/>
      <c r="K882" s="14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" customHeight="1">
      <c r="A883" s="14"/>
      <c r="B883" s="13"/>
      <c r="C883" s="13"/>
      <c r="D883" s="13"/>
      <c r="E883" s="13"/>
      <c r="F883" s="13"/>
      <c r="G883" s="13"/>
      <c r="H883" s="13"/>
      <c r="I883" s="13"/>
      <c r="J883" s="14"/>
      <c r="K883" s="14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" customHeight="1">
      <c r="A884" s="14"/>
      <c r="B884" s="13"/>
      <c r="C884" s="13"/>
      <c r="D884" s="13"/>
      <c r="E884" s="13"/>
      <c r="F884" s="13"/>
      <c r="G884" s="13"/>
      <c r="H884" s="13"/>
      <c r="I884" s="13"/>
      <c r="J884" s="14"/>
      <c r="K884" s="14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" customHeight="1">
      <c r="A885" s="14"/>
      <c r="B885" s="13"/>
      <c r="C885" s="13"/>
      <c r="D885" s="13"/>
      <c r="E885" s="13"/>
      <c r="F885" s="13"/>
      <c r="G885" s="13"/>
      <c r="H885" s="13"/>
      <c r="I885" s="13"/>
      <c r="J885" s="14"/>
      <c r="K885" s="14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" customHeight="1">
      <c r="A886" s="14"/>
      <c r="B886" s="13"/>
      <c r="C886" s="13"/>
      <c r="D886" s="13"/>
      <c r="E886" s="13"/>
      <c r="F886" s="13"/>
      <c r="G886" s="13"/>
      <c r="H886" s="13"/>
      <c r="I886" s="13"/>
      <c r="J886" s="14"/>
      <c r="K886" s="14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" customHeight="1">
      <c r="A887" s="14"/>
      <c r="B887" s="13"/>
      <c r="C887" s="13"/>
      <c r="D887" s="13"/>
      <c r="E887" s="13"/>
      <c r="F887" s="13"/>
      <c r="G887" s="13"/>
      <c r="H887" s="13"/>
      <c r="I887" s="13"/>
      <c r="J887" s="14"/>
      <c r="K887" s="14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" customHeight="1">
      <c r="A888" s="14"/>
      <c r="B888" s="13"/>
      <c r="C888" s="13"/>
      <c r="D888" s="13"/>
      <c r="E888" s="13"/>
      <c r="F888" s="13"/>
      <c r="G888" s="13"/>
      <c r="H888" s="13"/>
      <c r="I888" s="13"/>
      <c r="J888" s="14"/>
      <c r="K888" s="14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" customHeight="1">
      <c r="A889" s="14"/>
      <c r="B889" s="13"/>
      <c r="C889" s="13"/>
      <c r="D889" s="13"/>
      <c r="E889" s="13"/>
      <c r="F889" s="13"/>
      <c r="G889" s="13"/>
      <c r="H889" s="13"/>
      <c r="I889" s="13"/>
      <c r="J889" s="14"/>
      <c r="K889" s="14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" customHeight="1">
      <c r="A890" s="14"/>
      <c r="B890" s="13"/>
      <c r="C890" s="13"/>
      <c r="D890" s="13"/>
      <c r="E890" s="13"/>
      <c r="F890" s="13"/>
      <c r="G890" s="13"/>
      <c r="H890" s="13"/>
      <c r="I890" s="13"/>
      <c r="J890" s="14"/>
      <c r="K890" s="14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" customHeight="1">
      <c r="A891" s="14"/>
      <c r="B891" s="13"/>
      <c r="C891" s="13"/>
      <c r="D891" s="13"/>
      <c r="E891" s="13"/>
      <c r="F891" s="13"/>
      <c r="G891" s="13"/>
      <c r="H891" s="13"/>
      <c r="I891" s="13"/>
      <c r="J891" s="14"/>
      <c r="K891" s="14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" customHeight="1">
      <c r="A892" s="14"/>
      <c r="B892" s="13"/>
      <c r="C892" s="13"/>
      <c r="D892" s="13"/>
      <c r="E892" s="13"/>
      <c r="F892" s="13"/>
      <c r="G892" s="13"/>
      <c r="H892" s="13"/>
      <c r="I892" s="13"/>
      <c r="J892" s="14"/>
      <c r="K892" s="14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" customHeight="1">
      <c r="A893" s="14"/>
      <c r="B893" s="13"/>
      <c r="C893" s="13"/>
      <c r="D893" s="13"/>
      <c r="E893" s="13"/>
      <c r="F893" s="13"/>
      <c r="G893" s="13"/>
      <c r="H893" s="13"/>
      <c r="I893" s="13"/>
      <c r="J893" s="14"/>
      <c r="K893" s="14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" customHeight="1">
      <c r="A894" s="14"/>
      <c r="B894" s="13"/>
      <c r="C894" s="13"/>
      <c r="D894" s="13"/>
      <c r="E894" s="13"/>
      <c r="F894" s="13"/>
      <c r="G894" s="13"/>
      <c r="H894" s="13"/>
      <c r="I894" s="13"/>
      <c r="J894" s="14"/>
      <c r="K894" s="14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" customHeight="1">
      <c r="A895" s="14"/>
      <c r="B895" s="13"/>
      <c r="C895" s="13"/>
      <c r="D895" s="13"/>
      <c r="E895" s="13"/>
      <c r="F895" s="13"/>
      <c r="G895" s="13"/>
      <c r="H895" s="13"/>
      <c r="I895" s="13"/>
      <c r="J895" s="14"/>
      <c r="K895" s="14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" customHeight="1">
      <c r="A896" s="14"/>
      <c r="B896" s="13"/>
      <c r="C896" s="13"/>
      <c r="D896" s="13"/>
      <c r="E896" s="13"/>
      <c r="F896" s="13"/>
      <c r="G896" s="13"/>
      <c r="H896" s="13"/>
      <c r="I896" s="13"/>
      <c r="J896" s="14"/>
      <c r="K896" s="14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" customHeight="1">
      <c r="A897" s="14"/>
      <c r="B897" s="13"/>
      <c r="C897" s="13"/>
      <c r="D897" s="13"/>
      <c r="E897" s="13"/>
      <c r="F897" s="13"/>
      <c r="G897" s="13"/>
      <c r="H897" s="13"/>
      <c r="I897" s="13"/>
      <c r="J897" s="14"/>
      <c r="K897" s="14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" customHeight="1">
      <c r="A898" s="14"/>
      <c r="B898" s="13"/>
      <c r="C898" s="13"/>
      <c r="D898" s="13"/>
      <c r="E898" s="13"/>
      <c r="F898" s="13"/>
      <c r="G898" s="13"/>
      <c r="H898" s="13"/>
      <c r="I898" s="13"/>
      <c r="J898" s="14"/>
      <c r="K898" s="14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" customHeight="1">
      <c r="A899" s="14"/>
      <c r="B899" s="13"/>
      <c r="C899" s="13"/>
      <c r="D899" s="13"/>
      <c r="E899" s="13"/>
      <c r="F899" s="13"/>
      <c r="G899" s="13"/>
      <c r="H899" s="13"/>
      <c r="I899" s="13"/>
      <c r="J899" s="14"/>
      <c r="K899" s="14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" customHeight="1">
      <c r="A900" s="14"/>
      <c r="B900" s="13"/>
      <c r="C900" s="13"/>
      <c r="D900" s="13"/>
      <c r="E900" s="13"/>
      <c r="F900" s="13"/>
      <c r="G900" s="13"/>
      <c r="H900" s="13"/>
      <c r="I900" s="13"/>
      <c r="J900" s="14"/>
      <c r="K900" s="14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" customHeight="1">
      <c r="A901" s="14"/>
      <c r="B901" s="13"/>
      <c r="C901" s="13"/>
      <c r="D901" s="13"/>
      <c r="E901" s="13"/>
      <c r="F901" s="13"/>
      <c r="G901" s="13"/>
      <c r="H901" s="13"/>
      <c r="I901" s="13"/>
      <c r="J901" s="14"/>
      <c r="K901" s="14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" customHeight="1">
      <c r="A902" s="14"/>
      <c r="B902" s="13"/>
      <c r="C902" s="13"/>
      <c r="D902" s="13"/>
      <c r="E902" s="13"/>
      <c r="F902" s="13"/>
      <c r="G902" s="13"/>
      <c r="H902" s="13"/>
      <c r="I902" s="13"/>
      <c r="J902" s="14"/>
      <c r="K902" s="14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" customHeight="1">
      <c r="A903" s="14"/>
      <c r="B903" s="13"/>
      <c r="C903" s="13"/>
      <c r="D903" s="13"/>
      <c r="E903" s="13"/>
      <c r="F903" s="13"/>
      <c r="G903" s="13"/>
      <c r="H903" s="13"/>
      <c r="I903" s="13"/>
      <c r="J903" s="14"/>
      <c r="K903" s="14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" customHeight="1">
      <c r="A904" s="14"/>
      <c r="B904" s="13"/>
      <c r="C904" s="13"/>
      <c r="D904" s="13"/>
      <c r="E904" s="13"/>
      <c r="F904" s="13"/>
      <c r="G904" s="13"/>
      <c r="H904" s="13"/>
      <c r="I904" s="13"/>
      <c r="J904" s="14"/>
      <c r="K904" s="14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" customHeight="1">
      <c r="A905" s="14"/>
      <c r="B905" s="13"/>
      <c r="C905" s="13"/>
      <c r="D905" s="13"/>
      <c r="E905" s="13"/>
      <c r="F905" s="13"/>
      <c r="G905" s="13"/>
      <c r="H905" s="13"/>
      <c r="I905" s="13"/>
      <c r="J905" s="14"/>
      <c r="K905" s="14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" customHeight="1">
      <c r="A906" s="14"/>
      <c r="B906" s="13"/>
      <c r="C906" s="13"/>
      <c r="D906" s="13"/>
      <c r="E906" s="13"/>
      <c r="F906" s="13"/>
      <c r="G906" s="13"/>
      <c r="H906" s="13"/>
      <c r="I906" s="13"/>
      <c r="J906" s="14"/>
      <c r="K906" s="14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" customHeight="1">
      <c r="A907" s="14"/>
      <c r="B907" s="13"/>
      <c r="C907" s="13"/>
      <c r="D907" s="13"/>
      <c r="E907" s="13"/>
      <c r="F907" s="13"/>
      <c r="G907" s="13"/>
      <c r="H907" s="13"/>
      <c r="I907" s="13"/>
      <c r="J907" s="14"/>
      <c r="K907" s="14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" customHeight="1">
      <c r="A908" s="14"/>
      <c r="B908" s="13"/>
      <c r="C908" s="13"/>
      <c r="D908" s="13"/>
      <c r="E908" s="13"/>
      <c r="F908" s="13"/>
      <c r="G908" s="13"/>
      <c r="H908" s="13"/>
      <c r="I908" s="13"/>
      <c r="J908" s="14"/>
      <c r="K908" s="14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" customHeight="1">
      <c r="A909" s="14"/>
      <c r="B909" s="13"/>
      <c r="C909" s="13"/>
      <c r="D909" s="13"/>
      <c r="E909" s="13"/>
      <c r="F909" s="13"/>
      <c r="G909" s="13"/>
      <c r="H909" s="13"/>
      <c r="I909" s="13"/>
      <c r="J909" s="14"/>
      <c r="K909" s="14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" customHeight="1">
      <c r="A910" s="14"/>
      <c r="B910" s="13"/>
      <c r="C910" s="13"/>
      <c r="D910" s="13"/>
      <c r="E910" s="13"/>
      <c r="F910" s="13"/>
      <c r="G910" s="13"/>
      <c r="H910" s="13"/>
      <c r="I910" s="13"/>
      <c r="J910" s="14"/>
      <c r="K910" s="14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" customHeight="1">
      <c r="A911" s="14"/>
      <c r="B911" s="13"/>
      <c r="C911" s="13"/>
      <c r="D911" s="13"/>
      <c r="E911" s="13"/>
      <c r="F911" s="13"/>
      <c r="G911" s="13"/>
      <c r="H911" s="13"/>
      <c r="I911" s="13"/>
      <c r="J911" s="14"/>
      <c r="K911" s="14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" customHeight="1">
      <c r="A912" s="14"/>
      <c r="B912" s="13"/>
      <c r="C912" s="13"/>
      <c r="D912" s="13"/>
      <c r="E912" s="13"/>
      <c r="F912" s="13"/>
      <c r="G912" s="13"/>
      <c r="H912" s="13"/>
      <c r="I912" s="13"/>
      <c r="J912" s="14"/>
      <c r="K912" s="14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" customHeight="1">
      <c r="A913" s="14"/>
      <c r="B913" s="13"/>
      <c r="C913" s="13"/>
      <c r="D913" s="13"/>
      <c r="E913" s="13"/>
      <c r="F913" s="13"/>
      <c r="G913" s="13"/>
      <c r="H913" s="13"/>
      <c r="I913" s="13"/>
      <c r="J913" s="14"/>
      <c r="K913" s="14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" customHeight="1">
      <c r="A914" s="14"/>
      <c r="B914" s="13"/>
      <c r="C914" s="13"/>
      <c r="D914" s="13"/>
      <c r="E914" s="13"/>
      <c r="F914" s="13"/>
      <c r="G914" s="13"/>
      <c r="H914" s="13"/>
      <c r="I914" s="13"/>
      <c r="J914" s="14"/>
      <c r="K914" s="14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" customHeight="1">
      <c r="A915" s="14"/>
      <c r="B915" s="13"/>
      <c r="C915" s="13"/>
      <c r="D915" s="13"/>
      <c r="E915" s="13"/>
      <c r="F915" s="13"/>
      <c r="G915" s="13"/>
      <c r="H915" s="13"/>
      <c r="I915" s="13"/>
      <c r="J915" s="14"/>
      <c r="K915" s="14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" customHeight="1">
      <c r="A916" s="14"/>
      <c r="B916" s="13"/>
      <c r="C916" s="13"/>
      <c r="D916" s="13"/>
      <c r="E916" s="13"/>
      <c r="F916" s="13"/>
      <c r="G916" s="13"/>
      <c r="H916" s="13"/>
      <c r="I916" s="13"/>
      <c r="J916" s="14"/>
      <c r="K916" s="14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" customHeight="1">
      <c r="A917" s="14"/>
      <c r="B917" s="13"/>
      <c r="C917" s="13"/>
      <c r="D917" s="13"/>
      <c r="E917" s="13"/>
      <c r="F917" s="13"/>
      <c r="G917" s="13"/>
      <c r="H917" s="13"/>
      <c r="I917" s="13"/>
      <c r="J917" s="14"/>
      <c r="K917" s="14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" customHeight="1">
      <c r="A918" s="14"/>
      <c r="B918" s="13"/>
      <c r="C918" s="13"/>
      <c r="D918" s="13"/>
      <c r="E918" s="13"/>
      <c r="F918" s="13"/>
      <c r="G918" s="13"/>
      <c r="H918" s="13"/>
      <c r="I918" s="13"/>
      <c r="J918" s="14"/>
      <c r="K918" s="14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" customHeight="1">
      <c r="A919" s="14"/>
      <c r="B919" s="13"/>
      <c r="C919" s="13"/>
      <c r="D919" s="13"/>
      <c r="E919" s="13"/>
      <c r="F919" s="13"/>
      <c r="G919" s="13"/>
      <c r="H919" s="13"/>
      <c r="I919" s="13"/>
      <c r="J919" s="14"/>
      <c r="K919" s="14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" customHeight="1">
      <c r="A920" s="14"/>
      <c r="B920" s="13"/>
      <c r="C920" s="13"/>
      <c r="D920" s="13"/>
      <c r="E920" s="13"/>
      <c r="F920" s="13"/>
      <c r="G920" s="13"/>
      <c r="H920" s="13"/>
      <c r="I920" s="13"/>
      <c r="J920" s="14"/>
      <c r="K920" s="14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" customHeight="1">
      <c r="A921" s="14"/>
      <c r="B921" s="13"/>
      <c r="C921" s="13"/>
      <c r="D921" s="13"/>
      <c r="E921" s="13"/>
      <c r="F921" s="13"/>
      <c r="G921" s="13"/>
      <c r="H921" s="13"/>
      <c r="I921" s="13"/>
      <c r="J921" s="14"/>
      <c r="K921" s="14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" customHeight="1">
      <c r="A922" s="14"/>
      <c r="B922" s="13"/>
      <c r="C922" s="13"/>
      <c r="D922" s="13"/>
      <c r="E922" s="13"/>
      <c r="F922" s="13"/>
      <c r="G922" s="13"/>
      <c r="H922" s="13"/>
      <c r="I922" s="13"/>
      <c r="J922" s="14"/>
      <c r="K922" s="14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" customHeight="1">
      <c r="A923" s="14"/>
      <c r="B923" s="13"/>
      <c r="C923" s="13"/>
      <c r="D923" s="13"/>
      <c r="E923" s="13"/>
      <c r="F923" s="13"/>
      <c r="G923" s="13"/>
      <c r="H923" s="13"/>
      <c r="I923" s="13"/>
      <c r="J923" s="14"/>
      <c r="K923" s="14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" customHeight="1">
      <c r="A924" s="14"/>
      <c r="B924" s="13"/>
      <c r="C924" s="13"/>
      <c r="D924" s="13"/>
      <c r="E924" s="13"/>
      <c r="F924" s="13"/>
      <c r="G924" s="13"/>
      <c r="H924" s="13"/>
      <c r="I924" s="13"/>
      <c r="J924" s="14"/>
      <c r="K924" s="14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" customHeight="1">
      <c r="A925" s="14"/>
      <c r="B925" s="13"/>
      <c r="C925" s="13"/>
      <c r="D925" s="13"/>
      <c r="E925" s="13"/>
      <c r="F925" s="13"/>
      <c r="G925" s="13"/>
      <c r="H925" s="13"/>
      <c r="I925" s="13"/>
      <c r="J925" s="14"/>
      <c r="K925" s="14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" customHeight="1">
      <c r="A926" s="14"/>
      <c r="B926" s="13"/>
      <c r="C926" s="13"/>
      <c r="D926" s="13"/>
      <c r="E926" s="13"/>
      <c r="F926" s="13"/>
      <c r="G926" s="13"/>
      <c r="H926" s="13"/>
      <c r="I926" s="13"/>
      <c r="J926" s="14"/>
      <c r="K926" s="14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" customHeight="1">
      <c r="A927" s="14"/>
      <c r="B927" s="13"/>
      <c r="C927" s="13"/>
      <c r="D927" s="13"/>
      <c r="E927" s="13"/>
      <c r="F927" s="13"/>
      <c r="G927" s="13"/>
      <c r="H927" s="13"/>
      <c r="I927" s="13"/>
      <c r="J927" s="14"/>
      <c r="K927" s="14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" customHeight="1">
      <c r="A928" s="14"/>
      <c r="B928" s="13"/>
      <c r="C928" s="13"/>
      <c r="D928" s="13"/>
      <c r="E928" s="13"/>
      <c r="F928" s="13"/>
      <c r="G928" s="13"/>
      <c r="H928" s="13"/>
      <c r="I928" s="13"/>
      <c r="J928" s="14"/>
      <c r="K928" s="14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" customHeight="1">
      <c r="A929" s="14"/>
      <c r="B929" s="13"/>
      <c r="C929" s="13"/>
      <c r="D929" s="13"/>
      <c r="E929" s="13"/>
      <c r="F929" s="13"/>
      <c r="G929" s="13"/>
      <c r="H929" s="13"/>
      <c r="I929" s="13"/>
      <c r="J929" s="14"/>
      <c r="K929" s="14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" customHeight="1">
      <c r="A930" s="14"/>
      <c r="B930" s="13"/>
      <c r="C930" s="13"/>
      <c r="D930" s="13"/>
      <c r="E930" s="13"/>
      <c r="F930" s="13"/>
      <c r="G930" s="13"/>
      <c r="H930" s="13"/>
      <c r="I930" s="13"/>
      <c r="J930" s="14"/>
      <c r="K930" s="14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" customHeight="1">
      <c r="A931" s="14"/>
      <c r="B931" s="13"/>
      <c r="C931" s="13"/>
      <c r="D931" s="13"/>
      <c r="E931" s="13"/>
      <c r="F931" s="13"/>
      <c r="G931" s="13"/>
      <c r="H931" s="13"/>
      <c r="I931" s="13"/>
      <c r="J931" s="14"/>
      <c r="K931" s="14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" customHeight="1">
      <c r="A932" s="14"/>
      <c r="B932" s="13"/>
      <c r="C932" s="13"/>
      <c r="D932" s="13"/>
      <c r="E932" s="13"/>
      <c r="F932" s="13"/>
      <c r="G932" s="13"/>
      <c r="H932" s="13"/>
      <c r="I932" s="13"/>
      <c r="J932" s="14"/>
      <c r="K932" s="14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" customHeight="1">
      <c r="A933" s="14"/>
      <c r="B933" s="13"/>
      <c r="C933" s="13"/>
      <c r="D933" s="13"/>
      <c r="E933" s="13"/>
      <c r="F933" s="13"/>
      <c r="G933" s="13"/>
      <c r="H933" s="13"/>
      <c r="I933" s="13"/>
      <c r="J933" s="14"/>
      <c r="K933" s="14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" customHeight="1">
      <c r="A934" s="14"/>
      <c r="B934" s="13"/>
      <c r="C934" s="13"/>
      <c r="D934" s="13"/>
      <c r="E934" s="13"/>
      <c r="F934" s="13"/>
      <c r="G934" s="13"/>
      <c r="H934" s="13"/>
      <c r="I934" s="13"/>
      <c r="J934" s="14"/>
      <c r="K934" s="14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" customHeight="1">
      <c r="A935" s="14"/>
      <c r="B935" s="13"/>
      <c r="C935" s="13"/>
      <c r="D935" s="13"/>
      <c r="E935" s="13"/>
      <c r="F935" s="13"/>
      <c r="G935" s="13"/>
      <c r="H935" s="13"/>
      <c r="I935" s="13"/>
      <c r="J935" s="14"/>
      <c r="K935" s="14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" customHeight="1">
      <c r="A936" s="14"/>
      <c r="B936" s="13"/>
      <c r="C936" s="13"/>
      <c r="D936" s="13"/>
      <c r="E936" s="13"/>
      <c r="F936" s="13"/>
      <c r="G936" s="13"/>
      <c r="H936" s="13"/>
      <c r="I936" s="13"/>
      <c r="J936" s="14"/>
      <c r="K936" s="14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" customHeight="1">
      <c r="A937" s="14"/>
      <c r="B937" s="13"/>
      <c r="C937" s="13"/>
      <c r="D937" s="13"/>
      <c r="E937" s="13"/>
      <c r="F937" s="13"/>
      <c r="G937" s="13"/>
      <c r="H937" s="13"/>
      <c r="I937" s="13"/>
      <c r="J937" s="14"/>
      <c r="K937" s="14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" customHeight="1">
      <c r="A938" s="14"/>
      <c r="B938" s="13"/>
      <c r="C938" s="13"/>
      <c r="D938" s="13"/>
      <c r="E938" s="13"/>
      <c r="F938" s="13"/>
      <c r="G938" s="13"/>
      <c r="H938" s="13"/>
      <c r="I938" s="13"/>
      <c r="J938" s="14"/>
      <c r="K938" s="14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" customHeight="1">
      <c r="A939" s="14"/>
      <c r="B939" s="13"/>
      <c r="C939" s="13"/>
      <c r="D939" s="13"/>
      <c r="E939" s="13"/>
      <c r="F939" s="13"/>
      <c r="G939" s="13"/>
      <c r="H939" s="13"/>
      <c r="I939" s="13"/>
      <c r="J939" s="14"/>
      <c r="K939" s="14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" customHeight="1">
      <c r="A940" s="14"/>
      <c r="B940" s="13"/>
      <c r="C940" s="13"/>
      <c r="D940" s="13"/>
      <c r="E940" s="13"/>
      <c r="F940" s="13"/>
      <c r="G940" s="13"/>
      <c r="H940" s="13"/>
      <c r="I940" s="13"/>
      <c r="J940" s="14"/>
      <c r="K940" s="14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" customHeight="1">
      <c r="A941" s="14"/>
      <c r="B941" s="13"/>
      <c r="C941" s="13"/>
      <c r="D941" s="13"/>
      <c r="E941" s="13"/>
      <c r="F941" s="13"/>
      <c r="G941" s="13"/>
      <c r="H941" s="13"/>
      <c r="I941" s="13"/>
      <c r="J941" s="14"/>
      <c r="K941" s="14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" customHeight="1">
      <c r="A942" s="14"/>
      <c r="B942" s="13"/>
      <c r="C942" s="13"/>
      <c r="D942" s="13"/>
      <c r="E942" s="13"/>
      <c r="F942" s="13"/>
      <c r="G942" s="13"/>
      <c r="H942" s="13"/>
      <c r="I942" s="13"/>
      <c r="J942" s="14"/>
      <c r="K942" s="14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" customHeight="1">
      <c r="A943" s="14"/>
      <c r="B943" s="13"/>
      <c r="C943" s="13"/>
      <c r="D943" s="13"/>
      <c r="E943" s="13"/>
      <c r="F943" s="13"/>
      <c r="G943" s="13"/>
      <c r="H943" s="13"/>
      <c r="I943" s="13"/>
      <c r="J943" s="14"/>
      <c r="K943" s="14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" customHeight="1">
      <c r="A944" s="14"/>
      <c r="B944" s="13"/>
      <c r="C944" s="13"/>
      <c r="D944" s="13"/>
      <c r="E944" s="13"/>
      <c r="F944" s="13"/>
      <c r="G944" s="13"/>
      <c r="H944" s="13"/>
      <c r="I944" s="13"/>
      <c r="J944" s="14"/>
      <c r="K944" s="14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" customHeight="1">
      <c r="A945" s="14"/>
      <c r="B945" s="13"/>
      <c r="C945" s="13"/>
      <c r="D945" s="13"/>
      <c r="E945" s="13"/>
      <c r="F945" s="13"/>
      <c r="G945" s="13"/>
      <c r="H945" s="13"/>
      <c r="I945" s="13"/>
      <c r="J945" s="14"/>
      <c r="K945" s="14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" customHeight="1">
      <c r="A946" s="14"/>
      <c r="B946" s="13"/>
      <c r="C946" s="13"/>
      <c r="D946" s="13"/>
      <c r="E946" s="13"/>
      <c r="F946" s="13"/>
      <c r="G946" s="13"/>
      <c r="H946" s="13"/>
      <c r="I946" s="13"/>
      <c r="J946" s="14"/>
      <c r="K946" s="14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" customHeight="1">
      <c r="A947" s="14"/>
      <c r="B947" s="13"/>
      <c r="C947" s="13"/>
      <c r="D947" s="13"/>
      <c r="E947" s="13"/>
      <c r="F947" s="13"/>
      <c r="G947" s="13"/>
      <c r="H947" s="13"/>
      <c r="I947" s="13"/>
      <c r="J947" s="14"/>
      <c r="K947" s="14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" customHeight="1">
      <c r="A948" s="14"/>
      <c r="B948" s="13"/>
      <c r="C948" s="13"/>
      <c r="D948" s="13"/>
      <c r="E948" s="13"/>
      <c r="F948" s="13"/>
      <c r="G948" s="13"/>
      <c r="H948" s="13"/>
      <c r="I948" s="13"/>
      <c r="J948" s="14"/>
      <c r="K948" s="14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" customHeight="1">
      <c r="A949" s="14"/>
      <c r="B949" s="13"/>
      <c r="C949" s="13"/>
      <c r="D949" s="13"/>
      <c r="E949" s="13"/>
      <c r="F949" s="13"/>
      <c r="G949" s="13"/>
      <c r="H949" s="13"/>
      <c r="I949" s="13"/>
      <c r="J949" s="14"/>
      <c r="K949" s="14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" customHeight="1">
      <c r="A950" s="14"/>
      <c r="B950" s="13"/>
      <c r="C950" s="13"/>
      <c r="D950" s="13"/>
      <c r="E950" s="13"/>
      <c r="F950" s="13"/>
      <c r="G950" s="13"/>
      <c r="H950" s="13"/>
      <c r="I950" s="13"/>
      <c r="J950" s="14"/>
      <c r="K950" s="14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" customHeight="1">
      <c r="A951" s="14"/>
      <c r="B951" s="13"/>
      <c r="C951" s="13"/>
      <c r="D951" s="13"/>
      <c r="E951" s="13"/>
      <c r="F951" s="13"/>
      <c r="G951" s="13"/>
      <c r="H951" s="13"/>
      <c r="I951" s="13"/>
      <c r="J951" s="14"/>
      <c r="K951" s="14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" customHeight="1">
      <c r="A952" s="14"/>
      <c r="B952" s="13"/>
      <c r="C952" s="13"/>
      <c r="D952" s="13"/>
      <c r="E952" s="13"/>
      <c r="F952" s="13"/>
      <c r="G952" s="13"/>
      <c r="H952" s="13"/>
      <c r="I952" s="13"/>
      <c r="J952" s="14"/>
      <c r="K952" s="14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" customHeight="1">
      <c r="A953" s="14"/>
      <c r="B953" s="13"/>
      <c r="C953" s="13"/>
      <c r="D953" s="13"/>
      <c r="E953" s="13"/>
      <c r="F953" s="13"/>
      <c r="G953" s="13"/>
      <c r="H953" s="13"/>
      <c r="I953" s="13"/>
      <c r="J953" s="14"/>
      <c r="K953" s="14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" customHeight="1">
      <c r="A954" s="14"/>
      <c r="B954" s="13"/>
      <c r="C954" s="13"/>
      <c r="D954" s="13"/>
      <c r="E954" s="13"/>
      <c r="F954" s="13"/>
      <c r="G954" s="13"/>
      <c r="H954" s="13"/>
      <c r="I954" s="13"/>
      <c r="J954" s="14"/>
      <c r="K954" s="14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" customHeight="1">
      <c r="A955" s="14"/>
      <c r="B955" s="13"/>
      <c r="C955" s="13"/>
      <c r="D955" s="13"/>
      <c r="E955" s="13"/>
      <c r="F955" s="13"/>
      <c r="G955" s="13"/>
      <c r="H955" s="13"/>
      <c r="I955" s="13"/>
      <c r="J955" s="14"/>
      <c r="K955" s="14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" customHeight="1">
      <c r="A956" s="14"/>
      <c r="B956" s="13"/>
      <c r="C956" s="13"/>
      <c r="D956" s="13"/>
      <c r="E956" s="13"/>
      <c r="F956" s="13"/>
      <c r="G956" s="13"/>
      <c r="H956" s="13"/>
      <c r="I956" s="13"/>
      <c r="J956" s="14"/>
      <c r="K956" s="14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" customHeight="1">
      <c r="A957" s="14"/>
      <c r="B957" s="13"/>
      <c r="C957" s="13"/>
      <c r="D957" s="13"/>
      <c r="E957" s="13"/>
      <c r="F957" s="13"/>
      <c r="G957" s="13"/>
      <c r="H957" s="13"/>
      <c r="I957" s="13"/>
      <c r="J957" s="14"/>
      <c r="K957" s="14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" customHeight="1">
      <c r="A958" s="14"/>
      <c r="B958" s="13"/>
      <c r="C958" s="13"/>
      <c r="D958" s="13"/>
      <c r="E958" s="13"/>
      <c r="F958" s="13"/>
      <c r="G958" s="13"/>
      <c r="H958" s="13"/>
      <c r="I958" s="13"/>
      <c r="J958" s="14"/>
      <c r="K958" s="14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" customHeight="1">
      <c r="A959" s="14"/>
      <c r="B959" s="13"/>
      <c r="C959" s="13"/>
      <c r="D959" s="13"/>
      <c r="E959" s="13"/>
      <c r="F959" s="13"/>
      <c r="G959" s="13"/>
      <c r="H959" s="13"/>
      <c r="I959" s="13"/>
      <c r="J959" s="14"/>
      <c r="K959" s="14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" customHeight="1">
      <c r="A960" s="14"/>
      <c r="B960" s="13"/>
      <c r="C960" s="13"/>
      <c r="D960" s="13"/>
      <c r="E960" s="13"/>
      <c r="F960" s="13"/>
      <c r="G960" s="13"/>
      <c r="H960" s="13"/>
      <c r="I960" s="13"/>
      <c r="J960" s="14"/>
      <c r="K960" s="14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" customHeight="1">
      <c r="A961" s="14"/>
      <c r="B961" s="13"/>
      <c r="C961" s="13"/>
      <c r="D961" s="13"/>
      <c r="E961" s="13"/>
      <c r="F961" s="13"/>
      <c r="G961" s="13"/>
      <c r="H961" s="13"/>
      <c r="I961" s="13"/>
      <c r="J961" s="14"/>
      <c r="K961" s="14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" customHeight="1">
      <c r="A962" s="14"/>
      <c r="B962" s="13"/>
      <c r="C962" s="13"/>
      <c r="D962" s="13"/>
      <c r="E962" s="13"/>
      <c r="F962" s="13"/>
      <c r="G962" s="13"/>
      <c r="H962" s="13"/>
      <c r="I962" s="13"/>
      <c r="J962" s="14"/>
      <c r="K962" s="14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" customHeight="1">
      <c r="A963" s="14"/>
      <c r="B963" s="13"/>
      <c r="C963" s="13"/>
      <c r="D963" s="13"/>
      <c r="E963" s="13"/>
      <c r="F963" s="13"/>
      <c r="G963" s="13"/>
      <c r="H963" s="13"/>
      <c r="I963" s="13"/>
      <c r="J963" s="14"/>
      <c r="K963" s="14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" customHeight="1">
      <c r="A964" s="14"/>
      <c r="B964" s="13"/>
      <c r="C964" s="13"/>
      <c r="D964" s="13"/>
      <c r="E964" s="13"/>
      <c r="F964" s="13"/>
      <c r="G964" s="13"/>
      <c r="H964" s="13"/>
      <c r="I964" s="13"/>
      <c r="J964" s="14"/>
      <c r="K964" s="14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" customHeight="1">
      <c r="A965" s="14"/>
      <c r="B965" s="13"/>
      <c r="C965" s="13"/>
      <c r="D965" s="13"/>
      <c r="E965" s="13"/>
      <c r="F965" s="13"/>
      <c r="G965" s="13"/>
      <c r="H965" s="13"/>
      <c r="I965" s="13"/>
      <c r="J965" s="14"/>
      <c r="K965" s="14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" customHeight="1">
      <c r="A966" s="14"/>
      <c r="B966" s="13"/>
      <c r="C966" s="13"/>
      <c r="D966" s="13"/>
      <c r="E966" s="13"/>
      <c r="F966" s="13"/>
      <c r="G966" s="13"/>
      <c r="H966" s="13"/>
      <c r="I966" s="13"/>
      <c r="J966" s="14"/>
      <c r="K966" s="14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" customHeight="1">
      <c r="A967" s="14"/>
      <c r="B967" s="13"/>
      <c r="C967" s="13"/>
      <c r="D967" s="13"/>
      <c r="E967" s="13"/>
      <c r="F967" s="13"/>
      <c r="G967" s="13"/>
      <c r="H967" s="13"/>
      <c r="I967" s="13"/>
      <c r="J967" s="14"/>
      <c r="K967" s="14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" customHeight="1">
      <c r="A968" s="14"/>
      <c r="B968" s="13"/>
      <c r="C968" s="13"/>
      <c r="D968" s="13"/>
      <c r="E968" s="13"/>
      <c r="F968" s="13"/>
      <c r="G968" s="13"/>
      <c r="H968" s="13"/>
      <c r="I968" s="13"/>
      <c r="J968" s="14"/>
      <c r="K968" s="14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" customHeight="1">
      <c r="A969" s="14"/>
      <c r="B969" s="13"/>
      <c r="C969" s="13"/>
      <c r="D969" s="13"/>
      <c r="E969" s="13"/>
      <c r="F969" s="13"/>
      <c r="G969" s="13"/>
      <c r="H969" s="13"/>
      <c r="I969" s="13"/>
      <c r="J969" s="14"/>
      <c r="K969" s="14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8" customHeight="1">
      <c r="A970" s="14"/>
      <c r="B970" s="13"/>
      <c r="C970" s="13"/>
      <c r="D970" s="13"/>
      <c r="E970" s="13"/>
      <c r="F970" s="13"/>
      <c r="G970" s="13"/>
      <c r="H970" s="13"/>
      <c r="I970" s="13"/>
      <c r="J970" s="14"/>
      <c r="K970" s="14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8" customHeight="1">
      <c r="A971" s="14"/>
      <c r="B971" s="13"/>
      <c r="C971" s="13"/>
      <c r="D971" s="13"/>
      <c r="E971" s="13"/>
      <c r="F971" s="13"/>
      <c r="G971" s="13"/>
      <c r="H971" s="13"/>
      <c r="I971" s="13"/>
      <c r="J971" s="14"/>
      <c r="K971" s="14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8" customHeight="1">
      <c r="A972" s="14"/>
      <c r="B972" s="13"/>
      <c r="C972" s="13"/>
      <c r="D972" s="13"/>
      <c r="E972" s="13"/>
      <c r="F972" s="13"/>
      <c r="G972" s="13"/>
      <c r="H972" s="13"/>
      <c r="I972" s="13"/>
      <c r="J972" s="14"/>
      <c r="K972" s="14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8" customHeight="1">
      <c r="A973" s="14"/>
      <c r="B973" s="13"/>
      <c r="C973" s="13"/>
      <c r="D973" s="13"/>
      <c r="E973" s="13"/>
      <c r="F973" s="13"/>
      <c r="G973" s="13"/>
      <c r="H973" s="13"/>
      <c r="I973" s="13"/>
      <c r="J973" s="14"/>
      <c r="K973" s="14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8" customHeight="1">
      <c r="A974" s="14"/>
      <c r="B974" s="13"/>
      <c r="C974" s="13"/>
      <c r="D974" s="13"/>
      <c r="E974" s="13"/>
      <c r="F974" s="13"/>
      <c r="G974" s="13"/>
      <c r="H974" s="13"/>
      <c r="I974" s="13"/>
      <c r="J974" s="14"/>
      <c r="K974" s="14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8" customHeight="1">
      <c r="A975" s="14"/>
      <c r="B975" s="13"/>
      <c r="C975" s="13"/>
      <c r="D975" s="13"/>
      <c r="E975" s="13"/>
      <c r="F975" s="13"/>
      <c r="G975" s="13"/>
      <c r="H975" s="13"/>
      <c r="I975" s="13"/>
      <c r="J975" s="14"/>
      <c r="K975" s="14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8" customHeight="1">
      <c r="A976" s="14"/>
      <c r="B976" s="13"/>
      <c r="C976" s="13"/>
      <c r="D976" s="13"/>
      <c r="E976" s="13"/>
      <c r="F976" s="13"/>
      <c r="G976" s="13"/>
      <c r="H976" s="13"/>
      <c r="I976" s="13"/>
      <c r="J976" s="14"/>
      <c r="K976" s="14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8" customHeight="1">
      <c r="A977" s="14"/>
      <c r="B977" s="13"/>
      <c r="C977" s="13"/>
      <c r="D977" s="13"/>
      <c r="E977" s="13"/>
      <c r="F977" s="13"/>
      <c r="G977" s="13"/>
      <c r="H977" s="13"/>
      <c r="I977" s="13"/>
      <c r="J977" s="14"/>
      <c r="K977" s="14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8" customHeight="1">
      <c r="A978" s="14"/>
      <c r="B978" s="13"/>
      <c r="C978" s="13"/>
      <c r="D978" s="13"/>
      <c r="E978" s="13"/>
      <c r="F978" s="13"/>
      <c r="G978" s="13"/>
      <c r="H978" s="13"/>
      <c r="I978" s="13"/>
      <c r="J978" s="14"/>
      <c r="K978" s="14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8" customHeight="1">
      <c r="A979" s="14"/>
      <c r="B979" s="13"/>
      <c r="C979" s="13"/>
      <c r="D979" s="13"/>
      <c r="E979" s="13"/>
      <c r="F979" s="13"/>
      <c r="G979" s="13"/>
      <c r="H979" s="13"/>
      <c r="I979" s="13"/>
      <c r="J979" s="14"/>
      <c r="K979" s="14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8" customHeight="1">
      <c r="A980" s="14"/>
      <c r="B980" s="13"/>
      <c r="C980" s="13"/>
      <c r="D980" s="13"/>
      <c r="E980" s="13"/>
      <c r="F980" s="13"/>
      <c r="G980" s="13"/>
      <c r="H980" s="13"/>
      <c r="I980" s="13"/>
      <c r="J980" s="14"/>
      <c r="K980" s="14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8" customHeight="1">
      <c r="A981" s="14"/>
      <c r="B981" s="13"/>
      <c r="C981" s="13"/>
      <c r="D981" s="13"/>
      <c r="E981" s="13"/>
      <c r="F981" s="13"/>
      <c r="G981" s="13"/>
      <c r="H981" s="13"/>
      <c r="I981" s="13"/>
      <c r="J981" s="14"/>
      <c r="K981" s="14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8" customHeight="1">
      <c r="A982" s="14"/>
      <c r="B982" s="13"/>
      <c r="C982" s="13"/>
      <c r="D982" s="13"/>
      <c r="E982" s="13"/>
      <c r="F982" s="13"/>
      <c r="G982" s="13"/>
      <c r="H982" s="13"/>
      <c r="I982" s="13"/>
      <c r="J982" s="14"/>
      <c r="K982" s="14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8" customHeight="1">
      <c r="A983" s="14"/>
      <c r="B983" s="13"/>
      <c r="C983" s="13"/>
      <c r="D983" s="13"/>
      <c r="E983" s="13"/>
      <c r="F983" s="13"/>
      <c r="G983" s="13"/>
      <c r="H983" s="13"/>
      <c r="I983" s="13"/>
      <c r="J983" s="14"/>
      <c r="K983" s="14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8" customHeight="1">
      <c r="A984" s="14"/>
      <c r="B984" s="13"/>
      <c r="C984" s="13"/>
      <c r="D984" s="13"/>
      <c r="E984" s="13"/>
      <c r="F984" s="13"/>
      <c r="G984" s="13"/>
      <c r="H984" s="13"/>
      <c r="I984" s="13"/>
      <c r="J984" s="14"/>
      <c r="K984" s="14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8" customHeight="1">
      <c r="A985" s="14"/>
      <c r="B985" s="13"/>
      <c r="C985" s="13"/>
      <c r="D985" s="13"/>
      <c r="E985" s="13"/>
      <c r="F985" s="13"/>
      <c r="G985" s="13"/>
      <c r="H985" s="13"/>
      <c r="I985" s="13"/>
      <c r="J985" s="14"/>
      <c r="K985" s="14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8" customHeight="1">
      <c r="A986" s="14"/>
      <c r="B986" s="13"/>
      <c r="C986" s="13"/>
      <c r="D986" s="13"/>
      <c r="E986" s="13"/>
      <c r="F986" s="13"/>
      <c r="G986" s="13"/>
      <c r="H986" s="13"/>
      <c r="I986" s="13"/>
      <c r="J986" s="14"/>
      <c r="K986" s="14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8" customHeight="1">
      <c r="A987" s="14"/>
      <c r="B987" s="13"/>
      <c r="C987" s="13"/>
      <c r="D987" s="13"/>
      <c r="E987" s="13"/>
      <c r="F987" s="13"/>
      <c r="G987" s="13"/>
      <c r="H987" s="13"/>
      <c r="I987" s="13"/>
      <c r="J987" s="14"/>
      <c r="K987" s="14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8" customHeight="1">
      <c r="A988" s="14"/>
      <c r="B988" s="13"/>
      <c r="C988" s="13"/>
      <c r="D988" s="13"/>
      <c r="E988" s="13"/>
      <c r="F988" s="13"/>
      <c r="G988" s="13"/>
      <c r="H988" s="13"/>
      <c r="I988" s="13"/>
      <c r="J988" s="14"/>
      <c r="K988" s="14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8" customHeight="1">
      <c r="A989" s="14"/>
      <c r="B989" s="13"/>
      <c r="C989" s="13"/>
      <c r="D989" s="13"/>
      <c r="E989" s="13"/>
      <c r="F989" s="13"/>
      <c r="G989" s="13"/>
      <c r="H989" s="13"/>
      <c r="I989" s="13"/>
      <c r="J989" s="14"/>
      <c r="K989" s="14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8" customHeight="1">
      <c r="A990" s="14"/>
      <c r="B990" s="13"/>
      <c r="C990" s="13"/>
      <c r="D990" s="13"/>
      <c r="E990" s="13"/>
      <c r="F990" s="13"/>
      <c r="G990" s="13"/>
      <c r="H990" s="13"/>
      <c r="I990" s="13"/>
      <c r="J990" s="14"/>
      <c r="K990" s="14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8" customHeight="1">
      <c r="A991" s="14"/>
      <c r="B991" s="13"/>
      <c r="C991" s="13"/>
      <c r="D991" s="13"/>
      <c r="E991" s="13"/>
      <c r="F991" s="13"/>
      <c r="G991" s="13"/>
      <c r="H991" s="13"/>
      <c r="I991" s="13"/>
      <c r="J991" s="14"/>
      <c r="K991" s="14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8" customHeight="1">
      <c r="A992" s="14"/>
      <c r="B992" s="13"/>
      <c r="C992" s="13"/>
      <c r="D992" s="13"/>
      <c r="E992" s="13"/>
      <c r="F992" s="13"/>
      <c r="G992" s="13"/>
      <c r="H992" s="13"/>
      <c r="I992" s="13"/>
      <c r="J992" s="14"/>
      <c r="K992" s="14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8" customHeight="1">
      <c r="A993" s="14"/>
      <c r="B993" s="13"/>
      <c r="C993" s="13"/>
      <c r="D993" s="13"/>
      <c r="E993" s="13"/>
      <c r="F993" s="13"/>
      <c r="G993" s="13"/>
      <c r="H993" s="13"/>
      <c r="I993" s="13"/>
      <c r="J993" s="14"/>
      <c r="K993" s="14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8" customHeight="1">
      <c r="A994" s="14"/>
      <c r="B994" s="13"/>
      <c r="C994" s="13"/>
      <c r="D994" s="13"/>
      <c r="E994" s="13"/>
      <c r="F994" s="13"/>
      <c r="G994" s="13"/>
      <c r="H994" s="13"/>
      <c r="I994" s="13"/>
      <c r="J994" s="14"/>
      <c r="K994" s="14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8" customHeight="1">
      <c r="A995" s="14"/>
      <c r="B995" s="13"/>
      <c r="C995" s="13"/>
      <c r="D995" s="13"/>
      <c r="E995" s="13"/>
      <c r="F995" s="13"/>
      <c r="G995" s="13"/>
      <c r="H995" s="13"/>
      <c r="I995" s="13"/>
      <c r="J995" s="14"/>
      <c r="K995" s="14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8" customHeight="1">
      <c r="A996" s="14"/>
      <c r="B996" s="13"/>
      <c r="C996" s="13"/>
      <c r="D996" s="13"/>
      <c r="E996" s="13"/>
      <c r="F996" s="13"/>
      <c r="G996" s="13"/>
      <c r="H996" s="13"/>
      <c r="I996" s="13"/>
      <c r="J996" s="14"/>
      <c r="K996" s="14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8" customHeight="1">
      <c r="A997" s="14"/>
      <c r="B997" s="13"/>
      <c r="C997" s="13"/>
      <c r="D997" s="13"/>
      <c r="E997" s="13"/>
      <c r="F997" s="13"/>
      <c r="G997" s="13"/>
      <c r="H997" s="13"/>
      <c r="I997" s="13"/>
      <c r="J997" s="14"/>
      <c r="K997" s="14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8" customHeight="1">
      <c r="A998" s="14"/>
      <c r="B998" s="13"/>
      <c r="C998" s="13"/>
      <c r="D998" s="13"/>
      <c r="E998" s="13"/>
      <c r="F998" s="13"/>
      <c r="G998" s="13"/>
      <c r="H998" s="13"/>
      <c r="I998" s="13"/>
      <c r="J998" s="14"/>
      <c r="K998" s="14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8" customHeight="1">
      <c r="A999" s="14"/>
      <c r="B999" s="13"/>
      <c r="C999" s="13"/>
      <c r="D999" s="13"/>
      <c r="E999" s="13"/>
      <c r="F999" s="13"/>
      <c r="G999" s="13"/>
      <c r="H999" s="13"/>
      <c r="I999" s="13"/>
      <c r="J999" s="14"/>
      <c r="K999" s="14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8" customHeight="1">
      <c r="A1000" s="14"/>
      <c r="B1000" s="13"/>
      <c r="C1000" s="13"/>
      <c r="D1000" s="13"/>
      <c r="E1000" s="13"/>
      <c r="F1000" s="13"/>
      <c r="G1000" s="13"/>
      <c r="H1000" s="13"/>
      <c r="I1000" s="13"/>
      <c r="J1000" s="14"/>
      <c r="K1000" s="14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14">
    <mergeCell ref="F1:F2"/>
    <mergeCell ref="G1:G2"/>
    <mergeCell ref="H1:H2"/>
    <mergeCell ref="I1:I2"/>
    <mergeCell ref="A1:A2"/>
    <mergeCell ref="B1:B2"/>
    <mergeCell ref="C1:C2"/>
    <mergeCell ref="D1:D2"/>
    <mergeCell ref="E1:E2"/>
    <mergeCell ref="J1:K1"/>
    <mergeCell ref="L1:L2"/>
    <mergeCell ref="H17:I17"/>
    <mergeCell ref="H18:I18"/>
    <mergeCell ref="H19:I19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  <sheetView workbookViewId="1">
      <selection sqref="A1:A2"/>
    </sheetView>
  </sheetViews>
  <sheetFormatPr defaultColWidth="14.42578125" defaultRowHeight="15" customHeight="1"/>
  <cols>
    <col min="1" max="1" width="5.7109375" customWidth="1"/>
    <col min="2" max="2" width="22.7109375" customWidth="1"/>
    <col min="3" max="3" width="9.7109375" customWidth="1"/>
    <col min="4" max="4" width="18.42578125" customWidth="1"/>
    <col min="5" max="5" width="17.5703125" customWidth="1"/>
    <col min="6" max="6" width="10.7109375" customWidth="1"/>
    <col min="7" max="7" width="34.7109375" customWidth="1"/>
    <col min="8" max="8" width="39.140625" customWidth="1"/>
    <col min="9" max="9" width="8.85546875" customWidth="1"/>
    <col min="10" max="11" width="11.7109375" customWidth="1"/>
    <col min="12" max="12" width="17.42578125" customWidth="1"/>
    <col min="13" max="26" width="8.7109375" customWidth="1"/>
  </cols>
  <sheetData>
    <row r="1" spans="1:26" ht="14.25" customHeight="1">
      <c r="A1" s="102" t="s">
        <v>0</v>
      </c>
      <c r="B1" s="98" t="s">
        <v>1715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7" t="s">
        <v>9</v>
      </c>
      <c r="K1" s="110"/>
      <c r="L1" s="98" t="s">
        <v>10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8" customHeight="1">
      <c r="A2" s="111"/>
      <c r="B2" s="111"/>
      <c r="C2" s="111"/>
      <c r="D2" s="111"/>
      <c r="E2" s="111"/>
      <c r="F2" s="111"/>
      <c r="G2" s="111"/>
      <c r="H2" s="111"/>
      <c r="I2" s="111"/>
      <c r="J2" s="15" t="s">
        <v>18</v>
      </c>
      <c r="K2" s="15" t="s">
        <v>19</v>
      </c>
      <c r="L2" s="111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" customHeight="1">
      <c r="A3" s="16">
        <v>1</v>
      </c>
      <c r="B3" s="17">
        <v>6510059103</v>
      </c>
      <c r="C3" s="17" t="s">
        <v>29</v>
      </c>
      <c r="D3" s="17" t="s">
        <v>1331</v>
      </c>
      <c r="E3" s="17" t="s">
        <v>1332</v>
      </c>
      <c r="F3" s="17" t="s">
        <v>1333</v>
      </c>
      <c r="G3" s="17" t="s">
        <v>1334</v>
      </c>
      <c r="H3" s="17" t="s">
        <v>1335</v>
      </c>
      <c r="I3" s="17" t="s">
        <v>3710</v>
      </c>
      <c r="J3" s="16"/>
      <c r="K3" s="16" t="str">
        <f t="shared" ref="K3:K167" si="0">IF(J3&gt;=2,"ผ่าน",IF(J3&lt;2,"ไม่ผ่าน"))</f>
        <v>ไม่ผ่าน</v>
      </c>
      <c r="L3" s="16" t="s">
        <v>28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" customHeight="1">
      <c r="A4" s="16">
        <v>2</v>
      </c>
      <c r="B4" s="17">
        <v>6410059112</v>
      </c>
      <c r="C4" s="17" t="s">
        <v>29</v>
      </c>
      <c r="D4" s="17" t="s">
        <v>211</v>
      </c>
      <c r="E4" s="17" t="s">
        <v>1336</v>
      </c>
      <c r="F4" s="17" t="s">
        <v>1337</v>
      </c>
      <c r="G4" s="17" t="s">
        <v>1334</v>
      </c>
      <c r="H4" s="17" t="s">
        <v>1335</v>
      </c>
      <c r="I4" s="17" t="s">
        <v>3707</v>
      </c>
      <c r="J4" s="16"/>
      <c r="K4" s="16" t="str">
        <f t="shared" si="0"/>
        <v>ไม่ผ่าน</v>
      </c>
      <c r="L4" s="16" t="s">
        <v>28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" customHeight="1">
      <c r="A5" s="16">
        <v>3</v>
      </c>
      <c r="B5" s="17">
        <v>6610073102</v>
      </c>
      <c r="C5" s="17" t="s">
        <v>22</v>
      </c>
      <c r="D5" s="17" t="s">
        <v>1338</v>
      </c>
      <c r="E5" s="17" t="s">
        <v>766</v>
      </c>
      <c r="F5" s="17" t="s">
        <v>1339</v>
      </c>
      <c r="G5" s="17" t="s">
        <v>1334</v>
      </c>
      <c r="H5" s="17" t="s">
        <v>1340</v>
      </c>
      <c r="I5" s="17" t="s">
        <v>3709</v>
      </c>
      <c r="J5" s="16"/>
      <c r="K5" s="16" t="str">
        <f t="shared" si="0"/>
        <v>ไม่ผ่าน</v>
      </c>
      <c r="L5" s="16" t="s">
        <v>28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" customHeight="1">
      <c r="A6" s="16">
        <v>4</v>
      </c>
      <c r="B6" s="17">
        <v>6610073103</v>
      </c>
      <c r="C6" s="17" t="s">
        <v>22</v>
      </c>
      <c r="D6" s="17" t="s">
        <v>845</v>
      </c>
      <c r="E6" s="17" t="s">
        <v>1341</v>
      </c>
      <c r="F6" s="17" t="s">
        <v>1342</v>
      </c>
      <c r="G6" s="17" t="s">
        <v>1334</v>
      </c>
      <c r="H6" s="17" t="s">
        <v>1340</v>
      </c>
      <c r="I6" s="17" t="s">
        <v>3709</v>
      </c>
      <c r="J6" s="16"/>
      <c r="K6" s="16" t="str">
        <f t="shared" si="0"/>
        <v>ไม่ผ่าน</v>
      </c>
      <c r="L6" s="16" t="s">
        <v>28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" customHeight="1">
      <c r="A7" s="16">
        <v>5</v>
      </c>
      <c r="B7" s="17">
        <v>6610073104</v>
      </c>
      <c r="C7" s="17" t="s">
        <v>22</v>
      </c>
      <c r="D7" s="17" t="s">
        <v>1343</v>
      </c>
      <c r="E7" s="17" t="s">
        <v>1344</v>
      </c>
      <c r="F7" s="17" t="s">
        <v>704</v>
      </c>
      <c r="G7" s="17" t="s">
        <v>1334</v>
      </c>
      <c r="H7" s="17" t="s">
        <v>1340</v>
      </c>
      <c r="I7" s="17" t="s">
        <v>3709</v>
      </c>
      <c r="J7" s="16"/>
      <c r="K7" s="16" t="str">
        <f t="shared" si="0"/>
        <v>ไม่ผ่าน</v>
      </c>
      <c r="L7" s="16" t="s">
        <v>28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" customHeight="1">
      <c r="A8" s="16">
        <v>6</v>
      </c>
      <c r="B8" s="17">
        <v>6610073105</v>
      </c>
      <c r="C8" s="17" t="s">
        <v>22</v>
      </c>
      <c r="D8" s="17" t="s">
        <v>1345</v>
      </c>
      <c r="E8" s="17" t="s">
        <v>1346</v>
      </c>
      <c r="F8" s="17" t="s">
        <v>687</v>
      </c>
      <c r="G8" s="17" t="s">
        <v>1334</v>
      </c>
      <c r="H8" s="17" t="s">
        <v>1340</v>
      </c>
      <c r="I8" s="17" t="s">
        <v>3709</v>
      </c>
      <c r="J8" s="16"/>
      <c r="K8" s="16" t="str">
        <f t="shared" si="0"/>
        <v>ไม่ผ่าน</v>
      </c>
      <c r="L8" s="16" t="s">
        <v>28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8" customHeight="1">
      <c r="A9" s="16">
        <v>7</v>
      </c>
      <c r="B9" s="17">
        <v>6610073106</v>
      </c>
      <c r="C9" s="17" t="s">
        <v>22</v>
      </c>
      <c r="D9" s="17" t="s">
        <v>1347</v>
      </c>
      <c r="E9" s="17" t="s">
        <v>895</v>
      </c>
      <c r="F9" s="17" t="s">
        <v>1348</v>
      </c>
      <c r="G9" s="17" t="s">
        <v>1334</v>
      </c>
      <c r="H9" s="17" t="s">
        <v>1340</v>
      </c>
      <c r="I9" s="17" t="s">
        <v>3709</v>
      </c>
      <c r="J9" s="16"/>
      <c r="K9" s="16" t="str">
        <f t="shared" si="0"/>
        <v>ไม่ผ่าน</v>
      </c>
      <c r="L9" s="16" t="s">
        <v>28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" customHeight="1">
      <c r="A10" s="16">
        <v>8</v>
      </c>
      <c r="B10" s="17">
        <v>6610073107</v>
      </c>
      <c r="C10" s="17" t="s">
        <v>22</v>
      </c>
      <c r="D10" s="17" t="s">
        <v>676</v>
      </c>
      <c r="E10" s="17" t="s">
        <v>1174</v>
      </c>
      <c r="F10" s="17" t="s">
        <v>725</v>
      </c>
      <c r="G10" s="17" t="s">
        <v>1334</v>
      </c>
      <c r="H10" s="17" t="s">
        <v>1340</v>
      </c>
      <c r="I10" s="17" t="s">
        <v>3709</v>
      </c>
      <c r="J10" s="16"/>
      <c r="K10" s="16" t="str">
        <f t="shared" si="0"/>
        <v>ไม่ผ่าน</v>
      </c>
      <c r="L10" s="16" t="s">
        <v>28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" customHeight="1">
      <c r="A11" s="16">
        <v>9</v>
      </c>
      <c r="B11" s="17">
        <v>6610073108</v>
      </c>
      <c r="C11" s="17" t="s">
        <v>22</v>
      </c>
      <c r="D11" s="17" t="s">
        <v>1349</v>
      </c>
      <c r="E11" s="17" t="s">
        <v>1350</v>
      </c>
      <c r="F11" s="17" t="s">
        <v>1351</v>
      </c>
      <c r="G11" s="17" t="s">
        <v>1334</v>
      </c>
      <c r="H11" s="17" t="s">
        <v>1340</v>
      </c>
      <c r="I11" s="17" t="s">
        <v>3709</v>
      </c>
      <c r="J11" s="16"/>
      <c r="K11" s="16" t="str">
        <f t="shared" si="0"/>
        <v>ไม่ผ่าน</v>
      </c>
      <c r="L11" s="16" t="s">
        <v>28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8" customHeight="1">
      <c r="A12" s="16">
        <v>10</v>
      </c>
      <c r="B12" s="17">
        <v>6610073109</v>
      </c>
      <c r="C12" s="17" t="s">
        <v>22</v>
      </c>
      <c r="D12" s="17" t="s">
        <v>1352</v>
      </c>
      <c r="E12" s="17" t="s">
        <v>1353</v>
      </c>
      <c r="F12" s="17" t="s">
        <v>704</v>
      </c>
      <c r="G12" s="17" t="s">
        <v>1334</v>
      </c>
      <c r="H12" s="17" t="s">
        <v>1340</v>
      </c>
      <c r="I12" s="17" t="s">
        <v>3709</v>
      </c>
      <c r="J12" s="16"/>
      <c r="K12" s="16" t="str">
        <f t="shared" si="0"/>
        <v>ไม่ผ่าน</v>
      </c>
      <c r="L12" s="16" t="s">
        <v>28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8" customHeight="1">
      <c r="A13" s="16">
        <v>11</v>
      </c>
      <c r="B13" s="17">
        <v>6610073113</v>
      </c>
      <c r="C13" s="17" t="s">
        <v>29</v>
      </c>
      <c r="D13" s="17" t="s">
        <v>1354</v>
      </c>
      <c r="E13" s="17" t="s">
        <v>1355</v>
      </c>
      <c r="F13" s="17" t="s">
        <v>1356</v>
      </c>
      <c r="G13" s="17" t="s">
        <v>1334</v>
      </c>
      <c r="H13" s="17" t="s">
        <v>1340</v>
      </c>
      <c r="I13" s="17" t="s">
        <v>3709</v>
      </c>
      <c r="J13" s="16"/>
      <c r="K13" s="16" t="str">
        <f t="shared" si="0"/>
        <v>ไม่ผ่าน</v>
      </c>
      <c r="L13" s="16" t="s">
        <v>28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8" customHeight="1">
      <c r="A14" s="16">
        <v>12</v>
      </c>
      <c r="B14" s="17">
        <v>6610073114</v>
      </c>
      <c r="C14" s="17" t="s">
        <v>29</v>
      </c>
      <c r="D14" s="17" t="s">
        <v>1357</v>
      </c>
      <c r="E14" s="17" t="s">
        <v>1358</v>
      </c>
      <c r="F14" s="17" t="s">
        <v>1359</v>
      </c>
      <c r="G14" s="17" t="s">
        <v>1334</v>
      </c>
      <c r="H14" s="17" t="s">
        <v>1340</v>
      </c>
      <c r="I14" s="17" t="s">
        <v>3709</v>
      </c>
      <c r="J14" s="16"/>
      <c r="K14" s="16" t="str">
        <f t="shared" si="0"/>
        <v>ไม่ผ่าน</v>
      </c>
      <c r="L14" s="16" t="s">
        <v>28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8" customHeight="1">
      <c r="A15" s="16">
        <v>13</v>
      </c>
      <c r="B15" s="17">
        <v>6610073115</v>
      </c>
      <c r="C15" s="17" t="s">
        <v>29</v>
      </c>
      <c r="D15" s="17" t="s">
        <v>1360</v>
      </c>
      <c r="E15" s="17" t="s">
        <v>1361</v>
      </c>
      <c r="F15" s="17" t="s">
        <v>1272</v>
      </c>
      <c r="G15" s="17" t="s">
        <v>1334</v>
      </c>
      <c r="H15" s="17" t="s">
        <v>1340</v>
      </c>
      <c r="I15" s="17" t="s">
        <v>3709</v>
      </c>
      <c r="J15" s="16"/>
      <c r="K15" s="16" t="str">
        <f t="shared" si="0"/>
        <v>ไม่ผ่าน</v>
      </c>
      <c r="L15" s="16" t="s">
        <v>28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8" customHeight="1">
      <c r="A16" s="16">
        <v>14</v>
      </c>
      <c r="B16" s="17">
        <v>6610073116</v>
      </c>
      <c r="C16" s="17" t="s">
        <v>29</v>
      </c>
      <c r="D16" s="17" t="s">
        <v>1212</v>
      </c>
      <c r="E16" s="17" t="s">
        <v>1362</v>
      </c>
      <c r="F16" s="17" t="s">
        <v>869</v>
      </c>
      <c r="G16" s="17" t="s">
        <v>1334</v>
      </c>
      <c r="H16" s="17" t="s">
        <v>1340</v>
      </c>
      <c r="I16" s="17" t="s">
        <v>3709</v>
      </c>
      <c r="J16" s="16"/>
      <c r="K16" s="16" t="str">
        <f t="shared" si="0"/>
        <v>ไม่ผ่าน</v>
      </c>
      <c r="L16" s="16" t="s">
        <v>28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8" customHeight="1">
      <c r="A17" s="16">
        <v>15</v>
      </c>
      <c r="B17" s="17">
        <v>6610073117</v>
      </c>
      <c r="C17" s="17" t="s">
        <v>22</v>
      </c>
      <c r="D17" s="17" t="s">
        <v>1363</v>
      </c>
      <c r="E17" s="17" t="s">
        <v>1364</v>
      </c>
      <c r="F17" s="17" t="s">
        <v>1365</v>
      </c>
      <c r="G17" s="17" t="s">
        <v>1334</v>
      </c>
      <c r="H17" s="17" t="s">
        <v>1340</v>
      </c>
      <c r="I17" s="17" t="s">
        <v>3709</v>
      </c>
      <c r="J17" s="16"/>
      <c r="K17" s="16" t="str">
        <f t="shared" si="0"/>
        <v>ไม่ผ่าน</v>
      </c>
      <c r="L17" s="16" t="s">
        <v>28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8" customHeight="1">
      <c r="A18" s="16">
        <v>16</v>
      </c>
      <c r="B18" s="17">
        <v>6610073118</v>
      </c>
      <c r="C18" s="17" t="s">
        <v>29</v>
      </c>
      <c r="D18" s="17" t="s">
        <v>1366</v>
      </c>
      <c r="E18" s="17" t="s">
        <v>1367</v>
      </c>
      <c r="F18" s="17" t="s">
        <v>104</v>
      </c>
      <c r="G18" s="17" t="s">
        <v>1334</v>
      </c>
      <c r="H18" s="17" t="s">
        <v>1340</v>
      </c>
      <c r="I18" s="17" t="s">
        <v>3709</v>
      </c>
      <c r="J18" s="16"/>
      <c r="K18" s="16" t="str">
        <f t="shared" si="0"/>
        <v>ไม่ผ่าน</v>
      </c>
      <c r="L18" s="16" t="s">
        <v>28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8" customHeight="1">
      <c r="A19" s="16">
        <v>17</v>
      </c>
      <c r="B19" s="17">
        <v>6410073101</v>
      </c>
      <c r="C19" s="17" t="s">
        <v>22</v>
      </c>
      <c r="D19" s="17" t="s">
        <v>1368</v>
      </c>
      <c r="E19" s="17" t="s">
        <v>1369</v>
      </c>
      <c r="F19" s="17" t="s">
        <v>107</v>
      </c>
      <c r="G19" s="17" t="s">
        <v>1334</v>
      </c>
      <c r="H19" s="17" t="s">
        <v>1340</v>
      </c>
      <c r="I19" s="17" t="s">
        <v>3707</v>
      </c>
      <c r="J19" s="16"/>
      <c r="K19" s="16" t="str">
        <f t="shared" si="0"/>
        <v>ไม่ผ่าน</v>
      </c>
      <c r="L19" s="16" t="s">
        <v>28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8" customHeight="1">
      <c r="A20" s="16">
        <v>18</v>
      </c>
      <c r="B20" s="17">
        <v>6410073104</v>
      </c>
      <c r="C20" s="17" t="s">
        <v>22</v>
      </c>
      <c r="D20" s="17" t="s">
        <v>1370</v>
      </c>
      <c r="E20" s="17" t="s">
        <v>1230</v>
      </c>
      <c r="F20" s="17" t="s">
        <v>764</v>
      </c>
      <c r="G20" s="17" t="s">
        <v>1334</v>
      </c>
      <c r="H20" s="17" t="s">
        <v>1340</v>
      </c>
      <c r="I20" s="17" t="s">
        <v>3707</v>
      </c>
      <c r="J20" s="16"/>
      <c r="K20" s="16" t="str">
        <f t="shared" si="0"/>
        <v>ไม่ผ่าน</v>
      </c>
      <c r="L20" s="16" t="s">
        <v>28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8" customHeight="1">
      <c r="A21" s="16">
        <v>19</v>
      </c>
      <c r="B21" s="17">
        <v>6410073106</v>
      </c>
      <c r="C21" s="17" t="s">
        <v>22</v>
      </c>
      <c r="D21" s="17" t="s">
        <v>1371</v>
      </c>
      <c r="E21" s="17" t="s">
        <v>1372</v>
      </c>
      <c r="F21" s="17" t="s">
        <v>543</v>
      </c>
      <c r="G21" s="17" t="s">
        <v>1334</v>
      </c>
      <c r="H21" s="17" t="s">
        <v>1340</v>
      </c>
      <c r="I21" s="17" t="s">
        <v>3707</v>
      </c>
      <c r="J21" s="16"/>
      <c r="K21" s="16" t="str">
        <f t="shared" si="0"/>
        <v>ไม่ผ่าน</v>
      </c>
      <c r="L21" s="16" t="s">
        <v>28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" customHeight="1">
      <c r="A22" s="16">
        <v>20</v>
      </c>
      <c r="B22" s="17">
        <v>6410073107</v>
      </c>
      <c r="C22" s="17" t="s">
        <v>22</v>
      </c>
      <c r="D22" s="17" t="s">
        <v>667</v>
      </c>
      <c r="E22" s="17" t="s">
        <v>1373</v>
      </c>
      <c r="F22" s="17" t="s">
        <v>1374</v>
      </c>
      <c r="G22" s="17" t="s">
        <v>1334</v>
      </c>
      <c r="H22" s="17" t="s">
        <v>1340</v>
      </c>
      <c r="I22" s="17" t="s">
        <v>3707</v>
      </c>
      <c r="J22" s="16"/>
      <c r="K22" s="16" t="str">
        <f t="shared" si="0"/>
        <v>ไม่ผ่าน</v>
      </c>
      <c r="L22" s="16" t="s">
        <v>28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" customHeight="1">
      <c r="A23" s="16">
        <v>21</v>
      </c>
      <c r="B23" s="17">
        <v>6410073108</v>
      </c>
      <c r="C23" s="17" t="s">
        <v>22</v>
      </c>
      <c r="D23" s="17" t="s">
        <v>1375</v>
      </c>
      <c r="E23" s="17" t="s">
        <v>1376</v>
      </c>
      <c r="F23" s="17" t="s">
        <v>1377</v>
      </c>
      <c r="G23" s="17" t="s">
        <v>1334</v>
      </c>
      <c r="H23" s="17" t="s">
        <v>1340</v>
      </c>
      <c r="I23" s="17" t="s">
        <v>3707</v>
      </c>
      <c r="J23" s="16"/>
      <c r="K23" s="16" t="str">
        <f t="shared" si="0"/>
        <v>ไม่ผ่าน</v>
      </c>
      <c r="L23" s="16" t="s">
        <v>28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" customHeight="1">
      <c r="A24" s="16">
        <v>22</v>
      </c>
      <c r="B24" s="17">
        <v>6410073109</v>
      </c>
      <c r="C24" s="17" t="s">
        <v>22</v>
      </c>
      <c r="D24" s="17" t="s">
        <v>1378</v>
      </c>
      <c r="E24" s="17" t="s">
        <v>94</v>
      </c>
      <c r="F24" s="17" t="s">
        <v>486</v>
      </c>
      <c r="G24" s="17" t="s">
        <v>1334</v>
      </c>
      <c r="H24" s="17" t="s">
        <v>1340</v>
      </c>
      <c r="I24" s="17" t="s">
        <v>3707</v>
      </c>
      <c r="J24" s="16"/>
      <c r="K24" s="16" t="str">
        <f t="shared" si="0"/>
        <v>ไม่ผ่าน</v>
      </c>
      <c r="L24" s="16" t="s">
        <v>28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8" customHeight="1">
      <c r="A25" s="16">
        <v>23</v>
      </c>
      <c r="B25" s="17">
        <v>6410073112</v>
      </c>
      <c r="C25" s="17" t="s">
        <v>22</v>
      </c>
      <c r="D25" s="17" t="s">
        <v>1379</v>
      </c>
      <c r="E25" s="17" t="s">
        <v>1380</v>
      </c>
      <c r="F25" s="17" t="s">
        <v>1381</v>
      </c>
      <c r="G25" s="17" t="s">
        <v>1334</v>
      </c>
      <c r="H25" s="17" t="s">
        <v>1340</v>
      </c>
      <c r="I25" s="17" t="s">
        <v>3707</v>
      </c>
      <c r="J25" s="16"/>
      <c r="K25" s="16" t="str">
        <f t="shared" si="0"/>
        <v>ไม่ผ่าน</v>
      </c>
      <c r="L25" s="16" t="s">
        <v>28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" customHeight="1">
      <c r="A26" s="16">
        <v>24</v>
      </c>
      <c r="B26" s="17">
        <v>6410073113</v>
      </c>
      <c r="C26" s="17" t="s">
        <v>22</v>
      </c>
      <c r="D26" s="17" t="s">
        <v>280</v>
      </c>
      <c r="E26" s="17" t="s">
        <v>1382</v>
      </c>
      <c r="F26" s="17" t="s">
        <v>1383</v>
      </c>
      <c r="G26" s="17" t="s">
        <v>1334</v>
      </c>
      <c r="H26" s="17" t="s">
        <v>1340</v>
      </c>
      <c r="I26" s="17" t="s">
        <v>3707</v>
      </c>
      <c r="J26" s="16"/>
      <c r="K26" s="16" t="str">
        <f t="shared" si="0"/>
        <v>ไม่ผ่าน</v>
      </c>
      <c r="L26" s="16" t="s">
        <v>28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" customHeight="1">
      <c r="A27" s="16">
        <v>25</v>
      </c>
      <c r="B27" s="17">
        <v>6410073114</v>
      </c>
      <c r="C27" s="17" t="s">
        <v>29</v>
      </c>
      <c r="D27" s="17" t="s">
        <v>1384</v>
      </c>
      <c r="E27" s="17" t="s">
        <v>1385</v>
      </c>
      <c r="F27" s="17" t="s">
        <v>1386</v>
      </c>
      <c r="G27" s="17" t="s">
        <v>1334</v>
      </c>
      <c r="H27" s="17" t="s">
        <v>1340</v>
      </c>
      <c r="I27" s="17" t="s">
        <v>3707</v>
      </c>
      <c r="J27" s="16"/>
      <c r="K27" s="16" t="str">
        <f t="shared" si="0"/>
        <v>ไม่ผ่าน</v>
      </c>
      <c r="L27" s="16" t="s">
        <v>28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" customHeight="1">
      <c r="A28" s="16">
        <v>26</v>
      </c>
      <c r="B28" s="17">
        <v>6410073115</v>
      </c>
      <c r="C28" s="17" t="s">
        <v>29</v>
      </c>
      <c r="D28" s="17" t="s">
        <v>1387</v>
      </c>
      <c r="E28" s="17" t="s">
        <v>1388</v>
      </c>
      <c r="F28" s="17" t="s">
        <v>236</v>
      </c>
      <c r="G28" s="17" t="s">
        <v>1334</v>
      </c>
      <c r="H28" s="17" t="s">
        <v>1340</v>
      </c>
      <c r="I28" s="17" t="s">
        <v>3707</v>
      </c>
      <c r="J28" s="16"/>
      <c r="K28" s="16" t="str">
        <f t="shared" si="0"/>
        <v>ไม่ผ่าน</v>
      </c>
      <c r="L28" s="16" t="s">
        <v>28</v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" customHeight="1">
      <c r="A29" s="16">
        <v>27</v>
      </c>
      <c r="B29" s="17">
        <v>6410073116</v>
      </c>
      <c r="C29" s="17" t="s">
        <v>29</v>
      </c>
      <c r="D29" s="17" t="s">
        <v>243</v>
      </c>
      <c r="E29" s="17" t="s">
        <v>1389</v>
      </c>
      <c r="F29" s="17" t="s">
        <v>1132</v>
      </c>
      <c r="G29" s="17" t="s">
        <v>1334</v>
      </c>
      <c r="H29" s="17" t="s">
        <v>1340</v>
      </c>
      <c r="I29" s="17" t="s">
        <v>3707</v>
      </c>
      <c r="J29" s="16"/>
      <c r="K29" s="16" t="str">
        <f t="shared" si="0"/>
        <v>ไม่ผ่าน</v>
      </c>
      <c r="L29" s="16" t="s">
        <v>28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" customHeight="1">
      <c r="A30" s="16">
        <v>28</v>
      </c>
      <c r="B30" s="17">
        <v>6410073117</v>
      </c>
      <c r="C30" s="17" t="s">
        <v>29</v>
      </c>
      <c r="D30" s="17" t="s">
        <v>968</v>
      </c>
      <c r="E30" s="17" t="s">
        <v>1390</v>
      </c>
      <c r="F30" s="17" t="s">
        <v>213</v>
      </c>
      <c r="G30" s="17" t="s">
        <v>1334</v>
      </c>
      <c r="H30" s="17" t="s">
        <v>1340</v>
      </c>
      <c r="I30" s="17" t="s">
        <v>3707</v>
      </c>
      <c r="J30" s="16"/>
      <c r="K30" s="16" t="str">
        <f t="shared" si="0"/>
        <v>ไม่ผ่าน</v>
      </c>
      <c r="L30" s="16" t="s">
        <v>28</v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" customHeight="1">
      <c r="A31" s="16">
        <v>29</v>
      </c>
      <c r="B31" s="17">
        <v>6410073119</v>
      </c>
      <c r="C31" s="17" t="s">
        <v>29</v>
      </c>
      <c r="D31" s="17" t="s">
        <v>1391</v>
      </c>
      <c r="E31" s="17" t="s">
        <v>1392</v>
      </c>
      <c r="F31" s="17" t="s">
        <v>755</v>
      </c>
      <c r="G31" s="17" t="s">
        <v>1334</v>
      </c>
      <c r="H31" s="17" t="s">
        <v>1340</v>
      </c>
      <c r="I31" s="17" t="s">
        <v>3707</v>
      </c>
      <c r="J31" s="16"/>
      <c r="K31" s="16" t="str">
        <f t="shared" si="0"/>
        <v>ไม่ผ่าน</v>
      </c>
      <c r="L31" s="16" t="s">
        <v>28</v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" customHeight="1">
      <c r="A32" s="16">
        <v>30</v>
      </c>
      <c r="B32" s="17">
        <v>6410073121</v>
      </c>
      <c r="C32" s="17" t="s">
        <v>29</v>
      </c>
      <c r="D32" s="17" t="s">
        <v>1393</v>
      </c>
      <c r="E32" s="17" t="s">
        <v>1394</v>
      </c>
      <c r="F32" s="17" t="s">
        <v>199</v>
      </c>
      <c r="G32" s="17" t="s">
        <v>1334</v>
      </c>
      <c r="H32" s="17" t="s">
        <v>1340</v>
      </c>
      <c r="I32" s="17" t="s">
        <v>3707</v>
      </c>
      <c r="J32" s="16"/>
      <c r="K32" s="16" t="str">
        <f t="shared" si="0"/>
        <v>ไม่ผ่าน</v>
      </c>
      <c r="L32" s="16" t="s">
        <v>28</v>
      </c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" customHeight="1">
      <c r="A33" s="16">
        <v>31</v>
      </c>
      <c r="B33" s="17">
        <v>6410073124</v>
      </c>
      <c r="C33" s="17" t="s">
        <v>29</v>
      </c>
      <c r="D33" s="17" t="s">
        <v>1395</v>
      </c>
      <c r="E33" s="17" t="s">
        <v>1396</v>
      </c>
      <c r="F33" s="17" t="s">
        <v>1397</v>
      </c>
      <c r="G33" s="17" t="s">
        <v>1334</v>
      </c>
      <c r="H33" s="17" t="s">
        <v>1340</v>
      </c>
      <c r="I33" s="17" t="s">
        <v>3707</v>
      </c>
      <c r="J33" s="16"/>
      <c r="K33" s="16" t="str">
        <f t="shared" si="0"/>
        <v>ไม่ผ่าน</v>
      </c>
      <c r="L33" s="16" t="s">
        <v>28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" customHeight="1">
      <c r="A34" s="16">
        <v>32</v>
      </c>
      <c r="B34" s="17">
        <v>6410073125</v>
      </c>
      <c r="C34" s="17" t="s">
        <v>29</v>
      </c>
      <c r="D34" s="17" t="s">
        <v>149</v>
      </c>
      <c r="E34" s="17" t="s">
        <v>1398</v>
      </c>
      <c r="F34" s="17" t="s">
        <v>41</v>
      </c>
      <c r="G34" s="17" t="s">
        <v>1334</v>
      </c>
      <c r="H34" s="17" t="s">
        <v>1340</v>
      </c>
      <c r="I34" s="17" t="s">
        <v>3707</v>
      </c>
      <c r="J34" s="16"/>
      <c r="K34" s="16" t="str">
        <f t="shared" si="0"/>
        <v>ไม่ผ่าน</v>
      </c>
      <c r="L34" s="16" t="s">
        <v>28</v>
      </c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" customHeight="1">
      <c r="A35" s="16">
        <v>33</v>
      </c>
      <c r="B35" s="17">
        <v>6410073126</v>
      </c>
      <c r="C35" s="17" t="s">
        <v>22</v>
      </c>
      <c r="D35" s="17" t="s">
        <v>1399</v>
      </c>
      <c r="E35" s="17" t="s">
        <v>1400</v>
      </c>
      <c r="F35" s="17" t="s">
        <v>432</v>
      </c>
      <c r="G35" s="17" t="s">
        <v>1334</v>
      </c>
      <c r="H35" s="17" t="s">
        <v>1340</v>
      </c>
      <c r="I35" s="17" t="s">
        <v>3707</v>
      </c>
      <c r="J35" s="16"/>
      <c r="K35" s="16" t="str">
        <f t="shared" si="0"/>
        <v>ไม่ผ่าน</v>
      </c>
      <c r="L35" s="16" t="s">
        <v>28</v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" customHeight="1">
      <c r="A36" s="16">
        <v>34</v>
      </c>
      <c r="B36" s="17">
        <v>6310073101</v>
      </c>
      <c r="C36" s="17" t="s">
        <v>22</v>
      </c>
      <c r="D36" s="17" t="s">
        <v>1401</v>
      </c>
      <c r="E36" s="17" t="s">
        <v>1402</v>
      </c>
      <c r="F36" s="17" t="s">
        <v>1403</v>
      </c>
      <c r="G36" s="17" t="s">
        <v>1334</v>
      </c>
      <c r="H36" s="17" t="s">
        <v>1340</v>
      </c>
      <c r="I36" s="17" t="s">
        <v>3708</v>
      </c>
      <c r="J36" s="16"/>
      <c r="K36" s="16" t="str">
        <f t="shared" si="0"/>
        <v>ไม่ผ่าน</v>
      </c>
      <c r="L36" s="16" t="s">
        <v>28</v>
      </c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" customHeight="1">
      <c r="A37" s="16">
        <v>35</v>
      </c>
      <c r="B37" s="17">
        <v>6310073102</v>
      </c>
      <c r="C37" s="17" t="s">
        <v>22</v>
      </c>
      <c r="D37" s="17" t="s">
        <v>1404</v>
      </c>
      <c r="E37" s="17" t="s">
        <v>1405</v>
      </c>
      <c r="F37" s="17" t="s">
        <v>115</v>
      </c>
      <c r="G37" s="17" t="s">
        <v>1334</v>
      </c>
      <c r="H37" s="17" t="s">
        <v>1340</v>
      </c>
      <c r="I37" s="17" t="s">
        <v>3708</v>
      </c>
      <c r="J37" s="16"/>
      <c r="K37" s="16" t="str">
        <f t="shared" si="0"/>
        <v>ไม่ผ่าน</v>
      </c>
      <c r="L37" s="16" t="s">
        <v>28</v>
      </c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" customHeight="1">
      <c r="A38" s="16">
        <v>36</v>
      </c>
      <c r="B38" s="17">
        <v>6310073105</v>
      </c>
      <c r="C38" s="17" t="s">
        <v>29</v>
      </c>
      <c r="D38" s="17" t="s">
        <v>774</v>
      </c>
      <c r="E38" s="17" t="s">
        <v>1406</v>
      </c>
      <c r="F38" s="17" t="s">
        <v>1407</v>
      </c>
      <c r="G38" s="17" t="s">
        <v>1334</v>
      </c>
      <c r="H38" s="17" t="s">
        <v>1340</v>
      </c>
      <c r="I38" s="17" t="s">
        <v>3708</v>
      </c>
      <c r="J38" s="16"/>
      <c r="K38" s="16" t="str">
        <f t="shared" si="0"/>
        <v>ไม่ผ่าน</v>
      </c>
      <c r="L38" s="16" t="s">
        <v>28</v>
      </c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" customHeight="1">
      <c r="A39" s="16">
        <v>37</v>
      </c>
      <c r="B39" s="17">
        <v>6310073106</v>
      </c>
      <c r="C39" s="17" t="s">
        <v>29</v>
      </c>
      <c r="D39" s="17" t="s">
        <v>1408</v>
      </c>
      <c r="E39" s="17" t="s">
        <v>1409</v>
      </c>
      <c r="F39" s="17" t="s">
        <v>199</v>
      </c>
      <c r="G39" s="17" t="s">
        <v>1334</v>
      </c>
      <c r="H39" s="17" t="s">
        <v>1340</v>
      </c>
      <c r="I39" s="17" t="s">
        <v>3708</v>
      </c>
      <c r="J39" s="16"/>
      <c r="K39" s="16" t="str">
        <f t="shared" si="0"/>
        <v>ไม่ผ่าน</v>
      </c>
      <c r="L39" s="16" t="s">
        <v>28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" customHeight="1">
      <c r="A40" s="16">
        <v>38</v>
      </c>
      <c r="B40" s="17">
        <v>6310073107</v>
      </c>
      <c r="C40" s="17" t="s">
        <v>29</v>
      </c>
      <c r="D40" s="17" t="s">
        <v>557</v>
      </c>
      <c r="E40" s="17" t="s">
        <v>1286</v>
      </c>
      <c r="F40" s="17" t="s">
        <v>1252</v>
      </c>
      <c r="G40" s="17" t="s">
        <v>1334</v>
      </c>
      <c r="H40" s="17" t="s">
        <v>1340</v>
      </c>
      <c r="I40" s="17" t="s">
        <v>3708</v>
      </c>
      <c r="J40" s="16"/>
      <c r="K40" s="16" t="str">
        <f t="shared" si="0"/>
        <v>ไม่ผ่าน</v>
      </c>
      <c r="L40" s="16" t="s">
        <v>28</v>
      </c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" customHeight="1">
      <c r="A41" s="16">
        <v>39</v>
      </c>
      <c r="B41" s="17">
        <v>6310073108</v>
      </c>
      <c r="C41" s="17" t="s">
        <v>22</v>
      </c>
      <c r="D41" s="17" t="s">
        <v>1410</v>
      </c>
      <c r="E41" s="17" t="s">
        <v>1411</v>
      </c>
      <c r="F41" s="17" t="s">
        <v>1412</v>
      </c>
      <c r="G41" s="17" t="s">
        <v>1334</v>
      </c>
      <c r="H41" s="17" t="s">
        <v>1340</v>
      </c>
      <c r="I41" s="17" t="s">
        <v>3708</v>
      </c>
      <c r="J41" s="16"/>
      <c r="K41" s="16" t="str">
        <f t="shared" si="0"/>
        <v>ไม่ผ่าน</v>
      </c>
      <c r="L41" s="16" t="s">
        <v>28</v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" customHeight="1">
      <c r="A42" s="16">
        <v>40</v>
      </c>
      <c r="B42" s="17">
        <v>6310073109</v>
      </c>
      <c r="C42" s="17" t="s">
        <v>29</v>
      </c>
      <c r="D42" s="17" t="s">
        <v>1413</v>
      </c>
      <c r="E42" s="17" t="s">
        <v>1414</v>
      </c>
      <c r="F42" s="17" t="s">
        <v>373</v>
      </c>
      <c r="G42" s="17" t="s">
        <v>1334</v>
      </c>
      <c r="H42" s="17" t="s">
        <v>1340</v>
      </c>
      <c r="I42" s="17" t="s">
        <v>3708</v>
      </c>
      <c r="J42" s="16"/>
      <c r="K42" s="16" t="str">
        <f t="shared" si="0"/>
        <v>ไม่ผ่าน</v>
      </c>
      <c r="L42" s="16" t="s">
        <v>28</v>
      </c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" customHeight="1">
      <c r="A43" s="16">
        <v>41</v>
      </c>
      <c r="B43" s="17">
        <v>6310073110</v>
      </c>
      <c r="C43" s="17" t="s">
        <v>29</v>
      </c>
      <c r="D43" s="17" t="s">
        <v>1415</v>
      </c>
      <c r="E43" s="17" t="s">
        <v>1416</v>
      </c>
      <c r="F43" s="17" t="s">
        <v>1417</v>
      </c>
      <c r="G43" s="17" t="s">
        <v>1334</v>
      </c>
      <c r="H43" s="17" t="s">
        <v>1340</v>
      </c>
      <c r="I43" s="17" t="s">
        <v>3708</v>
      </c>
      <c r="J43" s="16"/>
      <c r="K43" s="16" t="str">
        <f t="shared" si="0"/>
        <v>ไม่ผ่าน</v>
      </c>
      <c r="L43" s="16" t="s">
        <v>28</v>
      </c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" customHeight="1">
      <c r="A44" s="16">
        <v>42</v>
      </c>
      <c r="B44" s="17">
        <v>6412269106</v>
      </c>
      <c r="C44" s="17" t="s">
        <v>22</v>
      </c>
      <c r="D44" s="17"/>
      <c r="E44" s="17" t="s">
        <v>726</v>
      </c>
      <c r="F44" s="17" t="s">
        <v>1342</v>
      </c>
      <c r="G44" s="17" t="s">
        <v>1334</v>
      </c>
      <c r="H44" s="17" t="s">
        <v>1418</v>
      </c>
      <c r="I44" s="17" t="s">
        <v>3707</v>
      </c>
      <c r="J44" s="16"/>
      <c r="K44" s="16" t="str">
        <f t="shared" si="0"/>
        <v>ไม่ผ่าน</v>
      </c>
      <c r="L44" s="16" t="s">
        <v>28</v>
      </c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" customHeight="1">
      <c r="A45" s="16">
        <v>43</v>
      </c>
      <c r="B45" s="17">
        <v>6412269118</v>
      </c>
      <c r="C45" s="17" t="s">
        <v>22</v>
      </c>
      <c r="D45" s="17" t="s">
        <v>1419</v>
      </c>
      <c r="E45" s="17" t="s">
        <v>511</v>
      </c>
      <c r="F45" s="17" t="s">
        <v>1120</v>
      </c>
      <c r="G45" s="17" t="s">
        <v>1334</v>
      </c>
      <c r="H45" s="17" t="s">
        <v>1418</v>
      </c>
      <c r="I45" s="17" t="s">
        <v>3707</v>
      </c>
      <c r="J45" s="16"/>
      <c r="K45" s="16" t="str">
        <f t="shared" si="0"/>
        <v>ไม่ผ่าน</v>
      </c>
      <c r="L45" s="16" t="s">
        <v>28</v>
      </c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" customHeight="1">
      <c r="A46" s="16">
        <v>44</v>
      </c>
      <c r="B46" s="17">
        <v>6412269121</v>
      </c>
      <c r="C46" s="17" t="s">
        <v>22</v>
      </c>
      <c r="D46" s="17" t="s">
        <v>1420</v>
      </c>
      <c r="E46" s="17" t="s">
        <v>1421</v>
      </c>
      <c r="F46" s="17" t="s">
        <v>1422</v>
      </c>
      <c r="G46" s="17" t="s">
        <v>1334</v>
      </c>
      <c r="H46" s="17" t="s">
        <v>1418</v>
      </c>
      <c r="I46" s="17" t="s">
        <v>3707</v>
      </c>
      <c r="J46" s="16"/>
      <c r="K46" s="16" t="str">
        <f t="shared" si="0"/>
        <v>ไม่ผ่าน</v>
      </c>
      <c r="L46" s="16" t="s">
        <v>28</v>
      </c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" customHeight="1">
      <c r="A47" s="16">
        <v>45</v>
      </c>
      <c r="B47" s="17">
        <v>6412269122</v>
      </c>
      <c r="C47" s="17" t="s">
        <v>22</v>
      </c>
      <c r="D47" s="17" t="s">
        <v>1423</v>
      </c>
      <c r="E47" s="17" t="s">
        <v>1424</v>
      </c>
      <c r="F47" s="17" t="s">
        <v>1425</v>
      </c>
      <c r="G47" s="17" t="s">
        <v>1334</v>
      </c>
      <c r="H47" s="17" t="s">
        <v>1418</v>
      </c>
      <c r="I47" s="17" t="s">
        <v>3707</v>
      </c>
      <c r="J47" s="16"/>
      <c r="K47" s="16" t="str">
        <f t="shared" si="0"/>
        <v>ไม่ผ่าน</v>
      </c>
      <c r="L47" s="16" t="s">
        <v>28</v>
      </c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" customHeight="1">
      <c r="A48" s="16">
        <v>46</v>
      </c>
      <c r="B48" s="17">
        <v>6412269124</v>
      </c>
      <c r="C48" s="17" t="s">
        <v>22</v>
      </c>
      <c r="D48" s="17" t="s">
        <v>1426</v>
      </c>
      <c r="E48" s="17" t="s">
        <v>1427</v>
      </c>
      <c r="F48" s="17" t="s">
        <v>1428</v>
      </c>
      <c r="G48" s="17" t="s">
        <v>1334</v>
      </c>
      <c r="H48" s="17" t="s">
        <v>1418</v>
      </c>
      <c r="I48" s="17" t="s">
        <v>3707</v>
      </c>
      <c r="J48" s="16"/>
      <c r="K48" s="16" t="str">
        <f t="shared" si="0"/>
        <v>ไม่ผ่าน</v>
      </c>
      <c r="L48" s="16" t="s">
        <v>28</v>
      </c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" customHeight="1">
      <c r="A49" s="16">
        <v>47</v>
      </c>
      <c r="B49" s="17">
        <v>6412269125</v>
      </c>
      <c r="C49" s="17" t="s">
        <v>22</v>
      </c>
      <c r="D49" s="17" t="s">
        <v>1429</v>
      </c>
      <c r="E49" s="17" t="s">
        <v>1430</v>
      </c>
      <c r="F49" s="17" t="s">
        <v>210</v>
      </c>
      <c r="G49" s="17" t="s">
        <v>1334</v>
      </c>
      <c r="H49" s="17" t="s">
        <v>1418</v>
      </c>
      <c r="I49" s="17" t="s">
        <v>3707</v>
      </c>
      <c r="J49" s="16"/>
      <c r="K49" s="16" t="str">
        <f t="shared" si="0"/>
        <v>ไม่ผ่าน</v>
      </c>
      <c r="L49" s="16" t="s">
        <v>28</v>
      </c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" customHeight="1">
      <c r="A50" s="16">
        <v>48</v>
      </c>
      <c r="B50" s="17">
        <v>6412269126</v>
      </c>
      <c r="C50" s="17" t="s">
        <v>22</v>
      </c>
      <c r="D50" s="17" t="s">
        <v>1431</v>
      </c>
      <c r="E50" s="17" t="s">
        <v>1105</v>
      </c>
      <c r="F50" s="17" t="s">
        <v>1432</v>
      </c>
      <c r="G50" s="17" t="s">
        <v>1334</v>
      </c>
      <c r="H50" s="17" t="s">
        <v>1418</v>
      </c>
      <c r="I50" s="17" t="s">
        <v>3707</v>
      </c>
      <c r="J50" s="16"/>
      <c r="K50" s="16" t="str">
        <f t="shared" si="0"/>
        <v>ไม่ผ่าน</v>
      </c>
      <c r="L50" s="16" t="s">
        <v>28</v>
      </c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" customHeight="1">
      <c r="A51" s="16">
        <v>49</v>
      </c>
      <c r="B51" s="17">
        <v>6412269134</v>
      </c>
      <c r="C51" s="17" t="s">
        <v>22</v>
      </c>
      <c r="D51" s="17" t="s">
        <v>1433</v>
      </c>
      <c r="E51" s="17" t="s">
        <v>1434</v>
      </c>
      <c r="F51" s="17" t="s">
        <v>1435</v>
      </c>
      <c r="G51" s="17" t="s">
        <v>1334</v>
      </c>
      <c r="H51" s="17" t="s">
        <v>1418</v>
      </c>
      <c r="I51" s="17" t="s">
        <v>3707</v>
      </c>
      <c r="J51" s="16"/>
      <c r="K51" s="16" t="str">
        <f t="shared" si="0"/>
        <v>ไม่ผ่าน</v>
      </c>
      <c r="L51" s="16" t="s">
        <v>28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" customHeight="1">
      <c r="A52" s="16">
        <v>50</v>
      </c>
      <c r="B52" s="17">
        <v>6312269101</v>
      </c>
      <c r="C52" s="17" t="s">
        <v>22</v>
      </c>
      <c r="D52" s="17" t="s">
        <v>1436</v>
      </c>
      <c r="E52" s="17" t="s">
        <v>1437</v>
      </c>
      <c r="F52" s="17" t="s">
        <v>530</v>
      </c>
      <c r="G52" s="17" t="s">
        <v>1334</v>
      </c>
      <c r="H52" s="17" t="s">
        <v>1418</v>
      </c>
      <c r="I52" s="17" t="s">
        <v>3708</v>
      </c>
      <c r="J52" s="16"/>
      <c r="K52" s="16" t="str">
        <f t="shared" si="0"/>
        <v>ไม่ผ่าน</v>
      </c>
      <c r="L52" s="16" t="s">
        <v>28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" customHeight="1">
      <c r="A53" s="16">
        <v>51</v>
      </c>
      <c r="B53" s="17">
        <v>6312269106</v>
      </c>
      <c r="C53" s="17" t="s">
        <v>22</v>
      </c>
      <c r="D53" s="17" t="s">
        <v>1438</v>
      </c>
      <c r="E53" s="17" t="s">
        <v>1439</v>
      </c>
      <c r="F53" s="17" t="s">
        <v>687</v>
      </c>
      <c r="G53" s="17" t="s">
        <v>1334</v>
      </c>
      <c r="H53" s="17" t="s">
        <v>1418</v>
      </c>
      <c r="I53" s="17" t="s">
        <v>3708</v>
      </c>
      <c r="J53" s="16"/>
      <c r="K53" s="16" t="str">
        <f t="shared" si="0"/>
        <v>ไม่ผ่าน</v>
      </c>
      <c r="L53" s="16" t="s">
        <v>28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" customHeight="1">
      <c r="A54" s="16">
        <v>52</v>
      </c>
      <c r="B54" s="17">
        <v>6312269112</v>
      </c>
      <c r="C54" s="17" t="s">
        <v>22</v>
      </c>
      <c r="D54" s="17" t="s">
        <v>1440</v>
      </c>
      <c r="E54" s="17" t="s">
        <v>1441</v>
      </c>
      <c r="F54" s="17" t="s">
        <v>1442</v>
      </c>
      <c r="G54" s="17" t="s">
        <v>1334</v>
      </c>
      <c r="H54" s="17" t="s">
        <v>1418</v>
      </c>
      <c r="I54" s="17" t="s">
        <v>3708</v>
      </c>
      <c r="J54" s="16"/>
      <c r="K54" s="16" t="str">
        <f t="shared" si="0"/>
        <v>ไม่ผ่าน</v>
      </c>
      <c r="L54" s="16" t="s">
        <v>28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" customHeight="1">
      <c r="A55" s="16">
        <v>53</v>
      </c>
      <c r="B55" s="17">
        <v>6312269125</v>
      </c>
      <c r="C55" s="17" t="s">
        <v>22</v>
      </c>
      <c r="D55" s="17" t="s">
        <v>280</v>
      </c>
      <c r="E55" s="17" t="s">
        <v>1443</v>
      </c>
      <c r="F55" s="17" t="s">
        <v>1432</v>
      </c>
      <c r="G55" s="17" t="s">
        <v>1334</v>
      </c>
      <c r="H55" s="17" t="s">
        <v>1418</v>
      </c>
      <c r="I55" s="17" t="s">
        <v>3708</v>
      </c>
      <c r="J55" s="16"/>
      <c r="K55" s="16" t="str">
        <f t="shared" si="0"/>
        <v>ไม่ผ่าน</v>
      </c>
      <c r="L55" s="16" t="s">
        <v>28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" customHeight="1">
      <c r="A56" s="16">
        <v>54</v>
      </c>
      <c r="B56" s="17">
        <v>6312269126</v>
      </c>
      <c r="C56" s="17" t="s">
        <v>22</v>
      </c>
      <c r="D56" s="17" t="s">
        <v>1444</v>
      </c>
      <c r="E56" s="17" t="s">
        <v>1445</v>
      </c>
      <c r="F56" s="17" t="s">
        <v>1446</v>
      </c>
      <c r="G56" s="17" t="s">
        <v>1334</v>
      </c>
      <c r="H56" s="17" t="s">
        <v>1418</v>
      </c>
      <c r="I56" s="17" t="s">
        <v>3708</v>
      </c>
      <c r="J56" s="16"/>
      <c r="K56" s="16" t="str">
        <f t="shared" si="0"/>
        <v>ไม่ผ่าน</v>
      </c>
      <c r="L56" s="16" t="s">
        <v>28</v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" customHeight="1">
      <c r="A57" s="16">
        <v>55</v>
      </c>
      <c r="B57" s="17">
        <v>6615964116</v>
      </c>
      <c r="C57" s="17" t="s">
        <v>22</v>
      </c>
      <c r="D57" s="17" t="s">
        <v>1447</v>
      </c>
      <c r="E57" s="17" t="s">
        <v>1448</v>
      </c>
      <c r="F57" s="17" t="s">
        <v>1432</v>
      </c>
      <c r="G57" s="17" t="s">
        <v>1334</v>
      </c>
      <c r="H57" s="17" t="s">
        <v>1449</v>
      </c>
      <c r="I57" s="17" t="s">
        <v>3709</v>
      </c>
      <c r="J57" s="16"/>
      <c r="K57" s="16" t="str">
        <f t="shared" si="0"/>
        <v>ไม่ผ่าน</v>
      </c>
      <c r="L57" s="16" t="s">
        <v>28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" customHeight="1">
      <c r="A58" s="16">
        <v>56</v>
      </c>
      <c r="B58" s="17">
        <v>6515944125</v>
      </c>
      <c r="C58" s="17" t="s">
        <v>22</v>
      </c>
      <c r="D58" s="17" t="s">
        <v>429</v>
      </c>
      <c r="E58" s="17" t="s">
        <v>1450</v>
      </c>
      <c r="F58" s="17" t="s">
        <v>1451</v>
      </c>
      <c r="G58" s="17" t="s">
        <v>1334</v>
      </c>
      <c r="H58" s="17" t="s">
        <v>1449</v>
      </c>
      <c r="I58" s="17" t="s">
        <v>3710</v>
      </c>
      <c r="J58" s="16"/>
      <c r="K58" s="16" t="str">
        <f t="shared" si="0"/>
        <v>ไม่ผ่าน</v>
      </c>
      <c r="L58" s="16" t="s">
        <v>28</v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" customHeight="1">
      <c r="A59" s="16">
        <v>57</v>
      </c>
      <c r="B59" s="17">
        <v>6515964105</v>
      </c>
      <c r="C59" s="17" t="s">
        <v>22</v>
      </c>
      <c r="D59" s="17" t="s">
        <v>1452</v>
      </c>
      <c r="E59" s="17" t="s">
        <v>1453</v>
      </c>
      <c r="F59" s="17" t="s">
        <v>1454</v>
      </c>
      <c r="G59" s="17" t="s">
        <v>1334</v>
      </c>
      <c r="H59" s="17" t="s">
        <v>1449</v>
      </c>
      <c r="I59" s="17" t="s">
        <v>3710</v>
      </c>
      <c r="J59" s="16"/>
      <c r="K59" s="16" t="str">
        <f t="shared" si="0"/>
        <v>ไม่ผ่าน</v>
      </c>
      <c r="L59" s="16" t="s">
        <v>28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" customHeight="1">
      <c r="A60" s="16">
        <v>58</v>
      </c>
      <c r="B60" s="17">
        <v>6515964107</v>
      </c>
      <c r="C60" s="17" t="s">
        <v>22</v>
      </c>
      <c r="D60" s="17" t="s">
        <v>1455</v>
      </c>
      <c r="E60" s="17" t="s">
        <v>1456</v>
      </c>
      <c r="F60" s="17" t="s">
        <v>1457</v>
      </c>
      <c r="G60" s="17" t="s">
        <v>1334</v>
      </c>
      <c r="H60" s="17" t="s">
        <v>1449</v>
      </c>
      <c r="I60" s="17" t="s">
        <v>3710</v>
      </c>
      <c r="J60" s="16"/>
      <c r="K60" s="16" t="str">
        <f t="shared" si="0"/>
        <v>ไม่ผ่าน</v>
      </c>
      <c r="L60" s="16" t="s">
        <v>28</v>
      </c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" customHeight="1">
      <c r="A61" s="16">
        <v>59</v>
      </c>
      <c r="B61" s="17">
        <v>6515964109</v>
      </c>
      <c r="C61" s="17" t="s">
        <v>22</v>
      </c>
      <c r="D61" s="17" t="s">
        <v>1458</v>
      </c>
      <c r="E61" s="17" t="s">
        <v>1459</v>
      </c>
      <c r="F61" s="17" t="s">
        <v>1460</v>
      </c>
      <c r="G61" s="17" t="s">
        <v>1334</v>
      </c>
      <c r="H61" s="17" t="s">
        <v>1449</v>
      </c>
      <c r="I61" s="17" t="s">
        <v>3710</v>
      </c>
      <c r="J61" s="16"/>
      <c r="K61" s="16" t="str">
        <f t="shared" si="0"/>
        <v>ไม่ผ่าน</v>
      </c>
      <c r="L61" s="16" t="s">
        <v>28</v>
      </c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" customHeight="1">
      <c r="A62" s="16">
        <v>60</v>
      </c>
      <c r="B62" s="17">
        <v>6515964112</v>
      </c>
      <c r="C62" s="17" t="s">
        <v>22</v>
      </c>
      <c r="D62" s="17" t="s">
        <v>1461</v>
      </c>
      <c r="E62" s="17" t="s">
        <v>1462</v>
      </c>
      <c r="F62" s="17" t="s">
        <v>812</v>
      </c>
      <c r="G62" s="17" t="s">
        <v>1334</v>
      </c>
      <c r="H62" s="17" t="s">
        <v>1449</v>
      </c>
      <c r="I62" s="17" t="s">
        <v>3710</v>
      </c>
      <c r="J62" s="16"/>
      <c r="K62" s="16" t="str">
        <f t="shared" si="0"/>
        <v>ไม่ผ่าน</v>
      </c>
      <c r="L62" s="16" t="s">
        <v>28</v>
      </c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" customHeight="1">
      <c r="A63" s="16">
        <v>61</v>
      </c>
      <c r="B63" s="17">
        <v>6415964119</v>
      </c>
      <c r="C63" s="17" t="s">
        <v>29</v>
      </c>
      <c r="D63" s="17" t="s">
        <v>1463</v>
      </c>
      <c r="E63" s="17" t="s">
        <v>1464</v>
      </c>
      <c r="F63" s="17" t="s">
        <v>1465</v>
      </c>
      <c r="G63" s="17" t="s">
        <v>1334</v>
      </c>
      <c r="H63" s="17" t="s">
        <v>1449</v>
      </c>
      <c r="I63" s="17" t="s">
        <v>3707</v>
      </c>
      <c r="J63" s="16"/>
      <c r="K63" s="16" t="str">
        <f t="shared" si="0"/>
        <v>ไม่ผ่าน</v>
      </c>
      <c r="L63" s="16" t="s">
        <v>28</v>
      </c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" customHeight="1">
      <c r="A64" s="16">
        <v>62</v>
      </c>
      <c r="B64" s="17">
        <v>6415964122</v>
      </c>
      <c r="C64" s="17" t="s">
        <v>29</v>
      </c>
      <c r="D64" s="17" t="s">
        <v>1466</v>
      </c>
      <c r="E64" s="17" t="s">
        <v>1467</v>
      </c>
      <c r="F64" s="17" t="s">
        <v>230</v>
      </c>
      <c r="G64" s="17" t="s">
        <v>1334</v>
      </c>
      <c r="H64" s="17" t="s">
        <v>1449</v>
      </c>
      <c r="I64" s="17" t="s">
        <v>3707</v>
      </c>
      <c r="J64" s="16"/>
      <c r="K64" s="16" t="str">
        <f t="shared" si="0"/>
        <v>ไม่ผ่าน</v>
      </c>
      <c r="L64" s="16" t="s">
        <v>28</v>
      </c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" customHeight="1">
      <c r="A65" s="16">
        <v>63</v>
      </c>
      <c r="B65" s="17">
        <v>6415964123</v>
      </c>
      <c r="C65" s="17" t="s">
        <v>29</v>
      </c>
      <c r="D65" s="17" t="s">
        <v>1468</v>
      </c>
      <c r="E65" s="17" t="s">
        <v>1469</v>
      </c>
      <c r="F65" s="17" t="s">
        <v>453</v>
      </c>
      <c r="G65" s="17" t="s">
        <v>1334</v>
      </c>
      <c r="H65" s="17" t="s">
        <v>1449</v>
      </c>
      <c r="I65" s="17" t="s">
        <v>3707</v>
      </c>
      <c r="J65" s="16"/>
      <c r="K65" s="16" t="str">
        <f t="shared" si="0"/>
        <v>ไม่ผ่าน</v>
      </c>
      <c r="L65" s="16" t="s">
        <v>28</v>
      </c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" customHeight="1">
      <c r="A66" s="16">
        <v>64</v>
      </c>
      <c r="B66" s="17">
        <v>6315964101</v>
      </c>
      <c r="C66" s="17" t="s">
        <v>22</v>
      </c>
      <c r="D66" s="17" t="s">
        <v>1470</v>
      </c>
      <c r="E66" s="17" t="s">
        <v>1471</v>
      </c>
      <c r="F66" s="17" t="s">
        <v>1472</v>
      </c>
      <c r="G66" s="17" t="s">
        <v>1334</v>
      </c>
      <c r="H66" s="17" t="s">
        <v>1449</v>
      </c>
      <c r="I66" s="17" t="s">
        <v>3708</v>
      </c>
      <c r="J66" s="16"/>
      <c r="K66" s="16" t="str">
        <f t="shared" si="0"/>
        <v>ไม่ผ่าน</v>
      </c>
      <c r="L66" s="16" t="s">
        <v>28</v>
      </c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" customHeight="1">
      <c r="A67" s="16">
        <v>65</v>
      </c>
      <c r="B67" s="17">
        <v>6315964102</v>
      </c>
      <c r="C67" s="17" t="s">
        <v>22</v>
      </c>
      <c r="D67" s="17" t="s">
        <v>1473</v>
      </c>
      <c r="E67" s="17" t="s">
        <v>1474</v>
      </c>
      <c r="F67" s="17" t="s">
        <v>22</v>
      </c>
      <c r="G67" s="17" t="s">
        <v>1334</v>
      </c>
      <c r="H67" s="17" t="s">
        <v>1449</v>
      </c>
      <c r="I67" s="17" t="s">
        <v>3708</v>
      </c>
      <c r="J67" s="16"/>
      <c r="K67" s="16" t="str">
        <f t="shared" si="0"/>
        <v>ไม่ผ่าน</v>
      </c>
      <c r="L67" s="16" t="s">
        <v>28</v>
      </c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" customHeight="1">
      <c r="A68" s="16">
        <v>66</v>
      </c>
      <c r="B68" s="17">
        <v>6315964103</v>
      </c>
      <c r="C68" s="17" t="s">
        <v>22</v>
      </c>
      <c r="D68" s="17" t="s">
        <v>1475</v>
      </c>
      <c r="E68" s="17" t="s">
        <v>1476</v>
      </c>
      <c r="F68" s="17" t="s">
        <v>1477</v>
      </c>
      <c r="G68" s="17" t="s">
        <v>1334</v>
      </c>
      <c r="H68" s="17" t="s">
        <v>1449</v>
      </c>
      <c r="I68" s="17" t="s">
        <v>3708</v>
      </c>
      <c r="J68" s="16"/>
      <c r="K68" s="16" t="str">
        <f t="shared" si="0"/>
        <v>ไม่ผ่าน</v>
      </c>
      <c r="L68" s="16" t="s">
        <v>28</v>
      </c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" customHeight="1">
      <c r="A69" s="16">
        <v>67</v>
      </c>
      <c r="B69" s="17">
        <v>6315964104</v>
      </c>
      <c r="C69" s="17" t="s">
        <v>22</v>
      </c>
      <c r="D69" s="17" t="s">
        <v>1478</v>
      </c>
      <c r="E69" s="17" t="s">
        <v>1479</v>
      </c>
      <c r="F69" s="17" t="s">
        <v>1480</v>
      </c>
      <c r="G69" s="17" t="s">
        <v>1334</v>
      </c>
      <c r="H69" s="17" t="s">
        <v>1449</v>
      </c>
      <c r="I69" s="17" t="s">
        <v>3708</v>
      </c>
      <c r="J69" s="16"/>
      <c r="K69" s="16" t="str">
        <f t="shared" si="0"/>
        <v>ไม่ผ่าน</v>
      </c>
      <c r="L69" s="16" t="s">
        <v>28</v>
      </c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" customHeight="1">
      <c r="A70" s="16">
        <v>68</v>
      </c>
      <c r="B70" s="17">
        <v>6315964106</v>
      </c>
      <c r="C70" s="17" t="s">
        <v>22</v>
      </c>
      <c r="D70" s="17" t="s">
        <v>1481</v>
      </c>
      <c r="E70" s="17" t="s">
        <v>1482</v>
      </c>
      <c r="F70" s="17" t="s">
        <v>1483</v>
      </c>
      <c r="G70" s="17" t="s">
        <v>1334</v>
      </c>
      <c r="H70" s="17" t="s">
        <v>1449</v>
      </c>
      <c r="I70" s="17" t="s">
        <v>3708</v>
      </c>
      <c r="J70" s="16"/>
      <c r="K70" s="16" t="str">
        <f t="shared" si="0"/>
        <v>ไม่ผ่าน</v>
      </c>
      <c r="L70" s="16" t="s">
        <v>28</v>
      </c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" customHeight="1">
      <c r="A71" s="16">
        <v>69</v>
      </c>
      <c r="B71" s="17">
        <v>6315964107</v>
      </c>
      <c r="C71" s="17" t="s">
        <v>22</v>
      </c>
      <c r="D71" s="17" t="s">
        <v>1484</v>
      </c>
      <c r="E71" s="17" t="s">
        <v>1485</v>
      </c>
      <c r="F71" s="17" t="s">
        <v>952</v>
      </c>
      <c r="G71" s="17" t="s">
        <v>1334</v>
      </c>
      <c r="H71" s="17" t="s">
        <v>1449</v>
      </c>
      <c r="I71" s="17" t="s">
        <v>3708</v>
      </c>
      <c r="J71" s="16"/>
      <c r="K71" s="16" t="str">
        <f t="shared" si="0"/>
        <v>ไม่ผ่าน</v>
      </c>
      <c r="L71" s="16" t="s">
        <v>28</v>
      </c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" customHeight="1">
      <c r="A72" s="16">
        <v>70</v>
      </c>
      <c r="B72" s="17">
        <v>6315964110</v>
      </c>
      <c r="C72" s="17" t="s">
        <v>22</v>
      </c>
      <c r="D72" s="17" t="s">
        <v>585</v>
      </c>
      <c r="E72" s="17" t="s">
        <v>668</v>
      </c>
      <c r="F72" s="17" t="s">
        <v>1486</v>
      </c>
      <c r="G72" s="17" t="s">
        <v>1334</v>
      </c>
      <c r="H72" s="17" t="s">
        <v>1449</v>
      </c>
      <c r="I72" s="17" t="s">
        <v>3708</v>
      </c>
      <c r="J72" s="16"/>
      <c r="K72" s="16" t="str">
        <f t="shared" si="0"/>
        <v>ไม่ผ่าน</v>
      </c>
      <c r="L72" s="16" t="s">
        <v>28</v>
      </c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" customHeight="1">
      <c r="A73" s="16">
        <v>71</v>
      </c>
      <c r="B73" s="17">
        <v>6315964111</v>
      </c>
      <c r="C73" s="17" t="s">
        <v>22</v>
      </c>
      <c r="D73" s="17" t="s">
        <v>1487</v>
      </c>
      <c r="E73" s="17" t="s">
        <v>1488</v>
      </c>
      <c r="F73" s="17" t="s">
        <v>1489</v>
      </c>
      <c r="G73" s="17" t="s">
        <v>1334</v>
      </c>
      <c r="H73" s="17" t="s">
        <v>1449</v>
      </c>
      <c r="I73" s="17" t="s">
        <v>3708</v>
      </c>
      <c r="J73" s="16"/>
      <c r="K73" s="16" t="str">
        <f t="shared" si="0"/>
        <v>ไม่ผ่าน</v>
      </c>
      <c r="L73" s="16" t="s">
        <v>28</v>
      </c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" customHeight="1">
      <c r="A74" s="16">
        <v>72</v>
      </c>
      <c r="B74" s="17">
        <v>6315964112</v>
      </c>
      <c r="C74" s="17" t="s">
        <v>22</v>
      </c>
      <c r="D74" s="17" t="s">
        <v>1490</v>
      </c>
      <c r="E74" s="17" t="s">
        <v>1491</v>
      </c>
      <c r="F74" s="17" t="s">
        <v>1492</v>
      </c>
      <c r="G74" s="17" t="s">
        <v>1334</v>
      </c>
      <c r="H74" s="17" t="s">
        <v>1449</v>
      </c>
      <c r="I74" s="17" t="s">
        <v>3708</v>
      </c>
      <c r="J74" s="16"/>
      <c r="K74" s="16" t="str">
        <f t="shared" si="0"/>
        <v>ไม่ผ่าน</v>
      </c>
      <c r="L74" s="16" t="s">
        <v>28</v>
      </c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" customHeight="1">
      <c r="A75" s="16">
        <v>73</v>
      </c>
      <c r="B75" s="17">
        <v>6315964113</v>
      </c>
      <c r="C75" s="17" t="s">
        <v>22</v>
      </c>
      <c r="D75" s="17" t="s">
        <v>1493</v>
      </c>
      <c r="E75" s="17" t="s">
        <v>1494</v>
      </c>
      <c r="F75" s="17" t="s">
        <v>1290</v>
      </c>
      <c r="G75" s="17" t="s">
        <v>1334</v>
      </c>
      <c r="H75" s="17" t="s">
        <v>1449</v>
      </c>
      <c r="I75" s="17" t="s">
        <v>3708</v>
      </c>
      <c r="J75" s="16"/>
      <c r="K75" s="16" t="str">
        <f t="shared" si="0"/>
        <v>ไม่ผ่าน</v>
      </c>
      <c r="L75" s="16" t="s">
        <v>28</v>
      </c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" customHeight="1">
      <c r="A76" s="16">
        <v>74</v>
      </c>
      <c r="B76" s="17">
        <v>6315964117</v>
      </c>
      <c r="C76" s="17" t="s">
        <v>29</v>
      </c>
      <c r="D76" s="17" t="s">
        <v>1495</v>
      </c>
      <c r="E76" s="17" t="s">
        <v>1496</v>
      </c>
      <c r="F76" s="17" t="s">
        <v>924</v>
      </c>
      <c r="G76" s="17" t="s">
        <v>1334</v>
      </c>
      <c r="H76" s="17" t="s">
        <v>1449</v>
      </c>
      <c r="I76" s="17" t="s">
        <v>3708</v>
      </c>
      <c r="J76" s="16"/>
      <c r="K76" s="16" t="str">
        <f t="shared" si="0"/>
        <v>ไม่ผ่าน</v>
      </c>
      <c r="L76" s="16" t="s">
        <v>28</v>
      </c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" customHeight="1">
      <c r="A77" s="16">
        <v>75</v>
      </c>
      <c r="B77" s="17">
        <v>6315964118</v>
      </c>
      <c r="C77" s="17" t="s">
        <v>29</v>
      </c>
      <c r="D77" s="17" t="s">
        <v>782</v>
      </c>
      <c r="E77" s="17" t="s">
        <v>1497</v>
      </c>
      <c r="F77" s="17" t="s">
        <v>127</v>
      </c>
      <c r="G77" s="17" t="s">
        <v>1334</v>
      </c>
      <c r="H77" s="17" t="s">
        <v>1449</v>
      </c>
      <c r="I77" s="17" t="s">
        <v>3708</v>
      </c>
      <c r="J77" s="16"/>
      <c r="K77" s="16" t="str">
        <f t="shared" si="0"/>
        <v>ไม่ผ่าน</v>
      </c>
      <c r="L77" s="16" t="s">
        <v>28</v>
      </c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" customHeight="1">
      <c r="A78" s="16">
        <v>76</v>
      </c>
      <c r="B78" s="17">
        <v>6315964119</v>
      </c>
      <c r="C78" s="17" t="s">
        <v>29</v>
      </c>
      <c r="D78" s="17" t="s">
        <v>295</v>
      </c>
      <c r="E78" s="17" t="s">
        <v>106</v>
      </c>
      <c r="F78" s="17" t="s">
        <v>421</v>
      </c>
      <c r="G78" s="17" t="s">
        <v>1334</v>
      </c>
      <c r="H78" s="17" t="s">
        <v>1449</v>
      </c>
      <c r="I78" s="17" t="s">
        <v>3708</v>
      </c>
      <c r="J78" s="16"/>
      <c r="K78" s="16" t="str">
        <f t="shared" si="0"/>
        <v>ไม่ผ่าน</v>
      </c>
      <c r="L78" s="16" t="s">
        <v>28</v>
      </c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" customHeight="1">
      <c r="A79" s="16">
        <v>77</v>
      </c>
      <c r="B79" s="17">
        <v>6315964127</v>
      </c>
      <c r="C79" s="17" t="s">
        <v>22</v>
      </c>
      <c r="D79" s="17" t="s">
        <v>1498</v>
      </c>
      <c r="E79" s="17" t="s">
        <v>1499</v>
      </c>
      <c r="F79" s="17" t="s">
        <v>850</v>
      </c>
      <c r="G79" s="17" t="s">
        <v>1334</v>
      </c>
      <c r="H79" s="17" t="s">
        <v>1449</v>
      </c>
      <c r="I79" s="17" t="s">
        <v>3708</v>
      </c>
      <c r="J79" s="16"/>
      <c r="K79" s="16" t="str">
        <f t="shared" si="0"/>
        <v>ไม่ผ่าน</v>
      </c>
      <c r="L79" s="16" t="s">
        <v>28</v>
      </c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" customHeight="1">
      <c r="A80" s="16">
        <v>78</v>
      </c>
      <c r="B80" s="17">
        <v>6612732108</v>
      </c>
      <c r="C80" s="17" t="s">
        <v>22</v>
      </c>
      <c r="D80" s="17" t="s">
        <v>1500</v>
      </c>
      <c r="E80" s="17" t="s">
        <v>1501</v>
      </c>
      <c r="F80" s="17" t="s">
        <v>1046</v>
      </c>
      <c r="G80" s="17" t="s">
        <v>1334</v>
      </c>
      <c r="H80" s="17" t="s">
        <v>1502</v>
      </c>
      <c r="I80" s="17" t="s">
        <v>3709</v>
      </c>
      <c r="J80" s="16"/>
      <c r="K80" s="16" t="str">
        <f t="shared" si="0"/>
        <v>ไม่ผ่าน</v>
      </c>
      <c r="L80" s="16" t="s">
        <v>28</v>
      </c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" customHeight="1">
      <c r="A81" s="16">
        <v>79</v>
      </c>
      <c r="B81" s="17">
        <v>6612732118</v>
      </c>
      <c r="C81" s="17" t="s">
        <v>22</v>
      </c>
      <c r="D81" s="17" t="s">
        <v>1503</v>
      </c>
      <c r="E81" s="17" t="s">
        <v>1504</v>
      </c>
      <c r="F81" s="17" t="s">
        <v>616</v>
      </c>
      <c r="G81" s="17" t="s">
        <v>1334</v>
      </c>
      <c r="H81" s="17" t="s">
        <v>1502</v>
      </c>
      <c r="I81" s="17" t="s">
        <v>3709</v>
      </c>
      <c r="J81" s="16"/>
      <c r="K81" s="16" t="str">
        <f t="shared" si="0"/>
        <v>ไม่ผ่าน</v>
      </c>
      <c r="L81" s="16" t="s">
        <v>28</v>
      </c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" customHeight="1">
      <c r="A82" s="16">
        <v>80</v>
      </c>
      <c r="B82" s="17">
        <v>6612732121</v>
      </c>
      <c r="C82" s="17" t="s">
        <v>22</v>
      </c>
      <c r="D82" s="17" t="s">
        <v>1505</v>
      </c>
      <c r="E82" s="17" t="s">
        <v>1506</v>
      </c>
      <c r="F82" s="17" t="s">
        <v>616</v>
      </c>
      <c r="G82" s="17" t="s">
        <v>1334</v>
      </c>
      <c r="H82" s="17" t="s">
        <v>1502</v>
      </c>
      <c r="I82" s="17" t="s">
        <v>3709</v>
      </c>
      <c r="J82" s="16"/>
      <c r="K82" s="16" t="str">
        <f t="shared" si="0"/>
        <v>ไม่ผ่าน</v>
      </c>
      <c r="L82" s="16" t="s">
        <v>28</v>
      </c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" customHeight="1">
      <c r="A83" s="16">
        <v>81</v>
      </c>
      <c r="B83" s="17">
        <v>6512732101</v>
      </c>
      <c r="C83" s="17" t="s">
        <v>22</v>
      </c>
      <c r="D83" s="17" t="s">
        <v>429</v>
      </c>
      <c r="E83" s="17" t="s">
        <v>1507</v>
      </c>
      <c r="F83" s="17" t="s">
        <v>431</v>
      </c>
      <c r="G83" s="17" t="s">
        <v>1334</v>
      </c>
      <c r="H83" s="17" t="s">
        <v>1502</v>
      </c>
      <c r="I83" s="17" t="s">
        <v>3710</v>
      </c>
      <c r="J83" s="16"/>
      <c r="K83" s="16" t="str">
        <f t="shared" si="0"/>
        <v>ไม่ผ่าน</v>
      </c>
      <c r="L83" s="16" t="s">
        <v>28</v>
      </c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" customHeight="1">
      <c r="A84" s="16">
        <v>82</v>
      </c>
      <c r="B84" s="17">
        <v>6512732102</v>
      </c>
      <c r="C84" s="17" t="s">
        <v>22</v>
      </c>
      <c r="D84" s="17" t="s">
        <v>1508</v>
      </c>
      <c r="E84" s="17" t="s">
        <v>1509</v>
      </c>
      <c r="F84" s="17" t="s">
        <v>383</v>
      </c>
      <c r="G84" s="17" t="s">
        <v>1334</v>
      </c>
      <c r="H84" s="17" t="s">
        <v>1502</v>
      </c>
      <c r="I84" s="17" t="s">
        <v>3710</v>
      </c>
      <c r="J84" s="16"/>
      <c r="K84" s="16" t="str">
        <f t="shared" si="0"/>
        <v>ไม่ผ่าน</v>
      </c>
      <c r="L84" s="16" t="s">
        <v>28</v>
      </c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" customHeight="1">
      <c r="A85" s="16">
        <v>83</v>
      </c>
      <c r="B85" s="17">
        <v>6512732111</v>
      </c>
      <c r="C85" s="17" t="s">
        <v>22</v>
      </c>
      <c r="D85" s="17" t="s">
        <v>280</v>
      </c>
      <c r="E85" s="17" t="s">
        <v>1510</v>
      </c>
      <c r="F85" s="17" t="s">
        <v>1511</v>
      </c>
      <c r="G85" s="17" t="s">
        <v>1334</v>
      </c>
      <c r="H85" s="17" t="s">
        <v>1502</v>
      </c>
      <c r="I85" s="17" t="s">
        <v>3710</v>
      </c>
      <c r="J85" s="16"/>
      <c r="K85" s="16" t="str">
        <f t="shared" si="0"/>
        <v>ไม่ผ่าน</v>
      </c>
      <c r="L85" s="16" t="s">
        <v>28</v>
      </c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" customHeight="1">
      <c r="A86" s="16">
        <v>84</v>
      </c>
      <c r="B86" s="17">
        <v>6610048243</v>
      </c>
      <c r="C86" s="17" t="s">
        <v>22</v>
      </c>
      <c r="D86" s="17" t="s">
        <v>1512</v>
      </c>
      <c r="E86" s="17" t="s">
        <v>1513</v>
      </c>
      <c r="F86" s="17" t="s">
        <v>1514</v>
      </c>
      <c r="G86" s="17" t="s">
        <v>1334</v>
      </c>
      <c r="H86" s="17" t="s">
        <v>1515</v>
      </c>
      <c r="I86" s="17" t="s">
        <v>3709</v>
      </c>
      <c r="J86" s="16"/>
      <c r="K86" s="16" t="str">
        <f t="shared" si="0"/>
        <v>ไม่ผ่าน</v>
      </c>
      <c r="L86" s="16" t="s">
        <v>28</v>
      </c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" customHeight="1">
      <c r="A87" s="16">
        <v>85</v>
      </c>
      <c r="B87" s="17">
        <v>6410048102</v>
      </c>
      <c r="C87" s="17" t="s">
        <v>22</v>
      </c>
      <c r="D87" s="17" t="s">
        <v>1516</v>
      </c>
      <c r="E87" s="17" t="s">
        <v>1517</v>
      </c>
      <c r="F87" s="17" t="s">
        <v>401</v>
      </c>
      <c r="G87" s="17" t="s">
        <v>1334</v>
      </c>
      <c r="H87" s="17" t="s">
        <v>1515</v>
      </c>
      <c r="I87" s="17" t="s">
        <v>3707</v>
      </c>
      <c r="J87" s="16"/>
      <c r="K87" s="16" t="str">
        <f t="shared" si="0"/>
        <v>ไม่ผ่าน</v>
      </c>
      <c r="L87" s="16" t="s">
        <v>28</v>
      </c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" customHeight="1">
      <c r="A88" s="16">
        <v>86</v>
      </c>
      <c r="B88" s="17">
        <v>6410048103</v>
      </c>
      <c r="C88" s="17" t="s">
        <v>22</v>
      </c>
      <c r="D88" s="17" t="s">
        <v>1518</v>
      </c>
      <c r="E88" s="17" t="s">
        <v>1519</v>
      </c>
      <c r="F88" s="17" t="s">
        <v>1520</v>
      </c>
      <c r="G88" s="17" t="s">
        <v>1334</v>
      </c>
      <c r="H88" s="17" t="s">
        <v>1515</v>
      </c>
      <c r="I88" s="17" t="s">
        <v>3707</v>
      </c>
      <c r="J88" s="16"/>
      <c r="K88" s="16" t="str">
        <f t="shared" si="0"/>
        <v>ไม่ผ่าน</v>
      </c>
      <c r="L88" s="16" t="s">
        <v>28</v>
      </c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" customHeight="1">
      <c r="A89" s="16">
        <v>87</v>
      </c>
      <c r="B89" s="17">
        <v>6410048104</v>
      </c>
      <c r="C89" s="17" t="s">
        <v>22</v>
      </c>
      <c r="D89" s="17" t="s">
        <v>1521</v>
      </c>
      <c r="E89" s="17" t="s">
        <v>1522</v>
      </c>
      <c r="F89" s="17" t="s">
        <v>1432</v>
      </c>
      <c r="G89" s="17" t="s">
        <v>1334</v>
      </c>
      <c r="H89" s="17" t="s">
        <v>1515</v>
      </c>
      <c r="I89" s="17" t="s">
        <v>3707</v>
      </c>
      <c r="J89" s="16"/>
      <c r="K89" s="16" t="str">
        <f t="shared" si="0"/>
        <v>ไม่ผ่าน</v>
      </c>
      <c r="L89" s="16" t="s">
        <v>28</v>
      </c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" customHeight="1">
      <c r="A90" s="16">
        <v>88</v>
      </c>
      <c r="B90" s="17">
        <v>6410048108</v>
      </c>
      <c r="C90" s="17" t="s">
        <v>22</v>
      </c>
      <c r="D90" s="17" t="s">
        <v>1523</v>
      </c>
      <c r="E90" s="17" t="s">
        <v>1524</v>
      </c>
      <c r="F90" s="17" t="s">
        <v>1525</v>
      </c>
      <c r="G90" s="17" t="s">
        <v>1334</v>
      </c>
      <c r="H90" s="17" t="s">
        <v>1515</v>
      </c>
      <c r="I90" s="17" t="s">
        <v>3707</v>
      </c>
      <c r="J90" s="16"/>
      <c r="K90" s="16" t="str">
        <f t="shared" si="0"/>
        <v>ไม่ผ่าน</v>
      </c>
      <c r="L90" s="16" t="s">
        <v>28</v>
      </c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" customHeight="1">
      <c r="A91" s="16">
        <v>89</v>
      </c>
      <c r="B91" s="17">
        <v>6410048111</v>
      </c>
      <c r="C91" s="17" t="s">
        <v>22</v>
      </c>
      <c r="D91" s="17" t="s">
        <v>1526</v>
      </c>
      <c r="E91" s="17" t="s">
        <v>1527</v>
      </c>
      <c r="F91" s="17" t="s">
        <v>1528</v>
      </c>
      <c r="G91" s="17" t="s">
        <v>1334</v>
      </c>
      <c r="H91" s="17" t="s">
        <v>1515</v>
      </c>
      <c r="I91" s="17" t="s">
        <v>3707</v>
      </c>
      <c r="J91" s="16"/>
      <c r="K91" s="16" t="str">
        <f t="shared" si="0"/>
        <v>ไม่ผ่าน</v>
      </c>
      <c r="L91" s="16" t="s">
        <v>28</v>
      </c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" customHeight="1">
      <c r="A92" s="16">
        <v>90</v>
      </c>
      <c r="B92" s="17">
        <v>6410048116</v>
      </c>
      <c r="C92" s="17" t="s">
        <v>22</v>
      </c>
      <c r="D92" s="17" t="s">
        <v>22</v>
      </c>
      <c r="E92" s="17" t="s">
        <v>1529</v>
      </c>
      <c r="F92" s="17" t="s">
        <v>1530</v>
      </c>
      <c r="G92" s="17" t="s">
        <v>1334</v>
      </c>
      <c r="H92" s="17" t="s">
        <v>1515</v>
      </c>
      <c r="I92" s="17" t="s">
        <v>3707</v>
      </c>
      <c r="J92" s="16"/>
      <c r="K92" s="16" t="str">
        <f t="shared" si="0"/>
        <v>ไม่ผ่าน</v>
      </c>
      <c r="L92" s="16" t="s">
        <v>28</v>
      </c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" customHeight="1">
      <c r="A93" s="16">
        <v>91</v>
      </c>
      <c r="B93" s="17">
        <v>6410048122</v>
      </c>
      <c r="C93" s="17" t="s">
        <v>22</v>
      </c>
      <c r="D93" s="17" t="s">
        <v>1531</v>
      </c>
      <c r="E93" s="17" t="s">
        <v>1532</v>
      </c>
      <c r="F93" s="17" t="s">
        <v>616</v>
      </c>
      <c r="G93" s="17" t="s">
        <v>1334</v>
      </c>
      <c r="H93" s="17" t="s">
        <v>1515</v>
      </c>
      <c r="I93" s="17" t="s">
        <v>3707</v>
      </c>
      <c r="J93" s="16"/>
      <c r="K93" s="16" t="str">
        <f t="shared" si="0"/>
        <v>ไม่ผ่าน</v>
      </c>
      <c r="L93" s="16" t="s">
        <v>28</v>
      </c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" customHeight="1">
      <c r="A94" s="16">
        <v>92</v>
      </c>
      <c r="B94" s="17">
        <v>6410048127</v>
      </c>
      <c r="C94" s="17" t="s">
        <v>22</v>
      </c>
      <c r="D94" s="17" t="s">
        <v>1533</v>
      </c>
      <c r="E94" s="17" t="s">
        <v>1534</v>
      </c>
      <c r="F94" s="17" t="s">
        <v>1342</v>
      </c>
      <c r="G94" s="17" t="s">
        <v>1334</v>
      </c>
      <c r="H94" s="17" t="s">
        <v>1515</v>
      </c>
      <c r="I94" s="17" t="s">
        <v>3707</v>
      </c>
      <c r="J94" s="16"/>
      <c r="K94" s="16" t="str">
        <f t="shared" si="0"/>
        <v>ไม่ผ่าน</v>
      </c>
      <c r="L94" s="16" t="s">
        <v>28</v>
      </c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" customHeight="1">
      <c r="A95" s="16">
        <v>93</v>
      </c>
      <c r="B95" s="17">
        <v>6410048128</v>
      </c>
      <c r="C95" s="17" t="s">
        <v>22</v>
      </c>
      <c r="D95" s="17" t="s">
        <v>1535</v>
      </c>
      <c r="E95" s="17" t="s">
        <v>1536</v>
      </c>
      <c r="F95" s="17" t="s">
        <v>704</v>
      </c>
      <c r="G95" s="17" t="s">
        <v>1334</v>
      </c>
      <c r="H95" s="17" t="s">
        <v>1515</v>
      </c>
      <c r="I95" s="17" t="s">
        <v>3707</v>
      </c>
      <c r="J95" s="16"/>
      <c r="K95" s="16" t="str">
        <f t="shared" si="0"/>
        <v>ไม่ผ่าน</v>
      </c>
      <c r="L95" s="16" t="s">
        <v>28</v>
      </c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" customHeight="1">
      <c r="A96" s="16">
        <v>94</v>
      </c>
      <c r="B96" s="17">
        <v>6410048131</v>
      </c>
      <c r="C96" s="17" t="s">
        <v>22</v>
      </c>
      <c r="D96" s="17" t="s">
        <v>1537</v>
      </c>
      <c r="E96" s="17" t="s">
        <v>1538</v>
      </c>
      <c r="F96" s="17" t="s">
        <v>1539</v>
      </c>
      <c r="G96" s="17" t="s">
        <v>1334</v>
      </c>
      <c r="H96" s="17" t="s">
        <v>1515</v>
      </c>
      <c r="I96" s="17" t="s">
        <v>3707</v>
      </c>
      <c r="J96" s="16"/>
      <c r="K96" s="16" t="str">
        <f t="shared" si="0"/>
        <v>ไม่ผ่าน</v>
      </c>
      <c r="L96" s="16" t="s">
        <v>28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" customHeight="1">
      <c r="A97" s="16">
        <v>95</v>
      </c>
      <c r="B97" s="17">
        <v>6410048139</v>
      </c>
      <c r="C97" s="17" t="s">
        <v>22</v>
      </c>
      <c r="D97" s="17" t="s">
        <v>1540</v>
      </c>
      <c r="E97" s="17" t="s">
        <v>1541</v>
      </c>
      <c r="F97" s="17" t="s">
        <v>1542</v>
      </c>
      <c r="G97" s="17" t="s">
        <v>1334</v>
      </c>
      <c r="H97" s="17" t="s">
        <v>1515</v>
      </c>
      <c r="I97" s="17" t="s">
        <v>3707</v>
      </c>
      <c r="J97" s="16"/>
      <c r="K97" s="16" t="str">
        <f t="shared" si="0"/>
        <v>ไม่ผ่าน</v>
      </c>
      <c r="L97" s="16" t="s">
        <v>28</v>
      </c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" customHeight="1">
      <c r="A98" s="16">
        <v>96</v>
      </c>
      <c r="B98" s="17">
        <v>6410048141</v>
      </c>
      <c r="C98" s="17" t="s">
        <v>22</v>
      </c>
      <c r="D98" s="17" t="s">
        <v>1543</v>
      </c>
      <c r="E98" s="17" t="s">
        <v>1544</v>
      </c>
      <c r="F98" s="17" t="s">
        <v>1545</v>
      </c>
      <c r="G98" s="17" t="s">
        <v>1334</v>
      </c>
      <c r="H98" s="17" t="s">
        <v>1515</v>
      </c>
      <c r="I98" s="17" t="s">
        <v>3707</v>
      </c>
      <c r="J98" s="16"/>
      <c r="K98" s="16" t="str">
        <f t="shared" si="0"/>
        <v>ไม่ผ่าน</v>
      </c>
      <c r="L98" s="16" t="s">
        <v>28</v>
      </c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" customHeight="1">
      <c r="A99" s="16">
        <v>97</v>
      </c>
      <c r="B99" s="17">
        <v>6410048143</v>
      </c>
      <c r="C99" s="17" t="s">
        <v>22</v>
      </c>
      <c r="D99" s="17" t="s">
        <v>1546</v>
      </c>
      <c r="E99" s="17" t="s">
        <v>1547</v>
      </c>
      <c r="F99" s="17" t="s">
        <v>1548</v>
      </c>
      <c r="G99" s="17" t="s">
        <v>1334</v>
      </c>
      <c r="H99" s="17" t="s">
        <v>1515</v>
      </c>
      <c r="I99" s="17" t="s">
        <v>3707</v>
      </c>
      <c r="J99" s="16"/>
      <c r="K99" s="16" t="str">
        <f t="shared" si="0"/>
        <v>ไม่ผ่าน</v>
      </c>
      <c r="L99" s="16" t="s">
        <v>28</v>
      </c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" customHeight="1">
      <c r="A100" s="16">
        <v>98</v>
      </c>
      <c r="B100" s="17">
        <v>6410048144</v>
      </c>
      <c r="C100" s="17" t="s">
        <v>22</v>
      </c>
      <c r="D100" s="17" t="s">
        <v>1549</v>
      </c>
      <c r="E100" s="17" t="s">
        <v>1550</v>
      </c>
      <c r="F100" s="17" t="s">
        <v>1551</v>
      </c>
      <c r="G100" s="17" t="s">
        <v>1334</v>
      </c>
      <c r="H100" s="17" t="s">
        <v>1515</v>
      </c>
      <c r="I100" s="17" t="s">
        <v>3707</v>
      </c>
      <c r="J100" s="16"/>
      <c r="K100" s="16" t="str">
        <f t="shared" si="0"/>
        <v>ไม่ผ่าน</v>
      </c>
      <c r="L100" s="16" t="s">
        <v>28</v>
      </c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" customHeight="1">
      <c r="A101" s="16">
        <v>99</v>
      </c>
      <c r="B101" s="17">
        <v>6410048152</v>
      </c>
      <c r="C101" s="17" t="s">
        <v>29</v>
      </c>
      <c r="D101" s="17" t="s">
        <v>1552</v>
      </c>
      <c r="E101" s="17" t="s">
        <v>1553</v>
      </c>
      <c r="F101" s="17" t="s">
        <v>1554</v>
      </c>
      <c r="G101" s="17" t="s">
        <v>1334</v>
      </c>
      <c r="H101" s="17" t="s">
        <v>1515</v>
      </c>
      <c r="I101" s="17" t="s">
        <v>3707</v>
      </c>
      <c r="J101" s="16"/>
      <c r="K101" s="16" t="str">
        <f t="shared" si="0"/>
        <v>ไม่ผ่าน</v>
      </c>
      <c r="L101" s="16" t="s">
        <v>28</v>
      </c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" customHeight="1">
      <c r="A102" s="16">
        <v>100</v>
      </c>
      <c r="B102" s="17">
        <v>6410048153</v>
      </c>
      <c r="C102" s="17" t="s">
        <v>29</v>
      </c>
      <c r="D102" s="17" t="s">
        <v>1555</v>
      </c>
      <c r="E102" s="17" t="s">
        <v>310</v>
      </c>
      <c r="F102" s="17" t="s">
        <v>1556</v>
      </c>
      <c r="G102" s="17" t="s">
        <v>1334</v>
      </c>
      <c r="H102" s="17" t="s">
        <v>1515</v>
      </c>
      <c r="I102" s="17" t="s">
        <v>3707</v>
      </c>
      <c r="J102" s="16"/>
      <c r="K102" s="16" t="str">
        <f t="shared" si="0"/>
        <v>ไม่ผ่าน</v>
      </c>
      <c r="L102" s="16" t="s">
        <v>28</v>
      </c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" customHeight="1">
      <c r="A103" s="16">
        <v>101</v>
      </c>
      <c r="B103" s="17">
        <v>6410048154</v>
      </c>
      <c r="C103" s="17" t="s">
        <v>29</v>
      </c>
      <c r="D103" s="17" t="s">
        <v>1557</v>
      </c>
      <c r="E103" s="17" t="s">
        <v>1558</v>
      </c>
      <c r="F103" s="17" t="s">
        <v>946</v>
      </c>
      <c r="G103" s="17" t="s">
        <v>1334</v>
      </c>
      <c r="H103" s="17" t="s">
        <v>1515</v>
      </c>
      <c r="I103" s="17" t="s">
        <v>3707</v>
      </c>
      <c r="J103" s="16"/>
      <c r="K103" s="16" t="str">
        <f t="shared" si="0"/>
        <v>ไม่ผ่าน</v>
      </c>
      <c r="L103" s="16" t="s">
        <v>28</v>
      </c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" customHeight="1">
      <c r="A104" s="16">
        <v>102</v>
      </c>
      <c r="B104" s="17">
        <v>6410048156</v>
      </c>
      <c r="C104" s="17" t="s">
        <v>29</v>
      </c>
      <c r="D104" s="17" t="s">
        <v>1559</v>
      </c>
      <c r="E104" s="17" t="s">
        <v>1560</v>
      </c>
      <c r="F104" s="17" t="s">
        <v>1561</v>
      </c>
      <c r="G104" s="17" t="s">
        <v>1334</v>
      </c>
      <c r="H104" s="17" t="s">
        <v>1515</v>
      </c>
      <c r="I104" s="17" t="s">
        <v>3707</v>
      </c>
      <c r="J104" s="16"/>
      <c r="K104" s="16" t="str">
        <f t="shared" si="0"/>
        <v>ไม่ผ่าน</v>
      </c>
      <c r="L104" s="16" t="s">
        <v>28</v>
      </c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" customHeight="1">
      <c r="A105" s="16">
        <v>103</v>
      </c>
      <c r="B105" s="17">
        <v>6410048157</v>
      </c>
      <c r="C105" s="17" t="s">
        <v>29</v>
      </c>
      <c r="D105" s="17" t="s">
        <v>1562</v>
      </c>
      <c r="E105" s="17" t="s">
        <v>803</v>
      </c>
      <c r="F105" s="17" t="s">
        <v>1397</v>
      </c>
      <c r="G105" s="17" t="s">
        <v>1334</v>
      </c>
      <c r="H105" s="17" t="s">
        <v>1515</v>
      </c>
      <c r="I105" s="17" t="s">
        <v>3707</v>
      </c>
      <c r="J105" s="16"/>
      <c r="K105" s="16" t="str">
        <f t="shared" si="0"/>
        <v>ไม่ผ่าน</v>
      </c>
      <c r="L105" s="16" t="s">
        <v>28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" customHeight="1">
      <c r="A106" s="16">
        <v>104</v>
      </c>
      <c r="B106" s="17">
        <v>6410048158</v>
      </c>
      <c r="C106" s="17" t="s">
        <v>29</v>
      </c>
      <c r="D106" s="17" t="s">
        <v>1563</v>
      </c>
      <c r="E106" s="17" t="s">
        <v>1564</v>
      </c>
      <c r="F106" s="17" t="s">
        <v>391</v>
      </c>
      <c r="G106" s="17" t="s">
        <v>1334</v>
      </c>
      <c r="H106" s="17" t="s">
        <v>1515</v>
      </c>
      <c r="I106" s="17" t="s">
        <v>3707</v>
      </c>
      <c r="J106" s="16"/>
      <c r="K106" s="16" t="str">
        <f t="shared" si="0"/>
        <v>ไม่ผ่าน</v>
      </c>
      <c r="L106" s="16" t="s">
        <v>28</v>
      </c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" customHeight="1">
      <c r="A107" s="16">
        <v>105</v>
      </c>
      <c r="B107" s="17">
        <v>6410048159</v>
      </c>
      <c r="C107" s="17" t="s">
        <v>29</v>
      </c>
      <c r="D107" s="17" t="s">
        <v>1565</v>
      </c>
      <c r="E107" s="17" t="s">
        <v>1566</v>
      </c>
      <c r="F107" s="17" t="s">
        <v>1567</v>
      </c>
      <c r="G107" s="17" t="s">
        <v>1334</v>
      </c>
      <c r="H107" s="17" t="s">
        <v>1515</v>
      </c>
      <c r="I107" s="17" t="s">
        <v>3707</v>
      </c>
      <c r="J107" s="16"/>
      <c r="K107" s="16" t="str">
        <f t="shared" si="0"/>
        <v>ไม่ผ่าน</v>
      </c>
      <c r="L107" s="16" t="s">
        <v>28</v>
      </c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" customHeight="1">
      <c r="A108" s="16">
        <v>106</v>
      </c>
      <c r="B108" s="17">
        <v>6410048160</v>
      </c>
      <c r="C108" s="17" t="s">
        <v>29</v>
      </c>
      <c r="D108" s="17" t="s">
        <v>1568</v>
      </c>
      <c r="E108" s="17" t="s">
        <v>1569</v>
      </c>
      <c r="F108" s="17" t="s">
        <v>391</v>
      </c>
      <c r="G108" s="17" t="s">
        <v>1334</v>
      </c>
      <c r="H108" s="17" t="s">
        <v>1515</v>
      </c>
      <c r="I108" s="17" t="s">
        <v>3707</v>
      </c>
      <c r="J108" s="16"/>
      <c r="K108" s="16" t="str">
        <f t="shared" si="0"/>
        <v>ไม่ผ่าน</v>
      </c>
      <c r="L108" s="16" t="s">
        <v>28</v>
      </c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" customHeight="1">
      <c r="A109" s="16">
        <v>107</v>
      </c>
      <c r="B109" s="17">
        <v>6410048161</v>
      </c>
      <c r="C109" s="17" t="s">
        <v>29</v>
      </c>
      <c r="D109" s="17" t="s">
        <v>84</v>
      </c>
      <c r="E109" s="17" t="s">
        <v>1570</v>
      </c>
      <c r="F109" s="17" t="s">
        <v>1571</v>
      </c>
      <c r="G109" s="17" t="s">
        <v>1334</v>
      </c>
      <c r="H109" s="17" t="s">
        <v>1515</v>
      </c>
      <c r="I109" s="17" t="s">
        <v>3707</v>
      </c>
      <c r="J109" s="16"/>
      <c r="K109" s="16" t="str">
        <f t="shared" si="0"/>
        <v>ไม่ผ่าน</v>
      </c>
      <c r="L109" s="16" t="s">
        <v>28</v>
      </c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" customHeight="1">
      <c r="A110" s="16">
        <v>108</v>
      </c>
      <c r="B110" s="17">
        <v>6410048162</v>
      </c>
      <c r="C110" s="17" t="s">
        <v>29</v>
      </c>
      <c r="D110" s="17" t="s">
        <v>1265</v>
      </c>
      <c r="E110" s="17" t="s">
        <v>1572</v>
      </c>
      <c r="F110" s="17" t="s">
        <v>1252</v>
      </c>
      <c r="G110" s="17" t="s">
        <v>1334</v>
      </c>
      <c r="H110" s="17" t="s">
        <v>1515</v>
      </c>
      <c r="I110" s="17" t="s">
        <v>3707</v>
      </c>
      <c r="J110" s="16"/>
      <c r="K110" s="16" t="str">
        <f t="shared" si="0"/>
        <v>ไม่ผ่าน</v>
      </c>
      <c r="L110" s="16" t="s">
        <v>28</v>
      </c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" customHeight="1">
      <c r="A111" s="16">
        <v>109</v>
      </c>
      <c r="B111" s="17">
        <v>6410048201</v>
      </c>
      <c r="C111" s="17" t="s">
        <v>22</v>
      </c>
      <c r="D111" s="17" t="s">
        <v>481</v>
      </c>
      <c r="E111" s="17" t="s">
        <v>1573</v>
      </c>
      <c r="F111" s="17" t="s">
        <v>1574</v>
      </c>
      <c r="G111" s="17" t="s">
        <v>1334</v>
      </c>
      <c r="H111" s="17" t="s">
        <v>1515</v>
      </c>
      <c r="I111" s="17" t="s">
        <v>3707</v>
      </c>
      <c r="J111" s="16"/>
      <c r="K111" s="16" t="str">
        <f t="shared" si="0"/>
        <v>ไม่ผ่าน</v>
      </c>
      <c r="L111" s="16" t="s">
        <v>28</v>
      </c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" customHeight="1">
      <c r="A112" s="16">
        <v>110</v>
      </c>
      <c r="B112" s="17">
        <v>6410048207</v>
      </c>
      <c r="C112" s="17" t="s">
        <v>22</v>
      </c>
      <c r="D112" s="17" t="s">
        <v>1575</v>
      </c>
      <c r="E112" s="17" t="s">
        <v>1576</v>
      </c>
      <c r="F112" s="17" t="s">
        <v>1577</v>
      </c>
      <c r="G112" s="17" t="s">
        <v>1334</v>
      </c>
      <c r="H112" s="17" t="s">
        <v>1515</v>
      </c>
      <c r="I112" s="17" t="s">
        <v>3707</v>
      </c>
      <c r="J112" s="16"/>
      <c r="K112" s="16" t="str">
        <f t="shared" si="0"/>
        <v>ไม่ผ่าน</v>
      </c>
      <c r="L112" s="16" t="s">
        <v>28</v>
      </c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" customHeight="1">
      <c r="A113" s="16">
        <v>111</v>
      </c>
      <c r="B113" s="17">
        <v>6410048223</v>
      </c>
      <c r="C113" s="17" t="s">
        <v>22</v>
      </c>
      <c r="D113" s="17" t="s">
        <v>1226</v>
      </c>
      <c r="E113" s="17" t="s">
        <v>1578</v>
      </c>
      <c r="F113" s="17" t="s">
        <v>1579</v>
      </c>
      <c r="G113" s="17" t="s">
        <v>1334</v>
      </c>
      <c r="H113" s="17" t="s">
        <v>1515</v>
      </c>
      <c r="I113" s="17" t="s">
        <v>3707</v>
      </c>
      <c r="J113" s="16"/>
      <c r="K113" s="16" t="str">
        <f t="shared" si="0"/>
        <v>ไม่ผ่าน</v>
      </c>
      <c r="L113" s="16" t="s">
        <v>28</v>
      </c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" customHeight="1">
      <c r="A114" s="16">
        <v>112</v>
      </c>
      <c r="B114" s="17">
        <v>6410048229</v>
      </c>
      <c r="C114" s="17" t="s">
        <v>22</v>
      </c>
      <c r="D114" s="17" t="s">
        <v>1580</v>
      </c>
      <c r="E114" s="17" t="s">
        <v>1581</v>
      </c>
      <c r="F114" s="17" t="s">
        <v>1582</v>
      </c>
      <c r="G114" s="17" t="s">
        <v>1334</v>
      </c>
      <c r="H114" s="17" t="s">
        <v>1515</v>
      </c>
      <c r="I114" s="17" t="s">
        <v>3707</v>
      </c>
      <c r="J114" s="16"/>
      <c r="K114" s="16" t="str">
        <f t="shared" si="0"/>
        <v>ไม่ผ่าน</v>
      </c>
      <c r="L114" s="16" t="s">
        <v>28</v>
      </c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" customHeight="1">
      <c r="A115" s="16">
        <v>113</v>
      </c>
      <c r="B115" s="17">
        <v>6410048235</v>
      </c>
      <c r="C115" s="17" t="s">
        <v>22</v>
      </c>
      <c r="D115" s="17" t="s">
        <v>1583</v>
      </c>
      <c r="E115" s="17" t="s">
        <v>1584</v>
      </c>
      <c r="F115" s="17" t="s">
        <v>1585</v>
      </c>
      <c r="G115" s="17" t="s">
        <v>1334</v>
      </c>
      <c r="H115" s="17" t="s">
        <v>1515</v>
      </c>
      <c r="I115" s="17" t="s">
        <v>3707</v>
      </c>
      <c r="J115" s="16"/>
      <c r="K115" s="16" t="str">
        <f t="shared" si="0"/>
        <v>ไม่ผ่าน</v>
      </c>
      <c r="L115" s="16" t="s">
        <v>28</v>
      </c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" customHeight="1">
      <c r="A116" s="16">
        <v>114</v>
      </c>
      <c r="B116" s="17">
        <v>6410048242</v>
      </c>
      <c r="C116" s="17" t="s">
        <v>22</v>
      </c>
      <c r="D116" s="17" t="s">
        <v>1586</v>
      </c>
      <c r="E116" s="17" t="s">
        <v>1587</v>
      </c>
      <c r="F116" s="17" t="s">
        <v>1588</v>
      </c>
      <c r="G116" s="17" t="s">
        <v>1334</v>
      </c>
      <c r="H116" s="17" t="s">
        <v>1515</v>
      </c>
      <c r="I116" s="17" t="s">
        <v>3707</v>
      </c>
      <c r="J116" s="16"/>
      <c r="K116" s="16" t="str">
        <f t="shared" si="0"/>
        <v>ไม่ผ่าน</v>
      </c>
      <c r="L116" s="16" t="s">
        <v>28</v>
      </c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" customHeight="1">
      <c r="A117" s="16">
        <v>115</v>
      </c>
      <c r="B117" s="17">
        <v>6410048243</v>
      </c>
      <c r="C117" s="17" t="s">
        <v>22</v>
      </c>
      <c r="D117" s="17" t="s">
        <v>1589</v>
      </c>
      <c r="E117" s="17" t="s">
        <v>1590</v>
      </c>
      <c r="F117" s="17" t="s">
        <v>1591</v>
      </c>
      <c r="G117" s="17" t="s">
        <v>1334</v>
      </c>
      <c r="H117" s="17" t="s">
        <v>1515</v>
      </c>
      <c r="I117" s="17" t="s">
        <v>3707</v>
      </c>
      <c r="J117" s="16"/>
      <c r="K117" s="16" t="str">
        <f t="shared" si="0"/>
        <v>ไม่ผ่าน</v>
      </c>
      <c r="L117" s="16" t="s">
        <v>28</v>
      </c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" customHeight="1">
      <c r="A118" s="16">
        <v>116</v>
      </c>
      <c r="B118" s="17">
        <v>6410048260</v>
      </c>
      <c r="C118" s="17" t="s">
        <v>29</v>
      </c>
      <c r="D118" s="17" t="s">
        <v>1592</v>
      </c>
      <c r="E118" s="17" t="s">
        <v>1593</v>
      </c>
      <c r="F118" s="17" t="s">
        <v>1594</v>
      </c>
      <c r="G118" s="17" t="s">
        <v>1334</v>
      </c>
      <c r="H118" s="17" t="s">
        <v>1515</v>
      </c>
      <c r="I118" s="17" t="s">
        <v>3707</v>
      </c>
      <c r="J118" s="16"/>
      <c r="K118" s="16" t="str">
        <f t="shared" si="0"/>
        <v>ไม่ผ่าน</v>
      </c>
      <c r="L118" s="16" t="s">
        <v>28</v>
      </c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" customHeight="1">
      <c r="A119" s="16">
        <v>117</v>
      </c>
      <c r="B119" s="17">
        <v>6410048262</v>
      </c>
      <c r="C119" s="17" t="s">
        <v>29</v>
      </c>
      <c r="D119" s="17" t="s">
        <v>1595</v>
      </c>
      <c r="E119" s="17" t="s">
        <v>1596</v>
      </c>
      <c r="F119" s="17" t="s">
        <v>1597</v>
      </c>
      <c r="G119" s="17" t="s">
        <v>1334</v>
      </c>
      <c r="H119" s="17" t="s">
        <v>1515</v>
      </c>
      <c r="I119" s="17" t="s">
        <v>3707</v>
      </c>
      <c r="J119" s="16"/>
      <c r="K119" s="16" t="str">
        <f t="shared" si="0"/>
        <v>ไม่ผ่าน</v>
      </c>
      <c r="L119" s="16" t="s">
        <v>28</v>
      </c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" customHeight="1">
      <c r="A120" s="16">
        <v>118</v>
      </c>
      <c r="B120" s="17">
        <v>6410058264</v>
      </c>
      <c r="C120" s="17" t="s">
        <v>22</v>
      </c>
      <c r="D120" s="17" t="s">
        <v>1598</v>
      </c>
      <c r="E120" s="17" t="s">
        <v>1599</v>
      </c>
      <c r="F120" s="17" t="s">
        <v>1600</v>
      </c>
      <c r="G120" s="17" t="s">
        <v>1334</v>
      </c>
      <c r="H120" s="17" t="s">
        <v>1515</v>
      </c>
      <c r="I120" s="17" t="s">
        <v>3707</v>
      </c>
      <c r="J120" s="16"/>
      <c r="K120" s="16" t="str">
        <f t="shared" si="0"/>
        <v>ไม่ผ่าน</v>
      </c>
      <c r="L120" s="16" t="s">
        <v>28</v>
      </c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" customHeight="1">
      <c r="A121" s="16">
        <v>119</v>
      </c>
      <c r="B121" s="17">
        <v>6310048131</v>
      </c>
      <c r="C121" s="17" t="s">
        <v>29</v>
      </c>
      <c r="D121" s="17" t="s">
        <v>1601</v>
      </c>
      <c r="E121" s="17"/>
      <c r="F121" s="17" t="s">
        <v>1602</v>
      </c>
      <c r="G121" s="17" t="s">
        <v>1334</v>
      </c>
      <c r="H121" s="17" t="s">
        <v>1515</v>
      </c>
      <c r="I121" s="17" t="s">
        <v>3708</v>
      </c>
      <c r="J121" s="16"/>
      <c r="K121" s="16" t="str">
        <f t="shared" si="0"/>
        <v>ไม่ผ่าน</v>
      </c>
      <c r="L121" s="16" t="s">
        <v>28</v>
      </c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" customHeight="1">
      <c r="A122" s="16">
        <v>120</v>
      </c>
      <c r="B122" s="17">
        <v>6310048219</v>
      </c>
      <c r="C122" s="17" t="s">
        <v>22</v>
      </c>
      <c r="D122" s="17" t="s">
        <v>853</v>
      </c>
      <c r="E122" s="17" t="s">
        <v>1603</v>
      </c>
      <c r="F122" s="17" t="s">
        <v>498</v>
      </c>
      <c r="G122" s="17" t="s">
        <v>1334</v>
      </c>
      <c r="H122" s="17" t="s">
        <v>1515</v>
      </c>
      <c r="I122" s="17" t="s">
        <v>3708</v>
      </c>
      <c r="J122" s="16"/>
      <c r="K122" s="16" t="str">
        <f t="shared" si="0"/>
        <v>ไม่ผ่าน</v>
      </c>
      <c r="L122" s="16" t="s">
        <v>28</v>
      </c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" customHeight="1">
      <c r="A123" s="16">
        <v>121</v>
      </c>
      <c r="B123" s="17">
        <v>6310084104</v>
      </c>
      <c r="C123" s="17" t="s">
        <v>29</v>
      </c>
      <c r="D123" s="17" t="s">
        <v>1604</v>
      </c>
      <c r="E123" s="17" t="s">
        <v>1605</v>
      </c>
      <c r="F123" s="17" t="s">
        <v>1252</v>
      </c>
      <c r="G123" s="17" t="s">
        <v>1334</v>
      </c>
      <c r="H123" s="17" t="s">
        <v>1606</v>
      </c>
      <c r="I123" s="17" t="s">
        <v>3708</v>
      </c>
      <c r="J123" s="16"/>
      <c r="K123" s="16" t="str">
        <f t="shared" si="0"/>
        <v>ไม่ผ่าน</v>
      </c>
      <c r="L123" s="16" t="s">
        <v>28</v>
      </c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" customHeight="1">
      <c r="A124" s="16">
        <v>122</v>
      </c>
      <c r="B124" s="17">
        <v>6310084105</v>
      </c>
      <c r="C124" s="17" t="s">
        <v>29</v>
      </c>
      <c r="D124" s="17" t="s">
        <v>1607</v>
      </c>
      <c r="E124" s="17" t="s">
        <v>1608</v>
      </c>
      <c r="F124" s="17" t="s">
        <v>1295</v>
      </c>
      <c r="G124" s="17" t="s">
        <v>1334</v>
      </c>
      <c r="H124" s="17" t="s">
        <v>1606</v>
      </c>
      <c r="I124" s="17" t="s">
        <v>3708</v>
      </c>
      <c r="J124" s="16"/>
      <c r="K124" s="16" t="str">
        <f t="shared" si="0"/>
        <v>ไม่ผ่าน</v>
      </c>
      <c r="L124" s="16" t="s">
        <v>28</v>
      </c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" customHeight="1">
      <c r="A125" s="16">
        <v>123</v>
      </c>
      <c r="B125" s="17">
        <v>6310084108</v>
      </c>
      <c r="C125" s="17" t="s">
        <v>29</v>
      </c>
      <c r="D125" s="17" t="s">
        <v>1609</v>
      </c>
      <c r="E125" s="17" t="s">
        <v>1610</v>
      </c>
      <c r="F125" s="17" t="s">
        <v>1611</v>
      </c>
      <c r="G125" s="17" t="s">
        <v>1334</v>
      </c>
      <c r="H125" s="17" t="s">
        <v>1606</v>
      </c>
      <c r="I125" s="17" t="s">
        <v>3708</v>
      </c>
      <c r="J125" s="16"/>
      <c r="K125" s="16" t="str">
        <f t="shared" si="0"/>
        <v>ไม่ผ่าน</v>
      </c>
      <c r="L125" s="16" t="s">
        <v>28</v>
      </c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" customHeight="1">
      <c r="A126" s="16">
        <v>124</v>
      </c>
      <c r="B126" s="17">
        <v>6310084109</v>
      </c>
      <c r="C126" s="17" t="s">
        <v>29</v>
      </c>
      <c r="D126" s="17" t="s">
        <v>1612</v>
      </c>
      <c r="E126" s="17" t="s">
        <v>1613</v>
      </c>
      <c r="F126" s="17" t="s">
        <v>332</v>
      </c>
      <c r="G126" s="17" t="s">
        <v>1334</v>
      </c>
      <c r="H126" s="17" t="s">
        <v>1606</v>
      </c>
      <c r="I126" s="17" t="s">
        <v>3708</v>
      </c>
      <c r="J126" s="16"/>
      <c r="K126" s="16" t="str">
        <f t="shared" si="0"/>
        <v>ไม่ผ่าน</v>
      </c>
      <c r="L126" s="16" t="s">
        <v>28</v>
      </c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" customHeight="1">
      <c r="A127" s="16">
        <v>125</v>
      </c>
      <c r="B127" s="17">
        <v>6510014102</v>
      </c>
      <c r="C127" s="17" t="s">
        <v>22</v>
      </c>
      <c r="D127" s="17" t="s">
        <v>1614</v>
      </c>
      <c r="E127" s="17" t="s">
        <v>1615</v>
      </c>
      <c r="F127" s="17" t="s">
        <v>1616</v>
      </c>
      <c r="G127" s="17" t="s">
        <v>1334</v>
      </c>
      <c r="H127" s="17" t="s">
        <v>1617</v>
      </c>
      <c r="I127" s="17" t="s">
        <v>3710</v>
      </c>
      <c r="J127" s="16"/>
      <c r="K127" s="16" t="str">
        <f t="shared" si="0"/>
        <v>ไม่ผ่าน</v>
      </c>
      <c r="L127" s="16" t="s">
        <v>28</v>
      </c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" customHeight="1">
      <c r="A128" s="16">
        <v>126</v>
      </c>
      <c r="B128" s="17">
        <v>6510014104</v>
      </c>
      <c r="C128" s="17" t="s">
        <v>22</v>
      </c>
      <c r="D128" s="17" t="s">
        <v>699</v>
      </c>
      <c r="E128" s="17" t="s">
        <v>1618</v>
      </c>
      <c r="F128" s="17" t="s">
        <v>1078</v>
      </c>
      <c r="G128" s="17" t="s">
        <v>1334</v>
      </c>
      <c r="H128" s="17" t="s">
        <v>1617</v>
      </c>
      <c r="I128" s="17" t="s">
        <v>3710</v>
      </c>
      <c r="J128" s="16"/>
      <c r="K128" s="16" t="str">
        <f t="shared" si="0"/>
        <v>ไม่ผ่าน</v>
      </c>
      <c r="L128" s="16" t="s">
        <v>28</v>
      </c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" customHeight="1">
      <c r="A129" s="16">
        <v>127</v>
      </c>
      <c r="B129" s="17">
        <v>6510014106</v>
      </c>
      <c r="C129" s="17" t="s">
        <v>22</v>
      </c>
      <c r="D129" s="17" t="s">
        <v>1619</v>
      </c>
      <c r="E129" s="17" t="s">
        <v>1620</v>
      </c>
      <c r="F129" s="17" t="s">
        <v>1621</v>
      </c>
      <c r="G129" s="17" t="s">
        <v>1334</v>
      </c>
      <c r="H129" s="17" t="s">
        <v>1617</v>
      </c>
      <c r="I129" s="17" t="s">
        <v>3710</v>
      </c>
      <c r="J129" s="16"/>
      <c r="K129" s="16" t="str">
        <f t="shared" si="0"/>
        <v>ไม่ผ่าน</v>
      </c>
      <c r="L129" s="16" t="s">
        <v>28</v>
      </c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" customHeight="1">
      <c r="A130" s="16">
        <v>128</v>
      </c>
      <c r="B130" s="17">
        <v>6510014115</v>
      </c>
      <c r="C130" s="17" t="s">
        <v>29</v>
      </c>
      <c r="D130" s="17" t="s">
        <v>1622</v>
      </c>
      <c r="E130" s="17" t="s">
        <v>1623</v>
      </c>
      <c r="F130" s="17" t="s">
        <v>738</v>
      </c>
      <c r="G130" s="17" t="s">
        <v>1334</v>
      </c>
      <c r="H130" s="17" t="s">
        <v>1617</v>
      </c>
      <c r="I130" s="17" t="s">
        <v>3710</v>
      </c>
      <c r="J130" s="16"/>
      <c r="K130" s="16" t="str">
        <f t="shared" si="0"/>
        <v>ไม่ผ่าน</v>
      </c>
      <c r="L130" s="16" t="s">
        <v>28</v>
      </c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" customHeight="1">
      <c r="A131" s="16">
        <v>129</v>
      </c>
      <c r="B131" s="17">
        <v>6510014116</v>
      </c>
      <c r="C131" s="17" t="s">
        <v>29</v>
      </c>
      <c r="D131" s="17" t="s">
        <v>1624</v>
      </c>
      <c r="E131" s="17" t="s">
        <v>1625</v>
      </c>
      <c r="F131" s="17" t="s">
        <v>1626</v>
      </c>
      <c r="G131" s="17" t="s">
        <v>1334</v>
      </c>
      <c r="H131" s="17" t="s">
        <v>1617</v>
      </c>
      <c r="I131" s="17" t="s">
        <v>3710</v>
      </c>
      <c r="J131" s="16"/>
      <c r="K131" s="16" t="str">
        <f t="shared" si="0"/>
        <v>ไม่ผ่าน</v>
      </c>
      <c r="L131" s="16" t="s">
        <v>28</v>
      </c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" customHeight="1">
      <c r="A132" s="16">
        <v>130</v>
      </c>
      <c r="B132" s="17">
        <v>6611506118</v>
      </c>
      <c r="C132" s="17" t="s">
        <v>29</v>
      </c>
      <c r="D132" s="17" t="s">
        <v>557</v>
      </c>
      <c r="E132" s="17" t="s">
        <v>1627</v>
      </c>
      <c r="F132" s="17" t="s">
        <v>507</v>
      </c>
      <c r="G132" s="17" t="s">
        <v>1334</v>
      </c>
      <c r="H132" s="17" t="s">
        <v>1628</v>
      </c>
      <c r="I132" s="17" t="s">
        <v>3709</v>
      </c>
      <c r="J132" s="16"/>
      <c r="K132" s="16" t="str">
        <f t="shared" si="0"/>
        <v>ไม่ผ่าน</v>
      </c>
      <c r="L132" s="16" t="s">
        <v>28</v>
      </c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" customHeight="1">
      <c r="A133" s="16">
        <v>131</v>
      </c>
      <c r="B133" s="17">
        <v>6611506120</v>
      </c>
      <c r="C133" s="17" t="s">
        <v>29</v>
      </c>
      <c r="D133" s="17" t="s">
        <v>1629</v>
      </c>
      <c r="E133" s="17" t="s">
        <v>1630</v>
      </c>
      <c r="F133" s="17" t="s">
        <v>784</v>
      </c>
      <c r="G133" s="17" t="s">
        <v>1334</v>
      </c>
      <c r="H133" s="17" t="s">
        <v>1628</v>
      </c>
      <c r="I133" s="17" t="s">
        <v>3709</v>
      </c>
      <c r="J133" s="16"/>
      <c r="K133" s="16" t="str">
        <f t="shared" si="0"/>
        <v>ไม่ผ่าน</v>
      </c>
      <c r="L133" s="16" t="s">
        <v>28</v>
      </c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" customHeight="1">
      <c r="A134" s="16">
        <v>132</v>
      </c>
      <c r="B134" s="17">
        <v>6511506115</v>
      </c>
      <c r="C134" s="17" t="s">
        <v>29</v>
      </c>
      <c r="D134" s="17" t="s">
        <v>1631</v>
      </c>
      <c r="E134" s="17" t="s">
        <v>1632</v>
      </c>
      <c r="F134" s="17" t="s">
        <v>1132</v>
      </c>
      <c r="G134" s="17" t="s">
        <v>1334</v>
      </c>
      <c r="H134" s="17" t="s">
        <v>1628</v>
      </c>
      <c r="I134" s="17" t="s">
        <v>3710</v>
      </c>
      <c r="J134" s="16"/>
      <c r="K134" s="16" t="str">
        <f t="shared" si="0"/>
        <v>ไม่ผ่าน</v>
      </c>
      <c r="L134" s="16" t="s">
        <v>28</v>
      </c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" customHeight="1">
      <c r="A135" s="16">
        <v>133</v>
      </c>
      <c r="B135" s="17">
        <v>6511506128</v>
      </c>
      <c r="C135" s="17" t="s">
        <v>29</v>
      </c>
      <c r="D135" s="17" t="s">
        <v>1583</v>
      </c>
      <c r="E135" s="17" t="s">
        <v>1633</v>
      </c>
      <c r="F135" s="17" t="s">
        <v>143</v>
      </c>
      <c r="G135" s="17" t="s">
        <v>1334</v>
      </c>
      <c r="H135" s="17" t="s">
        <v>1628</v>
      </c>
      <c r="I135" s="17" t="s">
        <v>3710</v>
      </c>
      <c r="J135" s="16"/>
      <c r="K135" s="16" t="str">
        <f t="shared" si="0"/>
        <v>ไม่ผ่าน</v>
      </c>
      <c r="L135" s="16" t="s">
        <v>28</v>
      </c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" customHeight="1">
      <c r="A136" s="16">
        <v>134</v>
      </c>
      <c r="B136" s="17">
        <v>6511506214</v>
      </c>
      <c r="C136" s="17" t="s">
        <v>29</v>
      </c>
      <c r="D136" s="17" t="s">
        <v>1634</v>
      </c>
      <c r="E136" s="17" t="s">
        <v>1635</v>
      </c>
      <c r="F136" s="17" t="s">
        <v>78</v>
      </c>
      <c r="G136" s="17" t="s">
        <v>1334</v>
      </c>
      <c r="H136" s="17" t="s">
        <v>1628</v>
      </c>
      <c r="I136" s="17" t="s">
        <v>3710</v>
      </c>
      <c r="J136" s="16"/>
      <c r="K136" s="16" t="str">
        <f t="shared" si="0"/>
        <v>ไม่ผ่าน</v>
      </c>
      <c r="L136" s="16" t="s">
        <v>28</v>
      </c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" customHeight="1">
      <c r="A137" s="16">
        <v>135</v>
      </c>
      <c r="B137" s="17">
        <v>6511506215</v>
      </c>
      <c r="C137" s="17" t="s">
        <v>29</v>
      </c>
      <c r="D137" s="17" t="s">
        <v>1636</v>
      </c>
      <c r="E137" s="17" t="s">
        <v>1189</v>
      </c>
      <c r="F137" s="17" t="s">
        <v>1637</v>
      </c>
      <c r="G137" s="17" t="s">
        <v>1334</v>
      </c>
      <c r="H137" s="17" t="s">
        <v>1628</v>
      </c>
      <c r="I137" s="17" t="s">
        <v>3710</v>
      </c>
      <c r="J137" s="16"/>
      <c r="K137" s="16" t="str">
        <f t="shared" si="0"/>
        <v>ไม่ผ่าน</v>
      </c>
      <c r="L137" s="16" t="s">
        <v>28</v>
      </c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" customHeight="1">
      <c r="A138" s="16">
        <v>136</v>
      </c>
      <c r="B138" s="17">
        <v>6511506217</v>
      </c>
      <c r="C138" s="17" t="s">
        <v>29</v>
      </c>
      <c r="D138" s="17" t="s">
        <v>1638</v>
      </c>
      <c r="E138" s="17" t="s">
        <v>1639</v>
      </c>
      <c r="F138" s="17" t="s">
        <v>297</v>
      </c>
      <c r="G138" s="17" t="s">
        <v>1334</v>
      </c>
      <c r="H138" s="17" t="s">
        <v>1628</v>
      </c>
      <c r="I138" s="17" t="s">
        <v>3710</v>
      </c>
      <c r="J138" s="16"/>
      <c r="K138" s="16" t="str">
        <f t="shared" si="0"/>
        <v>ไม่ผ่าน</v>
      </c>
      <c r="L138" s="16" t="s">
        <v>28</v>
      </c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" customHeight="1">
      <c r="A139" s="16">
        <v>137</v>
      </c>
      <c r="B139" s="17">
        <v>6511506221</v>
      </c>
      <c r="C139" s="17" t="s">
        <v>29</v>
      </c>
      <c r="D139" s="17" t="s">
        <v>1134</v>
      </c>
      <c r="E139" s="17" t="s">
        <v>1640</v>
      </c>
      <c r="F139" s="17" t="s">
        <v>1641</v>
      </c>
      <c r="G139" s="17" t="s">
        <v>1334</v>
      </c>
      <c r="H139" s="17" t="s">
        <v>1628</v>
      </c>
      <c r="I139" s="17" t="s">
        <v>3710</v>
      </c>
      <c r="J139" s="16"/>
      <c r="K139" s="16" t="str">
        <f t="shared" si="0"/>
        <v>ไม่ผ่าน</v>
      </c>
      <c r="L139" s="16" t="s">
        <v>28</v>
      </c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" customHeight="1">
      <c r="A140" s="16">
        <v>138</v>
      </c>
      <c r="B140" s="17">
        <v>6511506224</v>
      </c>
      <c r="C140" s="17" t="s">
        <v>29</v>
      </c>
      <c r="D140" s="17" t="s">
        <v>1302</v>
      </c>
      <c r="E140" s="17" t="s">
        <v>1642</v>
      </c>
      <c r="F140" s="17" t="s">
        <v>1643</v>
      </c>
      <c r="G140" s="17" t="s">
        <v>1334</v>
      </c>
      <c r="H140" s="17" t="s">
        <v>1628</v>
      </c>
      <c r="I140" s="17" t="s">
        <v>3710</v>
      </c>
      <c r="J140" s="16"/>
      <c r="K140" s="16" t="str">
        <f t="shared" si="0"/>
        <v>ไม่ผ่าน</v>
      </c>
      <c r="L140" s="16" t="s">
        <v>28</v>
      </c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" customHeight="1">
      <c r="A141" s="16">
        <v>139</v>
      </c>
      <c r="B141" s="17">
        <v>6511506226</v>
      </c>
      <c r="C141" s="17" t="s">
        <v>29</v>
      </c>
      <c r="D141" s="17" t="s">
        <v>149</v>
      </c>
      <c r="E141" s="17" t="s">
        <v>1644</v>
      </c>
      <c r="F141" s="17" t="s">
        <v>1645</v>
      </c>
      <c r="G141" s="17" t="s">
        <v>1334</v>
      </c>
      <c r="H141" s="17" t="s">
        <v>1628</v>
      </c>
      <c r="I141" s="17" t="s">
        <v>3710</v>
      </c>
      <c r="J141" s="16"/>
      <c r="K141" s="16" t="str">
        <f t="shared" si="0"/>
        <v>ไม่ผ่าน</v>
      </c>
      <c r="L141" s="16" t="s">
        <v>28</v>
      </c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" customHeight="1">
      <c r="A142" s="16">
        <v>140</v>
      </c>
      <c r="B142" s="17">
        <v>6511506240</v>
      </c>
      <c r="C142" s="17" t="s">
        <v>29</v>
      </c>
      <c r="D142" s="17" t="s">
        <v>1646</v>
      </c>
      <c r="E142" s="17" t="s">
        <v>1647</v>
      </c>
      <c r="F142" s="17" t="s">
        <v>1648</v>
      </c>
      <c r="G142" s="17" t="s">
        <v>1334</v>
      </c>
      <c r="H142" s="17" t="s">
        <v>1628</v>
      </c>
      <c r="I142" s="17" t="s">
        <v>3710</v>
      </c>
      <c r="J142" s="16"/>
      <c r="K142" s="16" t="str">
        <f t="shared" si="0"/>
        <v>ไม่ผ่าน</v>
      </c>
      <c r="L142" s="16" t="s">
        <v>28</v>
      </c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" customHeight="1">
      <c r="A143" s="16">
        <v>141</v>
      </c>
      <c r="B143" s="17">
        <v>6411506114</v>
      </c>
      <c r="C143" s="17" t="s">
        <v>29</v>
      </c>
      <c r="D143" s="17" t="s">
        <v>1649</v>
      </c>
      <c r="E143" s="17" t="s">
        <v>1650</v>
      </c>
      <c r="F143" s="17" t="s">
        <v>1651</v>
      </c>
      <c r="G143" s="17" t="s">
        <v>1334</v>
      </c>
      <c r="H143" s="17" t="s">
        <v>1628</v>
      </c>
      <c r="I143" s="17" t="s">
        <v>3707</v>
      </c>
      <c r="J143" s="16"/>
      <c r="K143" s="16" t="str">
        <f t="shared" si="0"/>
        <v>ไม่ผ่าน</v>
      </c>
      <c r="L143" s="16" t="s">
        <v>28</v>
      </c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" customHeight="1">
      <c r="A144" s="16">
        <v>142</v>
      </c>
      <c r="B144" s="17">
        <v>6411506131</v>
      </c>
      <c r="C144" s="17" t="s">
        <v>29</v>
      </c>
      <c r="D144" s="17" t="s">
        <v>1047</v>
      </c>
      <c r="E144" s="17" t="s">
        <v>1652</v>
      </c>
      <c r="F144" s="17" t="s">
        <v>1653</v>
      </c>
      <c r="G144" s="17" t="s">
        <v>1334</v>
      </c>
      <c r="H144" s="17" t="s">
        <v>1628</v>
      </c>
      <c r="I144" s="17" t="s">
        <v>3707</v>
      </c>
      <c r="J144" s="16"/>
      <c r="K144" s="16" t="str">
        <f t="shared" si="0"/>
        <v>ไม่ผ่าน</v>
      </c>
      <c r="L144" s="16" t="s">
        <v>28</v>
      </c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" customHeight="1">
      <c r="A145" s="16">
        <v>143</v>
      </c>
      <c r="B145" s="17">
        <v>6411506137</v>
      </c>
      <c r="C145" s="17" t="s">
        <v>29</v>
      </c>
      <c r="D145" s="17" t="s">
        <v>1654</v>
      </c>
      <c r="E145" s="17" t="s">
        <v>1655</v>
      </c>
      <c r="F145" s="17" t="s">
        <v>1656</v>
      </c>
      <c r="G145" s="17" t="s">
        <v>1334</v>
      </c>
      <c r="H145" s="17" t="s">
        <v>1628</v>
      </c>
      <c r="I145" s="17" t="s">
        <v>3707</v>
      </c>
      <c r="J145" s="16"/>
      <c r="K145" s="16" t="str">
        <f t="shared" si="0"/>
        <v>ไม่ผ่าน</v>
      </c>
      <c r="L145" s="16" t="s">
        <v>28</v>
      </c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" customHeight="1">
      <c r="A146" s="16">
        <v>144</v>
      </c>
      <c r="B146" s="17">
        <v>6411506219</v>
      </c>
      <c r="C146" s="17" t="s">
        <v>29</v>
      </c>
      <c r="D146" s="17" t="s">
        <v>1657</v>
      </c>
      <c r="E146" s="17" t="s">
        <v>1658</v>
      </c>
      <c r="F146" s="17" t="s">
        <v>644</v>
      </c>
      <c r="G146" s="17" t="s">
        <v>1334</v>
      </c>
      <c r="H146" s="17" t="s">
        <v>1628</v>
      </c>
      <c r="I146" s="17" t="s">
        <v>3707</v>
      </c>
      <c r="J146" s="16"/>
      <c r="K146" s="16" t="str">
        <f t="shared" si="0"/>
        <v>ไม่ผ่าน</v>
      </c>
      <c r="L146" s="16" t="s">
        <v>28</v>
      </c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" customHeight="1">
      <c r="A147" s="16">
        <v>145</v>
      </c>
      <c r="B147" s="17">
        <v>6411506220</v>
      </c>
      <c r="C147" s="17" t="s">
        <v>29</v>
      </c>
      <c r="D147" s="17" t="s">
        <v>1013</v>
      </c>
      <c r="E147" s="17" t="s">
        <v>1659</v>
      </c>
      <c r="F147" s="17" t="s">
        <v>1637</v>
      </c>
      <c r="G147" s="17" t="s">
        <v>1334</v>
      </c>
      <c r="H147" s="17" t="s">
        <v>1628</v>
      </c>
      <c r="I147" s="17" t="s">
        <v>3707</v>
      </c>
      <c r="J147" s="16"/>
      <c r="K147" s="16" t="str">
        <f t="shared" si="0"/>
        <v>ไม่ผ่าน</v>
      </c>
      <c r="L147" s="16" t="s">
        <v>28</v>
      </c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" customHeight="1">
      <c r="A148" s="16">
        <v>146</v>
      </c>
      <c r="B148" s="17">
        <v>6411506228</v>
      </c>
      <c r="C148" s="17" t="s">
        <v>29</v>
      </c>
      <c r="D148" s="17" t="s">
        <v>1660</v>
      </c>
      <c r="E148" s="17" t="s">
        <v>1661</v>
      </c>
      <c r="F148" s="17" t="s">
        <v>473</v>
      </c>
      <c r="G148" s="17" t="s">
        <v>1334</v>
      </c>
      <c r="H148" s="17" t="s">
        <v>1628</v>
      </c>
      <c r="I148" s="17" t="s">
        <v>3707</v>
      </c>
      <c r="J148" s="16"/>
      <c r="K148" s="16" t="str">
        <f t="shared" si="0"/>
        <v>ไม่ผ่าน</v>
      </c>
      <c r="L148" s="16" t="s">
        <v>28</v>
      </c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" customHeight="1">
      <c r="A149" s="16">
        <v>147</v>
      </c>
      <c r="B149" s="17">
        <v>6311506104</v>
      </c>
      <c r="C149" s="17" t="s">
        <v>29</v>
      </c>
      <c r="D149" s="17" t="s">
        <v>1662</v>
      </c>
      <c r="E149" s="17" t="s">
        <v>649</v>
      </c>
      <c r="F149" s="17" t="s">
        <v>1663</v>
      </c>
      <c r="G149" s="17" t="s">
        <v>1334</v>
      </c>
      <c r="H149" s="17" t="s">
        <v>1628</v>
      </c>
      <c r="I149" s="17" t="s">
        <v>3708</v>
      </c>
      <c r="J149" s="16"/>
      <c r="K149" s="16" t="str">
        <f t="shared" si="0"/>
        <v>ไม่ผ่าน</v>
      </c>
      <c r="L149" s="16" t="s">
        <v>28</v>
      </c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" customHeight="1">
      <c r="A150" s="16">
        <v>148</v>
      </c>
      <c r="B150" s="17">
        <v>6311506106</v>
      </c>
      <c r="C150" s="17" t="s">
        <v>29</v>
      </c>
      <c r="D150" s="17" t="s">
        <v>1634</v>
      </c>
      <c r="E150" s="17" t="s">
        <v>1664</v>
      </c>
      <c r="F150" s="17" t="s">
        <v>1665</v>
      </c>
      <c r="G150" s="17" t="s">
        <v>1334</v>
      </c>
      <c r="H150" s="17" t="s">
        <v>1628</v>
      </c>
      <c r="I150" s="17" t="s">
        <v>3708</v>
      </c>
      <c r="J150" s="16"/>
      <c r="K150" s="16" t="str">
        <f t="shared" si="0"/>
        <v>ไม่ผ่าน</v>
      </c>
      <c r="L150" s="16" t="s">
        <v>28</v>
      </c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" customHeight="1">
      <c r="A151" s="16">
        <v>149</v>
      </c>
      <c r="B151" s="17">
        <v>6311506109</v>
      </c>
      <c r="C151" s="17" t="s">
        <v>29</v>
      </c>
      <c r="D151" s="17" t="s">
        <v>1666</v>
      </c>
      <c r="E151" s="17" t="s">
        <v>1667</v>
      </c>
      <c r="F151" s="17" t="s">
        <v>1668</v>
      </c>
      <c r="G151" s="17" t="s">
        <v>1334</v>
      </c>
      <c r="H151" s="17" t="s">
        <v>1628</v>
      </c>
      <c r="I151" s="17" t="s">
        <v>3708</v>
      </c>
      <c r="J151" s="16"/>
      <c r="K151" s="16" t="str">
        <f t="shared" si="0"/>
        <v>ไม่ผ่าน</v>
      </c>
      <c r="L151" s="16" t="s">
        <v>28</v>
      </c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" customHeight="1">
      <c r="A152" s="16">
        <v>150</v>
      </c>
      <c r="B152" s="17">
        <v>6311506115</v>
      </c>
      <c r="C152" s="17" t="s">
        <v>29</v>
      </c>
      <c r="D152" s="17" t="s">
        <v>1669</v>
      </c>
      <c r="E152" s="17" t="s">
        <v>1670</v>
      </c>
      <c r="F152" s="17" t="s">
        <v>110</v>
      </c>
      <c r="G152" s="17" t="s">
        <v>1334</v>
      </c>
      <c r="H152" s="17" t="s">
        <v>1628</v>
      </c>
      <c r="I152" s="17" t="s">
        <v>3708</v>
      </c>
      <c r="J152" s="16"/>
      <c r="K152" s="16" t="str">
        <f t="shared" si="0"/>
        <v>ไม่ผ่าน</v>
      </c>
      <c r="L152" s="16" t="s">
        <v>28</v>
      </c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" customHeight="1">
      <c r="A153" s="16">
        <v>151</v>
      </c>
      <c r="B153" s="17">
        <v>6311506117</v>
      </c>
      <c r="C153" s="17" t="s">
        <v>29</v>
      </c>
      <c r="D153" s="17" t="s">
        <v>211</v>
      </c>
      <c r="E153" s="17" t="s">
        <v>1671</v>
      </c>
      <c r="F153" s="17" t="s">
        <v>898</v>
      </c>
      <c r="G153" s="17" t="s">
        <v>1334</v>
      </c>
      <c r="H153" s="17" t="s">
        <v>1628</v>
      </c>
      <c r="I153" s="17" t="s">
        <v>3708</v>
      </c>
      <c r="J153" s="16"/>
      <c r="K153" s="16" t="str">
        <f t="shared" si="0"/>
        <v>ไม่ผ่าน</v>
      </c>
      <c r="L153" s="16" t="s">
        <v>28</v>
      </c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" customHeight="1">
      <c r="A154" s="16">
        <v>152</v>
      </c>
      <c r="B154" s="17">
        <v>6311506120</v>
      </c>
      <c r="C154" s="17" t="s">
        <v>29</v>
      </c>
      <c r="D154" s="17" t="s">
        <v>1672</v>
      </c>
      <c r="E154" s="17" t="s">
        <v>1673</v>
      </c>
      <c r="F154" s="17" t="s">
        <v>143</v>
      </c>
      <c r="G154" s="17" t="s">
        <v>1334</v>
      </c>
      <c r="H154" s="17" t="s">
        <v>1628</v>
      </c>
      <c r="I154" s="17" t="s">
        <v>3708</v>
      </c>
      <c r="J154" s="16"/>
      <c r="K154" s="16" t="str">
        <f t="shared" si="0"/>
        <v>ไม่ผ่าน</v>
      </c>
      <c r="L154" s="16" t="s">
        <v>28</v>
      </c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" customHeight="1">
      <c r="A155" s="16">
        <v>153</v>
      </c>
      <c r="B155" s="17">
        <v>6311506121</v>
      </c>
      <c r="C155" s="17" t="s">
        <v>29</v>
      </c>
      <c r="D155" s="17" t="s">
        <v>1674</v>
      </c>
      <c r="E155" s="17" t="s">
        <v>1675</v>
      </c>
      <c r="F155" s="17" t="s">
        <v>1676</v>
      </c>
      <c r="G155" s="17" t="s">
        <v>1334</v>
      </c>
      <c r="H155" s="17" t="s">
        <v>1628</v>
      </c>
      <c r="I155" s="17" t="s">
        <v>3708</v>
      </c>
      <c r="J155" s="16"/>
      <c r="K155" s="16" t="str">
        <f t="shared" si="0"/>
        <v>ไม่ผ่าน</v>
      </c>
      <c r="L155" s="16" t="s">
        <v>28</v>
      </c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" customHeight="1">
      <c r="A156" s="16">
        <v>154</v>
      </c>
      <c r="B156" s="17">
        <v>6311506124</v>
      </c>
      <c r="C156" s="17" t="s">
        <v>29</v>
      </c>
      <c r="D156" s="17" t="s">
        <v>1677</v>
      </c>
      <c r="E156" s="17" t="s">
        <v>1678</v>
      </c>
      <c r="F156" s="17" t="s">
        <v>365</v>
      </c>
      <c r="G156" s="17" t="s">
        <v>1334</v>
      </c>
      <c r="H156" s="17" t="s">
        <v>1628</v>
      </c>
      <c r="I156" s="17" t="s">
        <v>3708</v>
      </c>
      <c r="J156" s="16"/>
      <c r="K156" s="16" t="str">
        <f t="shared" si="0"/>
        <v>ไม่ผ่าน</v>
      </c>
      <c r="L156" s="16" t="s">
        <v>28</v>
      </c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" customHeight="1">
      <c r="A157" s="16">
        <v>155</v>
      </c>
      <c r="B157" s="17">
        <v>6311506131</v>
      </c>
      <c r="C157" s="17" t="s">
        <v>22</v>
      </c>
      <c r="D157" s="17" t="s">
        <v>1679</v>
      </c>
      <c r="E157" s="17" t="s">
        <v>1680</v>
      </c>
      <c r="F157" s="17" t="s">
        <v>1681</v>
      </c>
      <c r="G157" s="17" t="s">
        <v>1334</v>
      </c>
      <c r="H157" s="17" t="s">
        <v>1628</v>
      </c>
      <c r="I157" s="17" t="s">
        <v>3708</v>
      </c>
      <c r="J157" s="16"/>
      <c r="K157" s="16" t="str">
        <f t="shared" si="0"/>
        <v>ไม่ผ่าน</v>
      </c>
      <c r="L157" s="16" t="s">
        <v>28</v>
      </c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" customHeight="1">
      <c r="A158" s="16">
        <v>156</v>
      </c>
      <c r="B158" s="17">
        <v>6311506202</v>
      </c>
      <c r="C158" s="17" t="s">
        <v>29</v>
      </c>
      <c r="D158" s="17" t="s">
        <v>1682</v>
      </c>
      <c r="E158" s="17" t="s">
        <v>1683</v>
      </c>
      <c r="F158" s="17" t="s">
        <v>1684</v>
      </c>
      <c r="G158" s="17" t="s">
        <v>1334</v>
      </c>
      <c r="H158" s="17" t="s">
        <v>1628</v>
      </c>
      <c r="I158" s="17" t="s">
        <v>3708</v>
      </c>
      <c r="J158" s="16"/>
      <c r="K158" s="16" t="str">
        <f t="shared" si="0"/>
        <v>ไม่ผ่าน</v>
      </c>
      <c r="L158" s="16" t="s">
        <v>28</v>
      </c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" customHeight="1">
      <c r="A159" s="16">
        <v>157</v>
      </c>
      <c r="B159" s="17">
        <v>6311506205</v>
      </c>
      <c r="C159" s="17" t="s">
        <v>29</v>
      </c>
      <c r="D159" s="17" t="s">
        <v>1685</v>
      </c>
      <c r="E159" s="17" t="s">
        <v>1686</v>
      </c>
      <c r="F159" s="17" t="s">
        <v>1687</v>
      </c>
      <c r="G159" s="17" t="s">
        <v>1334</v>
      </c>
      <c r="H159" s="17" t="s">
        <v>1628</v>
      </c>
      <c r="I159" s="17" t="s">
        <v>3708</v>
      </c>
      <c r="J159" s="16"/>
      <c r="K159" s="16" t="str">
        <f t="shared" si="0"/>
        <v>ไม่ผ่าน</v>
      </c>
      <c r="L159" s="16" t="s">
        <v>28</v>
      </c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" customHeight="1">
      <c r="A160" s="16">
        <v>158</v>
      </c>
      <c r="B160" s="17">
        <v>6311506208</v>
      </c>
      <c r="C160" s="17" t="s">
        <v>29</v>
      </c>
      <c r="D160" s="17" t="s">
        <v>1688</v>
      </c>
      <c r="E160" s="17" t="s">
        <v>1689</v>
      </c>
      <c r="F160" s="17" t="s">
        <v>1690</v>
      </c>
      <c r="G160" s="17" t="s">
        <v>1334</v>
      </c>
      <c r="H160" s="17" t="s">
        <v>1628</v>
      </c>
      <c r="I160" s="17" t="s">
        <v>3708</v>
      </c>
      <c r="J160" s="16"/>
      <c r="K160" s="16" t="str">
        <f t="shared" si="0"/>
        <v>ไม่ผ่าน</v>
      </c>
      <c r="L160" s="16" t="s">
        <v>28</v>
      </c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" customHeight="1">
      <c r="A161" s="16">
        <v>159</v>
      </c>
      <c r="B161" s="17">
        <v>6311506210</v>
      </c>
      <c r="C161" s="17" t="s">
        <v>29</v>
      </c>
      <c r="D161" s="17" t="s">
        <v>1691</v>
      </c>
      <c r="E161" s="17" t="s">
        <v>1692</v>
      </c>
      <c r="F161" s="17" t="s">
        <v>1693</v>
      </c>
      <c r="G161" s="17" t="s">
        <v>1334</v>
      </c>
      <c r="H161" s="17" t="s">
        <v>1628</v>
      </c>
      <c r="I161" s="17" t="s">
        <v>3708</v>
      </c>
      <c r="J161" s="16"/>
      <c r="K161" s="16" t="str">
        <f t="shared" si="0"/>
        <v>ไม่ผ่าน</v>
      </c>
      <c r="L161" s="16" t="s">
        <v>28</v>
      </c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" customHeight="1">
      <c r="A162" s="16">
        <v>160</v>
      </c>
      <c r="B162" s="17">
        <v>6311506218</v>
      </c>
      <c r="C162" s="17" t="s">
        <v>29</v>
      </c>
      <c r="D162" s="17" t="s">
        <v>536</v>
      </c>
      <c r="E162" s="17" t="s">
        <v>1694</v>
      </c>
      <c r="F162" s="17" t="s">
        <v>86</v>
      </c>
      <c r="G162" s="17" t="s">
        <v>1334</v>
      </c>
      <c r="H162" s="17" t="s">
        <v>1628</v>
      </c>
      <c r="I162" s="17" t="s">
        <v>3708</v>
      </c>
      <c r="J162" s="16"/>
      <c r="K162" s="16" t="str">
        <f t="shared" si="0"/>
        <v>ไม่ผ่าน</v>
      </c>
      <c r="L162" s="16" t="s">
        <v>28</v>
      </c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" customHeight="1">
      <c r="A163" s="16">
        <v>161</v>
      </c>
      <c r="B163" s="17">
        <v>6311506220</v>
      </c>
      <c r="C163" s="17" t="s">
        <v>29</v>
      </c>
      <c r="D163" s="17" t="s">
        <v>1695</v>
      </c>
      <c r="E163" s="17" t="s">
        <v>1696</v>
      </c>
      <c r="F163" s="17" t="s">
        <v>1697</v>
      </c>
      <c r="G163" s="17" t="s">
        <v>1334</v>
      </c>
      <c r="H163" s="17" t="s">
        <v>1628</v>
      </c>
      <c r="I163" s="17" t="s">
        <v>3708</v>
      </c>
      <c r="J163" s="16"/>
      <c r="K163" s="16" t="str">
        <f t="shared" si="0"/>
        <v>ไม่ผ่าน</v>
      </c>
      <c r="L163" s="16" t="s">
        <v>28</v>
      </c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" customHeight="1">
      <c r="A164" s="16">
        <v>162</v>
      </c>
      <c r="B164" s="17">
        <v>6311506221</v>
      </c>
      <c r="C164" s="17" t="s">
        <v>29</v>
      </c>
      <c r="D164" s="17" t="s">
        <v>1698</v>
      </c>
      <c r="E164" s="17" t="s">
        <v>1699</v>
      </c>
      <c r="F164" s="17" t="s">
        <v>1700</v>
      </c>
      <c r="G164" s="17" t="s">
        <v>1334</v>
      </c>
      <c r="H164" s="17" t="s">
        <v>1628</v>
      </c>
      <c r="I164" s="17" t="s">
        <v>3708</v>
      </c>
      <c r="J164" s="16"/>
      <c r="K164" s="16" t="str">
        <f t="shared" si="0"/>
        <v>ไม่ผ่าน</v>
      </c>
      <c r="L164" s="16" t="s">
        <v>28</v>
      </c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" customHeight="1">
      <c r="A165" s="16">
        <v>163</v>
      </c>
      <c r="B165" s="17">
        <v>6410059110</v>
      </c>
      <c r="C165" s="17" t="s">
        <v>29</v>
      </c>
      <c r="D165" s="17" t="s">
        <v>1701</v>
      </c>
      <c r="E165" s="17" t="s">
        <v>1702</v>
      </c>
      <c r="F165" s="17" t="s">
        <v>489</v>
      </c>
      <c r="G165" s="17" t="s">
        <v>1334</v>
      </c>
      <c r="H165" s="17" t="s">
        <v>1703</v>
      </c>
      <c r="I165" s="17" t="s">
        <v>3707</v>
      </c>
      <c r="J165" s="16"/>
      <c r="K165" s="16" t="str">
        <f t="shared" si="0"/>
        <v>ไม่ผ่าน</v>
      </c>
      <c r="L165" s="16" t="s">
        <v>28</v>
      </c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" customHeight="1">
      <c r="A166" s="16">
        <v>164</v>
      </c>
      <c r="B166" s="17">
        <v>6410059113</v>
      </c>
      <c r="C166" s="17" t="s">
        <v>29</v>
      </c>
      <c r="D166" s="17" t="s">
        <v>1704</v>
      </c>
      <c r="E166" s="17" t="s">
        <v>1705</v>
      </c>
      <c r="F166" s="17" t="s">
        <v>1290</v>
      </c>
      <c r="G166" s="17" t="s">
        <v>1334</v>
      </c>
      <c r="H166" s="17" t="s">
        <v>1703</v>
      </c>
      <c r="I166" s="17" t="s">
        <v>3707</v>
      </c>
      <c r="J166" s="16"/>
      <c r="K166" s="16" t="str">
        <f t="shared" si="0"/>
        <v>ไม่ผ่าน</v>
      </c>
      <c r="L166" s="16" t="s">
        <v>28</v>
      </c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" customHeight="1">
      <c r="A167" s="16">
        <v>165</v>
      </c>
      <c r="B167" s="17">
        <v>6312269134</v>
      </c>
      <c r="C167" s="17" t="s">
        <v>22</v>
      </c>
      <c r="D167" s="17" t="s">
        <v>1706</v>
      </c>
      <c r="E167" s="17" t="s">
        <v>1707</v>
      </c>
      <c r="F167" s="17" t="s">
        <v>1708</v>
      </c>
      <c r="G167" s="17" t="s">
        <v>1334</v>
      </c>
      <c r="H167" s="24" t="s">
        <v>1709</v>
      </c>
      <c r="I167" s="17" t="s">
        <v>3707</v>
      </c>
      <c r="J167" s="24"/>
      <c r="K167" s="16" t="str">
        <f t="shared" si="0"/>
        <v>ไม่ผ่าน</v>
      </c>
      <c r="L167" s="17" t="s">
        <v>1710</v>
      </c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" customHeight="1">
      <c r="A168" s="14"/>
      <c r="B168" s="13"/>
      <c r="C168" s="13"/>
      <c r="D168" s="13"/>
      <c r="E168" s="13"/>
      <c r="F168" s="13"/>
      <c r="G168" s="13"/>
      <c r="H168" s="99" t="s">
        <v>1711</v>
      </c>
      <c r="I168" s="110"/>
      <c r="J168" s="16">
        <f>COUNT(A3:A167)</f>
        <v>165</v>
      </c>
      <c r="K168" s="18" t="s">
        <v>1712</v>
      </c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" customHeight="1">
      <c r="A169" s="14"/>
      <c r="B169" s="13"/>
      <c r="C169" s="13"/>
      <c r="D169" s="13"/>
      <c r="E169" s="13"/>
      <c r="F169" s="13"/>
      <c r="G169" s="13"/>
      <c r="H169" s="100" t="s">
        <v>1713</v>
      </c>
      <c r="I169" s="110"/>
      <c r="J169" s="16"/>
      <c r="K169" s="19" t="s">
        <v>1712</v>
      </c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" customHeight="1">
      <c r="A170" s="14"/>
      <c r="B170" s="13"/>
      <c r="C170" s="13"/>
      <c r="D170" s="13"/>
      <c r="E170" s="13"/>
      <c r="F170" s="13"/>
      <c r="G170" s="13"/>
      <c r="H170" s="101" t="s">
        <v>1714</v>
      </c>
      <c r="I170" s="110"/>
      <c r="J170" s="16"/>
      <c r="K170" s="20" t="s">
        <v>1712</v>
      </c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" customHeight="1">
      <c r="A171" s="14"/>
      <c r="B171" s="13"/>
      <c r="C171" s="13"/>
      <c r="D171" s="13"/>
      <c r="E171" s="13"/>
      <c r="F171" s="13"/>
      <c r="G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" customHeight="1">
      <c r="A172" s="14"/>
      <c r="B172" s="13"/>
      <c r="C172" s="13"/>
      <c r="D172" s="13"/>
      <c r="E172" s="13"/>
      <c r="F172" s="13"/>
      <c r="G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" customHeight="1">
      <c r="A173" s="14"/>
      <c r="B173" s="13"/>
      <c r="C173" s="13"/>
      <c r="D173" s="13"/>
      <c r="E173" s="13"/>
      <c r="F173" s="13"/>
      <c r="G173" s="13"/>
      <c r="H173" s="13"/>
      <c r="I173" s="13"/>
      <c r="J173" s="14"/>
      <c r="K173" s="14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" customHeight="1">
      <c r="A174" s="14"/>
      <c r="B174" s="13"/>
      <c r="C174" s="13"/>
      <c r="D174" s="13"/>
      <c r="E174" s="13"/>
      <c r="F174" s="13"/>
      <c r="G174" s="13"/>
      <c r="H174" s="13"/>
      <c r="I174" s="13"/>
      <c r="J174" s="14"/>
      <c r="K174" s="14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" customHeight="1">
      <c r="A175" s="14"/>
      <c r="B175" s="13"/>
      <c r="C175" s="13"/>
      <c r="D175" s="13"/>
      <c r="E175" s="13"/>
      <c r="F175" s="13"/>
      <c r="G175" s="13"/>
      <c r="H175" s="13"/>
      <c r="I175" s="13"/>
      <c r="J175" s="14"/>
      <c r="K175" s="14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" customHeight="1">
      <c r="A176" s="14"/>
      <c r="B176" s="13"/>
      <c r="C176" s="13"/>
      <c r="D176" s="13"/>
      <c r="E176" s="13"/>
      <c r="F176" s="13"/>
      <c r="G176" s="13"/>
      <c r="H176" s="13"/>
      <c r="I176" s="13"/>
      <c r="J176" s="14"/>
      <c r="K176" s="14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" customHeight="1">
      <c r="A177" s="14"/>
      <c r="B177" s="13"/>
      <c r="C177" s="13"/>
      <c r="D177" s="13"/>
      <c r="E177" s="13"/>
      <c r="F177" s="13"/>
      <c r="G177" s="13"/>
      <c r="H177" s="13"/>
      <c r="I177" s="13"/>
      <c r="J177" s="14"/>
      <c r="K177" s="14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" customHeight="1">
      <c r="A178" s="14"/>
      <c r="B178" s="13"/>
      <c r="C178" s="13"/>
      <c r="D178" s="13"/>
      <c r="E178" s="13"/>
      <c r="F178" s="13"/>
      <c r="G178" s="13"/>
      <c r="H178" s="13"/>
      <c r="I178" s="13"/>
      <c r="J178" s="14"/>
      <c r="K178" s="14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" customHeight="1">
      <c r="A179" s="14"/>
      <c r="B179" s="13"/>
      <c r="C179" s="13"/>
      <c r="D179" s="13"/>
      <c r="E179" s="13"/>
      <c r="F179" s="13"/>
      <c r="G179" s="13"/>
      <c r="H179" s="13"/>
      <c r="I179" s="13"/>
      <c r="J179" s="14"/>
      <c r="K179" s="14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" customHeight="1">
      <c r="A180" s="14"/>
      <c r="B180" s="13"/>
      <c r="C180" s="13"/>
      <c r="D180" s="13"/>
      <c r="E180" s="13"/>
      <c r="F180" s="13"/>
      <c r="G180" s="13"/>
      <c r="H180" s="13"/>
      <c r="I180" s="13"/>
      <c r="J180" s="14"/>
      <c r="K180" s="14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" customHeight="1">
      <c r="A181" s="14"/>
      <c r="B181" s="13"/>
      <c r="C181" s="13"/>
      <c r="D181" s="13"/>
      <c r="E181" s="13"/>
      <c r="F181" s="13"/>
      <c r="G181" s="13"/>
      <c r="H181" s="13"/>
      <c r="I181" s="13"/>
      <c r="J181" s="14"/>
      <c r="K181" s="14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" customHeight="1">
      <c r="A182" s="14"/>
      <c r="B182" s="13"/>
      <c r="C182" s="13"/>
      <c r="D182" s="13"/>
      <c r="E182" s="13"/>
      <c r="F182" s="13"/>
      <c r="G182" s="13"/>
      <c r="H182" s="13"/>
      <c r="I182" s="13"/>
      <c r="J182" s="14"/>
      <c r="K182" s="14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" customHeight="1">
      <c r="A183" s="14"/>
      <c r="B183" s="13"/>
      <c r="C183" s="13"/>
      <c r="D183" s="13"/>
      <c r="E183" s="13"/>
      <c r="F183" s="13"/>
      <c r="G183" s="13"/>
      <c r="H183" s="13"/>
      <c r="I183" s="13"/>
      <c r="J183" s="14"/>
      <c r="K183" s="14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" customHeight="1">
      <c r="A184" s="14"/>
      <c r="B184" s="13"/>
      <c r="C184" s="13"/>
      <c r="D184" s="13"/>
      <c r="E184" s="13"/>
      <c r="F184" s="13"/>
      <c r="G184" s="13"/>
      <c r="H184" s="13"/>
      <c r="I184" s="13"/>
      <c r="J184" s="14"/>
      <c r="K184" s="14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" customHeight="1">
      <c r="A185" s="14"/>
      <c r="B185" s="13"/>
      <c r="C185" s="13"/>
      <c r="D185" s="13"/>
      <c r="E185" s="13"/>
      <c r="F185" s="13"/>
      <c r="G185" s="13"/>
      <c r="H185" s="13"/>
      <c r="I185" s="13"/>
      <c r="J185" s="14"/>
      <c r="K185" s="14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" customHeight="1">
      <c r="A186" s="14"/>
      <c r="B186" s="13"/>
      <c r="C186" s="13"/>
      <c r="D186" s="13"/>
      <c r="E186" s="13"/>
      <c r="F186" s="13"/>
      <c r="G186" s="13"/>
      <c r="H186" s="13"/>
      <c r="I186" s="13"/>
      <c r="J186" s="14"/>
      <c r="K186" s="14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" customHeight="1">
      <c r="A187" s="14"/>
      <c r="B187" s="13"/>
      <c r="C187" s="13"/>
      <c r="D187" s="13"/>
      <c r="E187" s="13"/>
      <c r="F187" s="13"/>
      <c r="G187" s="13"/>
      <c r="H187" s="13"/>
      <c r="I187" s="13"/>
      <c r="J187" s="14"/>
      <c r="K187" s="14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" customHeight="1">
      <c r="A188" s="14"/>
      <c r="B188" s="13"/>
      <c r="C188" s="13"/>
      <c r="D188" s="13"/>
      <c r="E188" s="13"/>
      <c r="F188" s="13"/>
      <c r="G188" s="13"/>
      <c r="H188" s="13"/>
      <c r="I188" s="13"/>
      <c r="J188" s="14"/>
      <c r="K188" s="14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" customHeight="1">
      <c r="A189" s="14"/>
      <c r="B189" s="13"/>
      <c r="C189" s="13"/>
      <c r="D189" s="13"/>
      <c r="E189" s="13"/>
      <c r="F189" s="13"/>
      <c r="G189" s="13"/>
      <c r="H189" s="13"/>
      <c r="I189" s="13"/>
      <c r="J189" s="14"/>
      <c r="K189" s="14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" customHeight="1">
      <c r="A190" s="14"/>
      <c r="B190" s="13"/>
      <c r="C190" s="13"/>
      <c r="D190" s="13"/>
      <c r="E190" s="13"/>
      <c r="F190" s="13"/>
      <c r="G190" s="13"/>
      <c r="H190" s="13"/>
      <c r="I190" s="13"/>
      <c r="J190" s="14"/>
      <c r="K190" s="14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" customHeight="1">
      <c r="A191" s="14"/>
      <c r="B191" s="13"/>
      <c r="C191" s="13"/>
      <c r="D191" s="13"/>
      <c r="E191" s="13"/>
      <c r="F191" s="13"/>
      <c r="G191" s="13"/>
      <c r="H191" s="13"/>
      <c r="I191" s="13"/>
      <c r="J191" s="14"/>
      <c r="K191" s="14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" customHeight="1">
      <c r="A192" s="14"/>
      <c r="B192" s="13"/>
      <c r="C192" s="13"/>
      <c r="D192" s="13"/>
      <c r="E192" s="13"/>
      <c r="F192" s="13"/>
      <c r="G192" s="13"/>
      <c r="H192" s="13"/>
      <c r="I192" s="13"/>
      <c r="J192" s="14"/>
      <c r="K192" s="14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" customHeight="1">
      <c r="A193" s="14"/>
      <c r="B193" s="13"/>
      <c r="C193" s="13"/>
      <c r="D193" s="13"/>
      <c r="E193" s="13"/>
      <c r="F193" s="13"/>
      <c r="G193" s="13"/>
      <c r="H193" s="13"/>
      <c r="I193" s="13"/>
      <c r="J193" s="14"/>
      <c r="K193" s="14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" customHeight="1">
      <c r="A194" s="14"/>
      <c r="B194" s="13"/>
      <c r="C194" s="13"/>
      <c r="D194" s="13"/>
      <c r="E194" s="13"/>
      <c r="F194" s="13"/>
      <c r="G194" s="13"/>
      <c r="H194" s="13"/>
      <c r="I194" s="13"/>
      <c r="J194" s="14"/>
      <c r="K194" s="14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" customHeight="1">
      <c r="A195" s="14"/>
      <c r="B195" s="13"/>
      <c r="C195" s="13"/>
      <c r="D195" s="13"/>
      <c r="E195" s="13"/>
      <c r="F195" s="13"/>
      <c r="G195" s="13"/>
      <c r="H195" s="13"/>
      <c r="I195" s="13"/>
      <c r="J195" s="14"/>
      <c r="K195" s="14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" customHeight="1">
      <c r="A196" s="14"/>
      <c r="B196" s="13"/>
      <c r="C196" s="13"/>
      <c r="D196" s="13"/>
      <c r="E196" s="13"/>
      <c r="F196" s="13"/>
      <c r="G196" s="13"/>
      <c r="H196" s="13"/>
      <c r="I196" s="13"/>
      <c r="J196" s="14"/>
      <c r="K196" s="14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" customHeight="1">
      <c r="A197" s="14"/>
      <c r="B197" s="13"/>
      <c r="C197" s="13"/>
      <c r="D197" s="13"/>
      <c r="E197" s="13"/>
      <c r="F197" s="13"/>
      <c r="G197" s="13"/>
      <c r="H197" s="13"/>
      <c r="I197" s="13"/>
      <c r="J197" s="14"/>
      <c r="K197" s="14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" customHeight="1">
      <c r="A198" s="14"/>
      <c r="B198" s="13"/>
      <c r="C198" s="13"/>
      <c r="D198" s="13"/>
      <c r="E198" s="13"/>
      <c r="F198" s="13"/>
      <c r="G198" s="13"/>
      <c r="H198" s="13"/>
      <c r="I198" s="13"/>
      <c r="J198" s="14"/>
      <c r="K198" s="14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" customHeight="1">
      <c r="A199" s="14"/>
      <c r="B199" s="13"/>
      <c r="C199" s="13"/>
      <c r="D199" s="13"/>
      <c r="E199" s="13"/>
      <c r="F199" s="13"/>
      <c r="G199" s="13"/>
      <c r="H199" s="13"/>
      <c r="I199" s="13"/>
      <c r="J199" s="14"/>
      <c r="K199" s="14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" customHeight="1">
      <c r="A200" s="14"/>
      <c r="B200" s="13"/>
      <c r="C200" s="13"/>
      <c r="D200" s="13"/>
      <c r="E200" s="13"/>
      <c r="F200" s="13"/>
      <c r="G200" s="13"/>
      <c r="H200" s="13"/>
      <c r="I200" s="13"/>
      <c r="J200" s="14"/>
      <c r="K200" s="14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" customHeight="1">
      <c r="A201" s="14"/>
      <c r="B201" s="13"/>
      <c r="C201" s="13"/>
      <c r="D201" s="13"/>
      <c r="E201" s="13"/>
      <c r="F201" s="13"/>
      <c r="G201" s="13"/>
      <c r="H201" s="13"/>
      <c r="I201" s="13"/>
      <c r="J201" s="14"/>
      <c r="K201" s="14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" customHeight="1">
      <c r="A202" s="14"/>
      <c r="B202" s="13"/>
      <c r="C202" s="13"/>
      <c r="D202" s="13"/>
      <c r="E202" s="13"/>
      <c r="F202" s="13"/>
      <c r="G202" s="13"/>
      <c r="H202" s="13"/>
      <c r="I202" s="13"/>
      <c r="J202" s="14"/>
      <c r="K202" s="14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" customHeight="1">
      <c r="A203" s="14"/>
      <c r="B203" s="13"/>
      <c r="C203" s="13"/>
      <c r="D203" s="13"/>
      <c r="E203" s="13"/>
      <c r="F203" s="13"/>
      <c r="G203" s="13"/>
      <c r="H203" s="13"/>
      <c r="I203" s="13"/>
      <c r="J203" s="14"/>
      <c r="K203" s="14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" customHeight="1">
      <c r="A204" s="14"/>
      <c r="B204" s="13"/>
      <c r="C204" s="13"/>
      <c r="D204" s="13"/>
      <c r="E204" s="13"/>
      <c r="F204" s="13"/>
      <c r="G204" s="13"/>
      <c r="H204" s="13"/>
      <c r="I204" s="13"/>
      <c r="J204" s="14"/>
      <c r="K204" s="14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" customHeight="1">
      <c r="A205" s="14"/>
      <c r="B205" s="13"/>
      <c r="C205" s="13"/>
      <c r="D205" s="13"/>
      <c r="E205" s="13"/>
      <c r="F205" s="13"/>
      <c r="G205" s="13"/>
      <c r="H205" s="13"/>
      <c r="I205" s="13"/>
      <c r="J205" s="14"/>
      <c r="K205" s="14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" customHeight="1">
      <c r="A206" s="14"/>
      <c r="B206" s="13"/>
      <c r="C206" s="13"/>
      <c r="D206" s="13"/>
      <c r="E206" s="13"/>
      <c r="F206" s="13"/>
      <c r="G206" s="13"/>
      <c r="H206" s="13"/>
      <c r="I206" s="13"/>
      <c r="J206" s="14"/>
      <c r="K206" s="14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" customHeight="1">
      <c r="A207" s="14"/>
      <c r="B207" s="13"/>
      <c r="C207" s="13"/>
      <c r="D207" s="13"/>
      <c r="E207" s="13"/>
      <c r="F207" s="13"/>
      <c r="G207" s="13"/>
      <c r="H207" s="13"/>
      <c r="I207" s="13"/>
      <c r="J207" s="14"/>
      <c r="K207" s="14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" customHeight="1">
      <c r="A208" s="14"/>
      <c r="B208" s="13"/>
      <c r="C208" s="13"/>
      <c r="D208" s="13"/>
      <c r="E208" s="13"/>
      <c r="F208" s="13"/>
      <c r="G208" s="13"/>
      <c r="H208" s="13"/>
      <c r="I208" s="13"/>
      <c r="J208" s="14"/>
      <c r="K208" s="14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" customHeight="1">
      <c r="A209" s="14"/>
      <c r="B209" s="13"/>
      <c r="C209" s="13"/>
      <c r="D209" s="13"/>
      <c r="E209" s="13"/>
      <c r="F209" s="13"/>
      <c r="G209" s="13"/>
      <c r="H209" s="13"/>
      <c r="I209" s="13"/>
      <c r="J209" s="14"/>
      <c r="K209" s="14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" customHeight="1">
      <c r="A210" s="14"/>
      <c r="B210" s="13"/>
      <c r="C210" s="13"/>
      <c r="D210" s="13"/>
      <c r="E210" s="13"/>
      <c r="F210" s="13"/>
      <c r="G210" s="13"/>
      <c r="H210" s="13"/>
      <c r="I210" s="13"/>
      <c r="J210" s="14"/>
      <c r="K210" s="14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" customHeight="1">
      <c r="A211" s="14"/>
      <c r="B211" s="13"/>
      <c r="C211" s="13"/>
      <c r="D211" s="13"/>
      <c r="E211" s="13"/>
      <c r="F211" s="13"/>
      <c r="G211" s="13"/>
      <c r="H211" s="13"/>
      <c r="I211" s="13"/>
      <c r="J211" s="14"/>
      <c r="K211" s="14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" customHeight="1">
      <c r="A212" s="14"/>
      <c r="B212" s="13"/>
      <c r="C212" s="13"/>
      <c r="D212" s="13"/>
      <c r="E212" s="13"/>
      <c r="F212" s="13"/>
      <c r="G212" s="13"/>
      <c r="H212" s="13"/>
      <c r="I212" s="13"/>
      <c r="J212" s="14"/>
      <c r="K212" s="14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" customHeight="1">
      <c r="A213" s="14"/>
      <c r="B213" s="13"/>
      <c r="C213" s="13"/>
      <c r="D213" s="13"/>
      <c r="E213" s="13"/>
      <c r="F213" s="13"/>
      <c r="G213" s="13"/>
      <c r="H213" s="13"/>
      <c r="I213" s="13"/>
      <c r="J213" s="14"/>
      <c r="K213" s="14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" customHeight="1">
      <c r="A214" s="14"/>
      <c r="B214" s="13"/>
      <c r="C214" s="13"/>
      <c r="D214" s="13"/>
      <c r="E214" s="13"/>
      <c r="F214" s="13"/>
      <c r="G214" s="13"/>
      <c r="H214" s="13"/>
      <c r="I214" s="13"/>
      <c r="J214" s="14"/>
      <c r="K214" s="14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" customHeight="1">
      <c r="A215" s="14"/>
      <c r="B215" s="13"/>
      <c r="C215" s="13"/>
      <c r="D215" s="13"/>
      <c r="E215" s="13"/>
      <c r="F215" s="13"/>
      <c r="G215" s="13"/>
      <c r="H215" s="13"/>
      <c r="I215" s="13"/>
      <c r="J215" s="14"/>
      <c r="K215" s="14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" customHeight="1">
      <c r="A216" s="14"/>
      <c r="B216" s="13"/>
      <c r="C216" s="13"/>
      <c r="D216" s="13"/>
      <c r="E216" s="13"/>
      <c r="F216" s="13"/>
      <c r="G216" s="13"/>
      <c r="H216" s="13"/>
      <c r="I216" s="13"/>
      <c r="J216" s="14"/>
      <c r="K216" s="14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" customHeight="1">
      <c r="A217" s="14"/>
      <c r="B217" s="13"/>
      <c r="C217" s="13"/>
      <c r="D217" s="13"/>
      <c r="E217" s="13"/>
      <c r="F217" s="13"/>
      <c r="G217" s="13"/>
      <c r="H217" s="13"/>
      <c r="I217" s="13"/>
      <c r="J217" s="14"/>
      <c r="K217" s="14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" customHeight="1">
      <c r="A218" s="14"/>
      <c r="B218" s="13"/>
      <c r="C218" s="13"/>
      <c r="D218" s="13"/>
      <c r="E218" s="13"/>
      <c r="F218" s="13"/>
      <c r="G218" s="13"/>
      <c r="H218" s="13"/>
      <c r="I218" s="13"/>
      <c r="J218" s="14"/>
      <c r="K218" s="14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" customHeight="1">
      <c r="A219" s="14"/>
      <c r="B219" s="13"/>
      <c r="C219" s="13"/>
      <c r="D219" s="13"/>
      <c r="E219" s="13"/>
      <c r="F219" s="13"/>
      <c r="G219" s="13"/>
      <c r="H219" s="13"/>
      <c r="I219" s="13"/>
      <c r="J219" s="14"/>
      <c r="K219" s="14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" customHeight="1">
      <c r="A220" s="14"/>
      <c r="B220" s="13"/>
      <c r="C220" s="13"/>
      <c r="D220" s="13"/>
      <c r="E220" s="13"/>
      <c r="F220" s="13"/>
      <c r="G220" s="13"/>
      <c r="H220" s="13"/>
      <c r="I220" s="13"/>
      <c r="J220" s="14"/>
      <c r="K220" s="14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" customHeight="1">
      <c r="A221" s="14"/>
      <c r="B221" s="13"/>
      <c r="C221" s="13"/>
      <c r="D221" s="13"/>
      <c r="E221" s="13"/>
      <c r="F221" s="13"/>
      <c r="G221" s="13"/>
      <c r="H221" s="13"/>
      <c r="I221" s="13"/>
      <c r="J221" s="14"/>
      <c r="K221" s="14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" customHeight="1">
      <c r="A222" s="14"/>
      <c r="B222" s="13"/>
      <c r="C222" s="13"/>
      <c r="D222" s="13"/>
      <c r="E222" s="13"/>
      <c r="F222" s="13"/>
      <c r="G222" s="13"/>
      <c r="H222" s="13"/>
      <c r="I222" s="13"/>
      <c r="J222" s="14"/>
      <c r="K222" s="14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" customHeight="1">
      <c r="A223" s="14"/>
      <c r="B223" s="13"/>
      <c r="C223" s="13"/>
      <c r="D223" s="13"/>
      <c r="E223" s="13"/>
      <c r="F223" s="13"/>
      <c r="G223" s="13"/>
      <c r="H223" s="13"/>
      <c r="I223" s="13"/>
      <c r="J223" s="14"/>
      <c r="K223" s="14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" customHeight="1">
      <c r="A224" s="14"/>
      <c r="B224" s="13"/>
      <c r="C224" s="13"/>
      <c r="D224" s="13"/>
      <c r="E224" s="13"/>
      <c r="F224" s="13"/>
      <c r="G224" s="13"/>
      <c r="H224" s="13"/>
      <c r="I224" s="13"/>
      <c r="J224" s="14"/>
      <c r="K224" s="14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" customHeight="1">
      <c r="A225" s="14"/>
      <c r="B225" s="13"/>
      <c r="C225" s="13"/>
      <c r="D225" s="13"/>
      <c r="E225" s="13"/>
      <c r="F225" s="13"/>
      <c r="G225" s="13"/>
      <c r="H225" s="13"/>
      <c r="I225" s="13"/>
      <c r="J225" s="14"/>
      <c r="K225" s="14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" customHeight="1">
      <c r="A226" s="14"/>
      <c r="B226" s="13"/>
      <c r="C226" s="13"/>
      <c r="D226" s="13"/>
      <c r="E226" s="13"/>
      <c r="F226" s="13"/>
      <c r="G226" s="13"/>
      <c r="H226" s="13"/>
      <c r="I226" s="13"/>
      <c r="J226" s="14"/>
      <c r="K226" s="14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" customHeight="1">
      <c r="A227" s="14"/>
      <c r="B227" s="13"/>
      <c r="C227" s="13"/>
      <c r="D227" s="13"/>
      <c r="E227" s="13"/>
      <c r="F227" s="13"/>
      <c r="G227" s="13"/>
      <c r="H227" s="13"/>
      <c r="I227" s="13"/>
      <c r="J227" s="14"/>
      <c r="K227" s="14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" customHeight="1">
      <c r="A228" s="14"/>
      <c r="B228" s="13"/>
      <c r="C228" s="13"/>
      <c r="D228" s="13"/>
      <c r="E228" s="13"/>
      <c r="F228" s="13"/>
      <c r="G228" s="13"/>
      <c r="H228" s="13"/>
      <c r="I228" s="13"/>
      <c r="J228" s="14"/>
      <c r="K228" s="14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" customHeight="1">
      <c r="A229" s="14"/>
      <c r="B229" s="13"/>
      <c r="C229" s="13"/>
      <c r="D229" s="13"/>
      <c r="E229" s="13"/>
      <c r="F229" s="13"/>
      <c r="G229" s="13"/>
      <c r="H229" s="13"/>
      <c r="I229" s="13"/>
      <c r="J229" s="14"/>
      <c r="K229" s="14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" customHeight="1">
      <c r="A230" s="14"/>
      <c r="B230" s="13"/>
      <c r="C230" s="13"/>
      <c r="D230" s="13"/>
      <c r="E230" s="13"/>
      <c r="F230" s="13"/>
      <c r="G230" s="13"/>
      <c r="H230" s="13"/>
      <c r="I230" s="13"/>
      <c r="J230" s="14"/>
      <c r="K230" s="14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" customHeight="1">
      <c r="A231" s="14"/>
      <c r="B231" s="13"/>
      <c r="C231" s="13"/>
      <c r="D231" s="13"/>
      <c r="E231" s="13"/>
      <c r="F231" s="13"/>
      <c r="G231" s="13"/>
      <c r="H231" s="13"/>
      <c r="I231" s="13"/>
      <c r="J231" s="14"/>
      <c r="K231" s="14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" customHeight="1">
      <c r="A232" s="14"/>
      <c r="B232" s="13"/>
      <c r="C232" s="13"/>
      <c r="D232" s="13"/>
      <c r="E232" s="13"/>
      <c r="F232" s="13"/>
      <c r="G232" s="13"/>
      <c r="H232" s="13"/>
      <c r="I232" s="13"/>
      <c r="J232" s="14"/>
      <c r="K232" s="14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" customHeight="1">
      <c r="A233" s="14"/>
      <c r="B233" s="13"/>
      <c r="C233" s="13"/>
      <c r="D233" s="13"/>
      <c r="E233" s="13"/>
      <c r="F233" s="13"/>
      <c r="G233" s="13"/>
      <c r="H233" s="13"/>
      <c r="I233" s="13"/>
      <c r="J233" s="14"/>
      <c r="K233" s="14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" customHeight="1">
      <c r="A234" s="14"/>
      <c r="B234" s="13"/>
      <c r="C234" s="13"/>
      <c r="D234" s="13"/>
      <c r="E234" s="13"/>
      <c r="F234" s="13"/>
      <c r="G234" s="13"/>
      <c r="H234" s="13"/>
      <c r="I234" s="13"/>
      <c r="J234" s="14"/>
      <c r="K234" s="14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" customHeight="1">
      <c r="A235" s="14"/>
      <c r="B235" s="13"/>
      <c r="C235" s="13"/>
      <c r="D235" s="13"/>
      <c r="E235" s="13"/>
      <c r="F235" s="13"/>
      <c r="G235" s="13"/>
      <c r="H235" s="13"/>
      <c r="I235" s="13"/>
      <c r="J235" s="14"/>
      <c r="K235" s="14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" customHeight="1">
      <c r="A236" s="14"/>
      <c r="B236" s="13"/>
      <c r="C236" s="13"/>
      <c r="D236" s="13"/>
      <c r="E236" s="13"/>
      <c r="F236" s="13"/>
      <c r="G236" s="13"/>
      <c r="H236" s="13"/>
      <c r="I236" s="13"/>
      <c r="J236" s="14"/>
      <c r="K236" s="14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" customHeight="1">
      <c r="A237" s="14"/>
      <c r="B237" s="13"/>
      <c r="C237" s="13"/>
      <c r="D237" s="13"/>
      <c r="E237" s="13"/>
      <c r="F237" s="13"/>
      <c r="G237" s="13"/>
      <c r="H237" s="13"/>
      <c r="I237" s="13"/>
      <c r="J237" s="14"/>
      <c r="K237" s="14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" customHeight="1">
      <c r="A238" s="14"/>
      <c r="B238" s="13"/>
      <c r="C238" s="13"/>
      <c r="D238" s="13"/>
      <c r="E238" s="13"/>
      <c r="F238" s="13"/>
      <c r="G238" s="13"/>
      <c r="H238" s="13"/>
      <c r="I238" s="13"/>
      <c r="J238" s="14"/>
      <c r="K238" s="14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" customHeight="1">
      <c r="A239" s="14"/>
      <c r="B239" s="13"/>
      <c r="C239" s="13"/>
      <c r="D239" s="13"/>
      <c r="E239" s="13"/>
      <c r="F239" s="13"/>
      <c r="G239" s="13"/>
      <c r="H239" s="13"/>
      <c r="I239" s="13"/>
      <c r="J239" s="14"/>
      <c r="K239" s="14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" customHeight="1">
      <c r="A240" s="14"/>
      <c r="B240" s="13"/>
      <c r="C240" s="13"/>
      <c r="D240" s="13"/>
      <c r="E240" s="13"/>
      <c r="F240" s="13"/>
      <c r="G240" s="13"/>
      <c r="H240" s="13"/>
      <c r="I240" s="13"/>
      <c r="J240" s="14"/>
      <c r="K240" s="14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" customHeight="1">
      <c r="A241" s="14"/>
      <c r="B241" s="13"/>
      <c r="C241" s="13"/>
      <c r="D241" s="13"/>
      <c r="E241" s="13"/>
      <c r="F241" s="13"/>
      <c r="G241" s="13"/>
      <c r="H241" s="13"/>
      <c r="I241" s="13"/>
      <c r="J241" s="14"/>
      <c r="K241" s="14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" customHeight="1">
      <c r="A242" s="14"/>
      <c r="B242" s="13"/>
      <c r="C242" s="13"/>
      <c r="D242" s="13"/>
      <c r="E242" s="13"/>
      <c r="F242" s="13"/>
      <c r="G242" s="13"/>
      <c r="H242" s="13"/>
      <c r="I242" s="13"/>
      <c r="J242" s="14"/>
      <c r="K242" s="14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" customHeight="1">
      <c r="A243" s="14"/>
      <c r="B243" s="13"/>
      <c r="C243" s="13"/>
      <c r="D243" s="13"/>
      <c r="E243" s="13"/>
      <c r="F243" s="13"/>
      <c r="G243" s="13"/>
      <c r="H243" s="13"/>
      <c r="I243" s="13"/>
      <c r="J243" s="14"/>
      <c r="K243" s="14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" customHeight="1">
      <c r="A244" s="14"/>
      <c r="B244" s="13"/>
      <c r="C244" s="13"/>
      <c r="D244" s="13"/>
      <c r="E244" s="13"/>
      <c r="F244" s="13"/>
      <c r="G244" s="13"/>
      <c r="H244" s="13"/>
      <c r="I244" s="13"/>
      <c r="J244" s="14"/>
      <c r="K244" s="14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" customHeight="1">
      <c r="A245" s="14"/>
      <c r="B245" s="13"/>
      <c r="C245" s="13"/>
      <c r="D245" s="13"/>
      <c r="E245" s="13"/>
      <c r="F245" s="13"/>
      <c r="G245" s="13"/>
      <c r="H245" s="13"/>
      <c r="I245" s="13"/>
      <c r="J245" s="14"/>
      <c r="K245" s="14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" customHeight="1">
      <c r="A246" s="14"/>
      <c r="B246" s="13"/>
      <c r="C246" s="13"/>
      <c r="D246" s="13"/>
      <c r="E246" s="13"/>
      <c r="F246" s="13"/>
      <c r="G246" s="13"/>
      <c r="H246" s="13"/>
      <c r="I246" s="13"/>
      <c r="J246" s="14"/>
      <c r="K246" s="14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" customHeight="1">
      <c r="A247" s="14"/>
      <c r="B247" s="13"/>
      <c r="C247" s="13"/>
      <c r="D247" s="13"/>
      <c r="E247" s="13"/>
      <c r="F247" s="13"/>
      <c r="G247" s="13"/>
      <c r="H247" s="13"/>
      <c r="I247" s="13"/>
      <c r="J247" s="14"/>
      <c r="K247" s="14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" customHeight="1">
      <c r="A248" s="14"/>
      <c r="B248" s="13"/>
      <c r="C248" s="13"/>
      <c r="D248" s="13"/>
      <c r="E248" s="13"/>
      <c r="F248" s="13"/>
      <c r="G248" s="13"/>
      <c r="H248" s="13"/>
      <c r="I248" s="13"/>
      <c r="J248" s="14"/>
      <c r="K248" s="14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" customHeight="1">
      <c r="A249" s="14"/>
      <c r="B249" s="13"/>
      <c r="C249" s="13"/>
      <c r="D249" s="13"/>
      <c r="E249" s="13"/>
      <c r="F249" s="13"/>
      <c r="G249" s="13"/>
      <c r="H249" s="13"/>
      <c r="I249" s="13"/>
      <c r="J249" s="14"/>
      <c r="K249" s="14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" customHeight="1">
      <c r="A250" s="14"/>
      <c r="B250" s="13"/>
      <c r="C250" s="13"/>
      <c r="D250" s="13"/>
      <c r="E250" s="13"/>
      <c r="F250" s="13"/>
      <c r="G250" s="13"/>
      <c r="H250" s="13"/>
      <c r="I250" s="13"/>
      <c r="J250" s="14"/>
      <c r="K250" s="14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" customHeight="1">
      <c r="A251" s="14"/>
      <c r="B251" s="13"/>
      <c r="C251" s="13"/>
      <c r="D251" s="13"/>
      <c r="E251" s="13"/>
      <c r="F251" s="13"/>
      <c r="G251" s="13"/>
      <c r="H251" s="13"/>
      <c r="I251" s="13"/>
      <c r="J251" s="14"/>
      <c r="K251" s="14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" customHeight="1">
      <c r="A252" s="14"/>
      <c r="B252" s="13"/>
      <c r="C252" s="13"/>
      <c r="D252" s="13"/>
      <c r="E252" s="13"/>
      <c r="F252" s="13"/>
      <c r="G252" s="13"/>
      <c r="H252" s="13"/>
      <c r="I252" s="13"/>
      <c r="J252" s="14"/>
      <c r="K252" s="14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" customHeight="1">
      <c r="A253" s="14"/>
      <c r="B253" s="13"/>
      <c r="C253" s="13"/>
      <c r="D253" s="13"/>
      <c r="E253" s="13"/>
      <c r="F253" s="13"/>
      <c r="G253" s="13"/>
      <c r="H253" s="13"/>
      <c r="I253" s="13"/>
      <c r="J253" s="14"/>
      <c r="K253" s="14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" customHeight="1">
      <c r="A254" s="14"/>
      <c r="B254" s="13"/>
      <c r="C254" s="13"/>
      <c r="D254" s="13"/>
      <c r="E254" s="13"/>
      <c r="F254" s="13"/>
      <c r="G254" s="13"/>
      <c r="H254" s="13"/>
      <c r="I254" s="13"/>
      <c r="J254" s="14"/>
      <c r="K254" s="14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" customHeight="1">
      <c r="A255" s="14"/>
      <c r="B255" s="13"/>
      <c r="C255" s="13"/>
      <c r="D255" s="13"/>
      <c r="E255" s="13"/>
      <c r="F255" s="13"/>
      <c r="G255" s="13"/>
      <c r="H255" s="13"/>
      <c r="I255" s="13"/>
      <c r="J255" s="14"/>
      <c r="K255" s="14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" customHeight="1">
      <c r="A256" s="14"/>
      <c r="B256" s="13"/>
      <c r="C256" s="13"/>
      <c r="D256" s="13"/>
      <c r="E256" s="13"/>
      <c r="F256" s="13"/>
      <c r="G256" s="13"/>
      <c r="H256" s="13"/>
      <c r="I256" s="13"/>
      <c r="J256" s="14"/>
      <c r="K256" s="14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" customHeight="1">
      <c r="A257" s="14"/>
      <c r="B257" s="13"/>
      <c r="C257" s="13"/>
      <c r="D257" s="13"/>
      <c r="E257" s="13"/>
      <c r="F257" s="13"/>
      <c r="G257" s="13"/>
      <c r="H257" s="13"/>
      <c r="I257" s="13"/>
      <c r="J257" s="14"/>
      <c r="K257" s="14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" customHeight="1">
      <c r="A258" s="14"/>
      <c r="B258" s="13"/>
      <c r="C258" s="13"/>
      <c r="D258" s="13"/>
      <c r="E258" s="13"/>
      <c r="F258" s="13"/>
      <c r="G258" s="13"/>
      <c r="H258" s="13"/>
      <c r="I258" s="13"/>
      <c r="J258" s="14"/>
      <c r="K258" s="14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" customHeight="1">
      <c r="A259" s="14"/>
      <c r="B259" s="13"/>
      <c r="C259" s="13"/>
      <c r="D259" s="13"/>
      <c r="E259" s="13"/>
      <c r="F259" s="13"/>
      <c r="G259" s="13"/>
      <c r="H259" s="13"/>
      <c r="I259" s="13"/>
      <c r="J259" s="14"/>
      <c r="K259" s="14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" customHeight="1">
      <c r="A260" s="14"/>
      <c r="B260" s="13"/>
      <c r="C260" s="13"/>
      <c r="D260" s="13"/>
      <c r="E260" s="13"/>
      <c r="F260" s="13"/>
      <c r="G260" s="13"/>
      <c r="H260" s="13"/>
      <c r="I260" s="13"/>
      <c r="J260" s="14"/>
      <c r="K260" s="14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" customHeight="1">
      <c r="A261" s="14"/>
      <c r="B261" s="13"/>
      <c r="C261" s="13"/>
      <c r="D261" s="13"/>
      <c r="E261" s="13"/>
      <c r="F261" s="13"/>
      <c r="G261" s="13"/>
      <c r="H261" s="13"/>
      <c r="I261" s="13"/>
      <c r="J261" s="14"/>
      <c r="K261" s="14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" customHeight="1">
      <c r="A262" s="14"/>
      <c r="B262" s="13"/>
      <c r="C262" s="13"/>
      <c r="D262" s="13"/>
      <c r="E262" s="13"/>
      <c r="F262" s="13"/>
      <c r="G262" s="13"/>
      <c r="H262" s="13"/>
      <c r="I262" s="13"/>
      <c r="J262" s="14"/>
      <c r="K262" s="14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" customHeight="1">
      <c r="A263" s="14"/>
      <c r="B263" s="13"/>
      <c r="C263" s="13"/>
      <c r="D263" s="13"/>
      <c r="E263" s="13"/>
      <c r="F263" s="13"/>
      <c r="G263" s="13"/>
      <c r="H263" s="13"/>
      <c r="I263" s="13"/>
      <c r="J263" s="14"/>
      <c r="K263" s="14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" customHeight="1">
      <c r="A264" s="14"/>
      <c r="B264" s="13"/>
      <c r="C264" s="13"/>
      <c r="D264" s="13"/>
      <c r="E264" s="13"/>
      <c r="F264" s="13"/>
      <c r="G264" s="13"/>
      <c r="H264" s="13"/>
      <c r="I264" s="13"/>
      <c r="J264" s="14"/>
      <c r="K264" s="14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" customHeight="1">
      <c r="A265" s="14"/>
      <c r="B265" s="13"/>
      <c r="C265" s="13"/>
      <c r="D265" s="13"/>
      <c r="E265" s="13"/>
      <c r="F265" s="13"/>
      <c r="G265" s="13"/>
      <c r="H265" s="13"/>
      <c r="I265" s="13"/>
      <c r="J265" s="14"/>
      <c r="K265" s="14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" customHeight="1">
      <c r="A266" s="14"/>
      <c r="B266" s="13"/>
      <c r="C266" s="13"/>
      <c r="D266" s="13"/>
      <c r="E266" s="13"/>
      <c r="F266" s="13"/>
      <c r="G266" s="13"/>
      <c r="H266" s="13"/>
      <c r="I266" s="13"/>
      <c r="J266" s="14"/>
      <c r="K266" s="14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" customHeight="1">
      <c r="A267" s="14"/>
      <c r="B267" s="13"/>
      <c r="C267" s="13"/>
      <c r="D267" s="13"/>
      <c r="E267" s="13"/>
      <c r="F267" s="13"/>
      <c r="G267" s="13"/>
      <c r="H267" s="13"/>
      <c r="I267" s="13"/>
      <c r="J267" s="14"/>
      <c r="K267" s="14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" customHeight="1">
      <c r="A268" s="14"/>
      <c r="B268" s="13"/>
      <c r="C268" s="13"/>
      <c r="D268" s="13"/>
      <c r="E268" s="13"/>
      <c r="F268" s="13"/>
      <c r="G268" s="13"/>
      <c r="H268" s="13"/>
      <c r="I268" s="13"/>
      <c r="J268" s="14"/>
      <c r="K268" s="14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" customHeight="1">
      <c r="A269" s="14"/>
      <c r="B269" s="13"/>
      <c r="C269" s="13"/>
      <c r="D269" s="13"/>
      <c r="E269" s="13"/>
      <c r="F269" s="13"/>
      <c r="G269" s="13"/>
      <c r="H269" s="13"/>
      <c r="I269" s="13"/>
      <c r="J269" s="14"/>
      <c r="K269" s="14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" customHeight="1">
      <c r="A270" s="14"/>
      <c r="B270" s="13"/>
      <c r="C270" s="13"/>
      <c r="D270" s="13"/>
      <c r="E270" s="13"/>
      <c r="F270" s="13"/>
      <c r="G270" s="13"/>
      <c r="H270" s="13"/>
      <c r="I270" s="13"/>
      <c r="J270" s="14"/>
      <c r="K270" s="14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" customHeight="1">
      <c r="A271" s="14"/>
      <c r="B271" s="13"/>
      <c r="C271" s="13"/>
      <c r="D271" s="13"/>
      <c r="E271" s="13"/>
      <c r="F271" s="13"/>
      <c r="G271" s="13"/>
      <c r="H271" s="13"/>
      <c r="I271" s="13"/>
      <c r="J271" s="14"/>
      <c r="K271" s="14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" customHeight="1">
      <c r="A272" s="14"/>
      <c r="B272" s="13"/>
      <c r="C272" s="13"/>
      <c r="D272" s="13"/>
      <c r="E272" s="13"/>
      <c r="F272" s="13"/>
      <c r="G272" s="13"/>
      <c r="H272" s="13"/>
      <c r="I272" s="13"/>
      <c r="J272" s="14"/>
      <c r="K272" s="14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" customHeight="1">
      <c r="A273" s="14"/>
      <c r="B273" s="13"/>
      <c r="C273" s="13"/>
      <c r="D273" s="13"/>
      <c r="E273" s="13"/>
      <c r="F273" s="13"/>
      <c r="G273" s="13"/>
      <c r="H273" s="13"/>
      <c r="I273" s="13"/>
      <c r="J273" s="14"/>
      <c r="K273" s="14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" customHeight="1">
      <c r="A274" s="14"/>
      <c r="B274" s="13"/>
      <c r="C274" s="13"/>
      <c r="D274" s="13"/>
      <c r="E274" s="13"/>
      <c r="F274" s="13"/>
      <c r="G274" s="13"/>
      <c r="H274" s="13"/>
      <c r="I274" s="13"/>
      <c r="J274" s="14"/>
      <c r="K274" s="14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" customHeight="1">
      <c r="A275" s="14"/>
      <c r="B275" s="13"/>
      <c r="C275" s="13"/>
      <c r="D275" s="13"/>
      <c r="E275" s="13"/>
      <c r="F275" s="13"/>
      <c r="G275" s="13"/>
      <c r="H275" s="13"/>
      <c r="I275" s="13"/>
      <c r="J275" s="14"/>
      <c r="K275" s="14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" customHeight="1">
      <c r="A276" s="14"/>
      <c r="B276" s="13"/>
      <c r="C276" s="13"/>
      <c r="D276" s="13"/>
      <c r="E276" s="13"/>
      <c r="F276" s="13"/>
      <c r="G276" s="13"/>
      <c r="H276" s="13"/>
      <c r="I276" s="13"/>
      <c r="J276" s="14"/>
      <c r="K276" s="14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" customHeight="1">
      <c r="A277" s="14"/>
      <c r="B277" s="13"/>
      <c r="C277" s="13"/>
      <c r="D277" s="13"/>
      <c r="E277" s="13"/>
      <c r="F277" s="13"/>
      <c r="G277" s="13"/>
      <c r="H277" s="13"/>
      <c r="I277" s="13"/>
      <c r="J277" s="14"/>
      <c r="K277" s="14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" customHeight="1">
      <c r="A278" s="14"/>
      <c r="B278" s="13"/>
      <c r="C278" s="13"/>
      <c r="D278" s="13"/>
      <c r="E278" s="13"/>
      <c r="F278" s="13"/>
      <c r="G278" s="13"/>
      <c r="H278" s="13"/>
      <c r="I278" s="13"/>
      <c r="J278" s="14"/>
      <c r="K278" s="14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" customHeight="1">
      <c r="A279" s="14"/>
      <c r="B279" s="13"/>
      <c r="C279" s="13"/>
      <c r="D279" s="13"/>
      <c r="E279" s="13"/>
      <c r="F279" s="13"/>
      <c r="G279" s="13"/>
      <c r="H279" s="13"/>
      <c r="I279" s="13"/>
      <c r="J279" s="14"/>
      <c r="K279" s="14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" customHeight="1">
      <c r="A280" s="14"/>
      <c r="B280" s="13"/>
      <c r="C280" s="13"/>
      <c r="D280" s="13"/>
      <c r="E280" s="13"/>
      <c r="F280" s="13"/>
      <c r="G280" s="13"/>
      <c r="H280" s="13"/>
      <c r="I280" s="13"/>
      <c r="J280" s="14"/>
      <c r="K280" s="14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" customHeight="1">
      <c r="A281" s="14"/>
      <c r="B281" s="13"/>
      <c r="C281" s="13"/>
      <c r="D281" s="13"/>
      <c r="E281" s="13"/>
      <c r="F281" s="13"/>
      <c r="G281" s="13"/>
      <c r="H281" s="13"/>
      <c r="I281" s="13"/>
      <c r="J281" s="14"/>
      <c r="K281" s="14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" customHeight="1">
      <c r="A282" s="14"/>
      <c r="B282" s="13"/>
      <c r="C282" s="13"/>
      <c r="D282" s="13"/>
      <c r="E282" s="13"/>
      <c r="F282" s="13"/>
      <c r="G282" s="13"/>
      <c r="H282" s="13"/>
      <c r="I282" s="13"/>
      <c r="J282" s="14"/>
      <c r="K282" s="14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" customHeight="1">
      <c r="A283" s="14"/>
      <c r="B283" s="13"/>
      <c r="C283" s="13"/>
      <c r="D283" s="13"/>
      <c r="E283" s="13"/>
      <c r="F283" s="13"/>
      <c r="G283" s="13"/>
      <c r="H283" s="13"/>
      <c r="I283" s="13"/>
      <c r="J283" s="14"/>
      <c r="K283" s="14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" customHeight="1">
      <c r="A284" s="14"/>
      <c r="B284" s="13"/>
      <c r="C284" s="13"/>
      <c r="D284" s="13"/>
      <c r="E284" s="13"/>
      <c r="F284" s="13"/>
      <c r="G284" s="13"/>
      <c r="H284" s="13"/>
      <c r="I284" s="13"/>
      <c r="J284" s="14"/>
      <c r="K284" s="14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" customHeight="1">
      <c r="A285" s="14"/>
      <c r="B285" s="13"/>
      <c r="C285" s="13"/>
      <c r="D285" s="13"/>
      <c r="E285" s="13"/>
      <c r="F285" s="13"/>
      <c r="G285" s="13"/>
      <c r="H285" s="13"/>
      <c r="I285" s="13"/>
      <c r="J285" s="14"/>
      <c r="K285" s="14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" customHeight="1">
      <c r="A286" s="14"/>
      <c r="B286" s="13"/>
      <c r="C286" s="13"/>
      <c r="D286" s="13"/>
      <c r="E286" s="13"/>
      <c r="F286" s="13"/>
      <c r="G286" s="13"/>
      <c r="H286" s="13"/>
      <c r="I286" s="13"/>
      <c r="J286" s="14"/>
      <c r="K286" s="14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" customHeight="1">
      <c r="A287" s="14"/>
      <c r="B287" s="13"/>
      <c r="C287" s="13"/>
      <c r="D287" s="13"/>
      <c r="E287" s="13"/>
      <c r="F287" s="13"/>
      <c r="G287" s="13"/>
      <c r="H287" s="13"/>
      <c r="I287" s="13"/>
      <c r="J287" s="14"/>
      <c r="K287" s="14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" customHeight="1">
      <c r="A288" s="14"/>
      <c r="B288" s="13"/>
      <c r="C288" s="13"/>
      <c r="D288" s="13"/>
      <c r="E288" s="13"/>
      <c r="F288" s="13"/>
      <c r="G288" s="13"/>
      <c r="H288" s="13"/>
      <c r="I288" s="13"/>
      <c r="J288" s="14"/>
      <c r="K288" s="14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" customHeight="1">
      <c r="A289" s="14"/>
      <c r="B289" s="13"/>
      <c r="C289" s="13"/>
      <c r="D289" s="13"/>
      <c r="E289" s="13"/>
      <c r="F289" s="13"/>
      <c r="G289" s="13"/>
      <c r="H289" s="13"/>
      <c r="I289" s="13"/>
      <c r="J289" s="14"/>
      <c r="K289" s="14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" customHeight="1">
      <c r="A290" s="14"/>
      <c r="B290" s="13"/>
      <c r="C290" s="13"/>
      <c r="D290" s="13"/>
      <c r="E290" s="13"/>
      <c r="F290" s="13"/>
      <c r="G290" s="13"/>
      <c r="H290" s="13"/>
      <c r="I290" s="13"/>
      <c r="J290" s="14"/>
      <c r="K290" s="14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" customHeight="1">
      <c r="A291" s="14"/>
      <c r="B291" s="13"/>
      <c r="C291" s="13"/>
      <c r="D291" s="13"/>
      <c r="E291" s="13"/>
      <c r="F291" s="13"/>
      <c r="G291" s="13"/>
      <c r="H291" s="13"/>
      <c r="I291" s="13"/>
      <c r="J291" s="14"/>
      <c r="K291" s="14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" customHeight="1">
      <c r="A292" s="14"/>
      <c r="B292" s="13"/>
      <c r="C292" s="13"/>
      <c r="D292" s="13"/>
      <c r="E292" s="13"/>
      <c r="F292" s="13"/>
      <c r="G292" s="13"/>
      <c r="H292" s="13"/>
      <c r="I292" s="13"/>
      <c r="J292" s="14"/>
      <c r="K292" s="14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" customHeight="1">
      <c r="A293" s="14"/>
      <c r="B293" s="13"/>
      <c r="C293" s="13"/>
      <c r="D293" s="13"/>
      <c r="E293" s="13"/>
      <c r="F293" s="13"/>
      <c r="G293" s="13"/>
      <c r="H293" s="13"/>
      <c r="I293" s="13"/>
      <c r="J293" s="14"/>
      <c r="K293" s="14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" customHeight="1">
      <c r="A294" s="14"/>
      <c r="B294" s="13"/>
      <c r="C294" s="13"/>
      <c r="D294" s="13"/>
      <c r="E294" s="13"/>
      <c r="F294" s="13"/>
      <c r="G294" s="13"/>
      <c r="H294" s="13"/>
      <c r="I294" s="13"/>
      <c r="J294" s="14"/>
      <c r="K294" s="14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" customHeight="1">
      <c r="A295" s="14"/>
      <c r="B295" s="13"/>
      <c r="C295" s="13"/>
      <c r="D295" s="13"/>
      <c r="E295" s="13"/>
      <c r="F295" s="13"/>
      <c r="G295" s="13"/>
      <c r="H295" s="13"/>
      <c r="I295" s="13"/>
      <c r="J295" s="14"/>
      <c r="K295" s="14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" customHeight="1">
      <c r="A296" s="14"/>
      <c r="B296" s="13"/>
      <c r="C296" s="13"/>
      <c r="D296" s="13"/>
      <c r="E296" s="13"/>
      <c r="F296" s="13"/>
      <c r="G296" s="13"/>
      <c r="H296" s="13"/>
      <c r="I296" s="13"/>
      <c r="J296" s="14"/>
      <c r="K296" s="14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" customHeight="1">
      <c r="A297" s="14"/>
      <c r="B297" s="13"/>
      <c r="C297" s="13"/>
      <c r="D297" s="13"/>
      <c r="E297" s="13"/>
      <c r="F297" s="13"/>
      <c r="G297" s="13"/>
      <c r="H297" s="13"/>
      <c r="I297" s="13"/>
      <c r="J297" s="14"/>
      <c r="K297" s="14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" customHeight="1">
      <c r="A298" s="14"/>
      <c r="B298" s="13"/>
      <c r="C298" s="13"/>
      <c r="D298" s="13"/>
      <c r="E298" s="13"/>
      <c r="F298" s="13"/>
      <c r="G298" s="13"/>
      <c r="H298" s="13"/>
      <c r="I298" s="13"/>
      <c r="J298" s="14"/>
      <c r="K298" s="14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" customHeight="1">
      <c r="A299" s="14"/>
      <c r="B299" s="13"/>
      <c r="C299" s="13"/>
      <c r="D299" s="13"/>
      <c r="E299" s="13"/>
      <c r="F299" s="13"/>
      <c r="G299" s="13"/>
      <c r="H299" s="13"/>
      <c r="I299" s="13"/>
      <c r="J299" s="14"/>
      <c r="K299" s="14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" customHeight="1">
      <c r="A300" s="14"/>
      <c r="B300" s="13"/>
      <c r="C300" s="13"/>
      <c r="D300" s="13"/>
      <c r="E300" s="13"/>
      <c r="F300" s="13"/>
      <c r="G300" s="13"/>
      <c r="H300" s="13"/>
      <c r="I300" s="13"/>
      <c r="J300" s="14"/>
      <c r="K300" s="14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" customHeight="1">
      <c r="A301" s="14"/>
      <c r="B301" s="13"/>
      <c r="C301" s="13"/>
      <c r="D301" s="13"/>
      <c r="E301" s="13"/>
      <c r="F301" s="13"/>
      <c r="G301" s="13"/>
      <c r="H301" s="13"/>
      <c r="I301" s="13"/>
      <c r="J301" s="14"/>
      <c r="K301" s="14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" customHeight="1">
      <c r="A302" s="14"/>
      <c r="B302" s="13"/>
      <c r="C302" s="13"/>
      <c r="D302" s="13"/>
      <c r="E302" s="13"/>
      <c r="F302" s="13"/>
      <c r="G302" s="13"/>
      <c r="H302" s="13"/>
      <c r="I302" s="13"/>
      <c r="J302" s="14"/>
      <c r="K302" s="14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" customHeight="1">
      <c r="A303" s="14"/>
      <c r="B303" s="13"/>
      <c r="C303" s="13"/>
      <c r="D303" s="13"/>
      <c r="E303" s="13"/>
      <c r="F303" s="13"/>
      <c r="G303" s="13"/>
      <c r="H303" s="13"/>
      <c r="I303" s="13"/>
      <c r="J303" s="14"/>
      <c r="K303" s="14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" customHeight="1">
      <c r="A304" s="14"/>
      <c r="B304" s="13"/>
      <c r="C304" s="13"/>
      <c r="D304" s="13"/>
      <c r="E304" s="13"/>
      <c r="F304" s="13"/>
      <c r="G304" s="13"/>
      <c r="H304" s="13"/>
      <c r="I304" s="13"/>
      <c r="J304" s="14"/>
      <c r="K304" s="14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" customHeight="1">
      <c r="A305" s="14"/>
      <c r="B305" s="13"/>
      <c r="C305" s="13"/>
      <c r="D305" s="13"/>
      <c r="E305" s="13"/>
      <c r="F305" s="13"/>
      <c r="G305" s="13"/>
      <c r="H305" s="13"/>
      <c r="I305" s="13"/>
      <c r="J305" s="14"/>
      <c r="K305" s="14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" customHeight="1">
      <c r="A306" s="14"/>
      <c r="B306" s="13"/>
      <c r="C306" s="13"/>
      <c r="D306" s="13"/>
      <c r="E306" s="13"/>
      <c r="F306" s="13"/>
      <c r="G306" s="13"/>
      <c r="H306" s="13"/>
      <c r="I306" s="13"/>
      <c r="J306" s="14"/>
      <c r="K306" s="14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" customHeight="1">
      <c r="A307" s="14"/>
      <c r="B307" s="13"/>
      <c r="C307" s="13"/>
      <c r="D307" s="13"/>
      <c r="E307" s="13"/>
      <c r="F307" s="13"/>
      <c r="G307" s="13"/>
      <c r="H307" s="13"/>
      <c r="I307" s="13"/>
      <c r="J307" s="14"/>
      <c r="K307" s="14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" customHeight="1">
      <c r="A308" s="14"/>
      <c r="B308" s="13"/>
      <c r="C308" s="13"/>
      <c r="D308" s="13"/>
      <c r="E308" s="13"/>
      <c r="F308" s="13"/>
      <c r="G308" s="13"/>
      <c r="H308" s="13"/>
      <c r="I308" s="13"/>
      <c r="J308" s="14"/>
      <c r="K308" s="14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" customHeight="1">
      <c r="A309" s="14"/>
      <c r="B309" s="13"/>
      <c r="C309" s="13"/>
      <c r="D309" s="13"/>
      <c r="E309" s="13"/>
      <c r="F309" s="13"/>
      <c r="G309" s="13"/>
      <c r="H309" s="13"/>
      <c r="I309" s="13"/>
      <c r="J309" s="14"/>
      <c r="K309" s="14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" customHeight="1">
      <c r="A310" s="14"/>
      <c r="B310" s="13"/>
      <c r="C310" s="13"/>
      <c r="D310" s="13"/>
      <c r="E310" s="13"/>
      <c r="F310" s="13"/>
      <c r="G310" s="13"/>
      <c r="H310" s="13"/>
      <c r="I310" s="13"/>
      <c r="J310" s="14"/>
      <c r="K310" s="14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" customHeight="1">
      <c r="A311" s="14"/>
      <c r="B311" s="13"/>
      <c r="C311" s="13"/>
      <c r="D311" s="13"/>
      <c r="E311" s="13"/>
      <c r="F311" s="13"/>
      <c r="G311" s="13"/>
      <c r="H311" s="13"/>
      <c r="I311" s="13"/>
      <c r="J311" s="14"/>
      <c r="K311" s="14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" customHeight="1">
      <c r="A312" s="14"/>
      <c r="B312" s="13"/>
      <c r="C312" s="13"/>
      <c r="D312" s="13"/>
      <c r="E312" s="13"/>
      <c r="F312" s="13"/>
      <c r="G312" s="13"/>
      <c r="H312" s="13"/>
      <c r="I312" s="13"/>
      <c r="J312" s="14"/>
      <c r="K312" s="14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" customHeight="1">
      <c r="A313" s="14"/>
      <c r="B313" s="13"/>
      <c r="C313" s="13"/>
      <c r="D313" s="13"/>
      <c r="E313" s="13"/>
      <c r="F313" s="13"/>
      <c r="G313" s="13"/>
      <c r="H313" s="13"/>
      <c r="I313" s="13"/>
      <c r="J313" s="14"/>
      <c r="K313" s="14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" customHeight="1">
      <c r="A314" s="14"/>
      <c r="B314" s="13"/>
      <c r="C314" s="13"/>
      <c r="D314" s="13"/>
      <c r="E314" s="13"/>
      <c r="F314" s="13"/>
      <c r="G314" s="13"/>
      <c r="H314" s="13"/>
      <c r="I314" s="13"/>
      <c r="J314" s="14"/>
      <c r="K314" s="14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" customHeight="1">
      <c r="A315" s="14"/>
      <c r="B315" s="13"/>
      <c r="C315" s="13"/>
      <c r="D315" s="13"/>
      <c r="E315" s="13"/>
      <c r="F315" s="13"/>
      <c r="G315" s="13"/>
      <c r="H315" s="13"/>
      <c r="I315" s="13"/>
      <c r="J315" s="14"/>
      <c r="K315" s="14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" customHeight="1">
      <c r="A316" s="14"/>
      <c r="B316" s="13"/>
      <c r="C316" s="13"/>
      <c r="D316" s="13"/>
      <c r="E316" s="13"/>
      <c r="F316" s="13"/>
      <c r="G316" s="13"/>
      <c r="H316" s="13"/>
      <c r="I316" s="13"/>
      <c r="J316" s="14"/>
      <c r="K316" s="14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" customHeight="1">
      <c r="A317" s="14"/>
      <c r="B317" s="13"/>
      <c r="C317" s="13"/>
      <c r="D317" s="13"/>
      <c r="E317" s="13"/>
      <c r="F317" s="13"/>
      <c r="G317" s="13"/>
      <c r="H317" s="13"/>
      <c r="I317" s="13"/>
      <c r="J317" s="14"/>
      <c r="K317" s="14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" customHeight="1">
      <c r="A318" s="14"/>
      <c r="B318" s="13"/>
      <c r="C318" s="13"/>
      <c r="D318" s="13"/>
      <c r="E318" s="13"/>
      <c r="F318" s="13"/>
      <c r="G318" s="13"/>
      <c r="H318" s="13"/>
      <c r="I318" s="13"/>
      <c r="J318" s="14"/>
      <c r="K318" s="14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" customHeight="1">
      <c r="A319" s="14"/>
      <c r="B319" s="13"/>
      <c r="C319" s="13"/>
      <c r="D319" s="13"/>
      <c r="E319" s="13"/>
      <c r="F319" s="13"/>
      <c r="G319" s="13"/>
      <c r="H319" s="13"/>
      <c r="I319" s="13"/>
      <c r="J319" s="14"/>
      <c r="K319" s="14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" customHeight="1">
      <c r="A320" s="14"/>
      <c r="B320" s="13"/>
      <c r="C320" s="13"/>
      <c r="D320" s="13"/>
      <c r="E320" s="13"/>
      <c r="F320" s="13"/>
      <c r="G320" s="13"/>
      <c r="H320" s="13"/>
      <c r="I320" s="13"/>
      <c r="J320" s="14"/>
      <c r="K320" s="14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" customHeight="1">
      <c r="A321" s="14"/>
      <c r="B321" s="13"/>
      <c r="C321" s="13"/>
      <c r="D321" s="13"/>
      <c r="E321" s="13"/>
      <c r="F321" s="13"/>
      <c r="G321" s="13"/>
      <c r="H321" s="13"/>
      <c r="I321" s="13"/>
      <c r="J321" s="14"/>
      <c r="K321" s="14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" customHeight="1">
      <c r="A322" s="14"/>
      <c r="B322" s="13"/>
      <c r="C322" s="13"/>
      <c r="D322" s="13"/>
      <c r="E322" s="13"/>
      <c r="F322" s="13"/>
      <c r="G322" s="13"/>
      <c r="H322" s="13"/>
      <c r="I322" s="13"/>
      <c r="J322" s="14"/>
      <c r="K322" s="14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" customHeight="1">
      <c r="A323" s="14"/>
      <c r="B323" s="13"/>
      <c r="C323" s="13"/>
      <c r="D323" s="13"/>
      <c r="E323" s="13"/>
      <c r="F323" s="13"/>
      <c r="G323" s="13"/>
      <c r="H323" s="13"/>
      <c r="I323" s="13"/>
      <c r="J323" s="14"/>
      <c r="K323" s="14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" customHeight="1">
      <c r="A324" s="14"/>
      <c r="B324" s="13"/>
      <c r="C324" s="13"/>
      <c r="D324" s="13"/>
      <c r="E324" s="13"/>
      <c r="F324" s="13"/>
      <c r="G324" s="13"/>
      <c r="H324" s="13"/>
      <c r="I324" s="13"/>
      <c r="J324" s="14"/>
      <c r="K324" s="14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" customHeight="1">
      <c r="A325" s="14"/>
      <c r="B325" s="13"/>
      <c r="C325" s="13"/>
      <c r="D325" s="13"/>
      <c r="E325" s="13"/>
      <c r="F325" s="13"/>
      <c r="G325" s="13"/>
      <c r="H325" s="13"/>
      <c r="I325" s="13"/>
      <c r="J325" s="14"/>
      <c r="K325" s="14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" customHeight="1">
      <c r="A326" s="14"/>
      <c r="B326" s="13"/>
      <c r="C326" s="13"/>
      <c r="D326" s="13"/>
      <c r="E326" s="13"/>
      <c r="F326" s="13"/>
      <c r="G326" s="13"/>
      <c r="H326" s="13"/>
      <c r="I326" s="13"/>
      <c r="J326" s="14"/>
      <c r="K326" s="14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" customHeight="1">
      <c r="A327" s="14"/>
      <c r="B327" s="13"/>
      <c r="C327" s="13"/>
      <c r="D327" s="13"/>
      <c r="E327" s="13"/>
      <c r="F327" s="13"/>
      <c r="G327" s="13"/>
      <c r="H327" s="13"/>
      <c r="I327" s="13"/>
      <c r="J327" s="14"/>
      <c r="K327" s="14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" customHeight="1">
      <c r="A328" s="14"/>
      <c r="B328" s="13"/>
      <c r="C328" s="13"/>
      <c r="D328" s="13"/>
      <c r="E328" s="13"/>
      <c r="F328" s="13"/>
      <c r="G328" s="13"/>
      <c r="H328" s="13"/>
      <c r="I328" s="13"/>
      <c r="J328" s="14"/>
      <c r="K328" s="14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" customHeight="1">
      <c r="A329" s="14"/>
      <c r="B329" s="13"/>
      <c r="C329" s="13"/>
      <c r="D329" s="13"/>
      <c r="E329" s="13"/>
      <c r="F329" s="13"/>
      <c r="G329" s="13"/>
      <c r="H329" s="13"/>
      <c r="I329" s="13"/>
      <c r="J329" s="14"/>
      <c r="K329" s="14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" customHeight="1">
      <c r="A330" s="14"/>
      <c r="B330" s="13"/>
      <c r="C330" s="13"/>
      <c r="D330" s="13"/>
      <c r="E330" s="13"/>
      <c r="F330" s="13"/>
      <c r="G330" s="13"/>
      <c r="H330" s="13"/>
      <c r="I330" s="13"/>
      <c r="J330" s="14"/>
      <c r="K330" s="14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" customHeight="1">
      <c r="A331" s="14"/>
      <c r="B331" s="13"/>
      <c r="C331" s="13"/>
      <c r="D331" s="13"/>
      <c r="E331" s="13"/>
      <c r="F331" s="13"/>
      <c r="G331" s="13"/>
      <c r="H331" s="13"/>
      <c r="I331" s="13"/>
      <c r="J331" s="14"/>
      <c r="K331" s="14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" customHeight="1">
      <c r="A332" s="14"/>
      <c r="B332" s="13"/>
      <c r="C332" s="13"/>
      <c r="D332" s="13"/>
      <c r="E332" s="13"/>
      <c r="F332" s="13"/>
      <c r="G332" s="13"/>
      <c r="H332" s="13"/>
      <c r="I332" s="13"/>
      <c r="J332" s="14"/>
      <c r="K332" s="14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" customHeight="1">
      <c r="A333" s="14"/>
      <c r="B333" s="13"/>
      <c r="C333" s="13"/>
      <c r="D333" s="13"/>
      <c r="E333" s="13"/>
      <c r="F333" s="13"/>
      <c r="G333" s="13"/>
      <c r="H333" s="13"/>
      <c r="I333" s="13"/>
      <c r="J333" s="14"/>
      <c r="K333" s="14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" customHeight="1">
      <c r="A334" s="14"/>
      <c r="B334" s="13"/>
      <c r="C334" s="13"/>
      <c r="D334" s="13"/>
      <c r="E334" s="13"/>
      <c r="F334" s="13"/>
      <c r="G334" s="13"/>
      <c r="H334" s="13"/>
      <c r="I334" s="13"/>
      <c r="J334" s="14"/>
      <c r="K334" s="14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" customHeight="1">
      <c r="A335" s="14"/>
      <c r="B335" s="13"/>
      <c r="C335" s="13"/>
      <c r="D335" s="13"/>
      <c r="E335" s="13"/>
      <c r="F335" s="13"/>
      <c r="G335" s="13"/>
      <c r="H335" s="13"/>
      <c r="I335" s="13"/>
      <c r="J335" s="14"/>
      <c r="K335" s="14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" customHeight="1">
      <c r="A336" s="14"/>
      <c r="B336" s="13"/>
      <c r="C336" s="13"/>
      <c r="D336" s="13"/>
      <c r="E336" s="13"/>
      <c r="F336" s="13"/>
      <c r="G336" s="13"/>
      <c r="H336" s="13"/>
      <c r="I336" s="13"/>
      <c r="J336" s="14"/>
      <c r="K336" s="14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" customHeight="1">
      <c r="A337" s="14"/>
      <c r="B337" s="13"/>
      <c r="C337" s="13"/>
      <c r="D337" s="13"/>
      <c r="E337" s="13"/>
      <c r="F337" s="13"/>
      <c r="G337" s="13"/>
      <c r="H337" s="13"/>
      <c r="I337" s="13"/>
      <c r="J337" s="14"/>
      <c r="K337" s="14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" customHeight="1">
      <c r="A338" s="14"/>
      <c r="B338" s="13"/>
      <c r="C338" s="13"/>
      <c r="D338" s="13"/>
      <c r="E338" s="13"/>
      <c r="F338" s="13"/>
      <c r="G338" s="13"/>
      <c r="H338" s="13"/>
      <c r="I338" s="13"/>
      <c r="J338" s="14"/>
      <c r="K338" s="14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" customHeight="1">
      <c r="A339" s="14"/>
      <c r="B339" s="13"/>
      <c r="C339" s="13"/>
      <c r="D339" s="13"/>
      <c r="E339" s="13"/>
      <c r="F339" s="13"/>
      <c r="G339" s="13"/>
      <c r="H339" s="13"/>
      <c r="I339" s="13"/>
      <c r="J339" s="14"/>
      <c r="K339" s="14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" customHeight="1">
      <c r="A340" s="14"/>
      <c r="B340" s="13"/>
      <c r="C340" s="13"/>
      <c r="D340" s="13"/>
      <c r="E340" s="13"/>
      <c r="F340" s="13"/>
      <c r="G340" s="13"/>
      <c r="H340" s="13"/>
      <c r="I340" s="13"/>
      <c r="J340" s="14"/>
      <c r="K340" s="14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" customHeight="1">
      <c r="A341" s="14"/>
      <c r="B341" s="13"/>
      <c r="C341" s="13"/>
      <c r="D341" s="13"/>
      <c r="E341" s="13"/>
      <c r="F341" s="13"/>
      <c r="G341" s="13"/>
      <c r="H341" s="13"/>
      <c r="I341" s="13"/>
      <c r="J341" s="14"/>
      <c r="K341" s="14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" customHeight="1">
      <c r="A342" s="14"/>
      <c r="B342" s="13"/>
      <c r="C342" s="13"/>
      <c r="D342" s="13"/>
      <c r="E342" s="13"/>
      <c r="F342" s="13"/>
      <c r="G342" s="13"/>
      <c r="H342" s="13"/>
      <c r="I342" s="13"/>
      <c r="J342" s="14"/>
      <c r="K342" s="14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" customHeight="1">
      <c r="A343" s="14"/>
      <c r="B343" s="13"/>
      <c r="C343" s="13"/>
      <c r="D343" s="13"/>
      <c r="E343" s="13"/>
      <c r="F343" s="13"/>
      <c r="G343" s="13"/>
      <c r="H343" s="13"/>
      <c r="I343" s="13"/>
      <c r="J343" s="14"/>
      <c r="K343" s="14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" customHeight="1">
      <c r="A344" s="14"/>
      <c r="B344" s="13"/>
      <c r="C344" s="13"/>
      <c r="D344" s="13"/>
      <c r="E344" s="13"/>
      <c r="F344" s="13"/>
      <c r="G344" s="13"/>
      <c r="H344" s="13"/>
      <c r="I344" s="13"/>
      <c r="J344" s="14"/>
      <c r="K344" s="14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" customHeight="1">
      <c r="A345" s="14"/>
      <c r="B345" s="13"/>
      <c r="C345" s="13"/>
      <c r="D345" s="13"/>
      <c r="E345" s="13"/>
      <c r="F345" s="13"/>
      <c r="G345" s="13"/>
      <c r="H345" s="13"/>
      <c r="I345" s="13"/>
      <c r="J345" s="14"/>
      <c r="K345" s="14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" customHeight="1">
      <c r="A346" s="14"/>
      <c r="B346" s="13"/>
      <c r="C346" s="13"/>
      <c r="D346" s="13"/>
      <c r="E346" s="13"/>
      <c r="F346" s="13"/>
      <c r="G346" s="13"/>
      <c r="H346" s="13"/>
      <c r="I346" s="13"/>
      <c r="J346" s="14"/>
      <c r="K346" s="14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" customHeight="1">
      <c r="A347" s="14"/>
      <c r="B347" s="13"/>
      <c r="C347" s="13"/>
      <c r="D347" s="13"/>
      <c r="E347" s="13"/>
      <c r="F347" s="13"/>
      <c r="G347" s="13"/>
      <c r="H347" s="13"/>
      <c r="I347" s="13"/>
      <c r="J347" s="14"/>
      <c r="K347" s="14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" customHeight="1">
      <c r="A348" s="14"/>
      <c r="B348" s="13"/>
      <c r="C348" s="13"/>
      <c r="D348" s="13"/>
      <c r="E348" s="13"/>
      <c r="F348" s="13"/>
      <c r="G348" s="13"/>
      <c r="H348" s="13"/>
      <c r="I348" s="13"/>
      <c r="J348" s="14"/>
      <c r="K348" s="14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" customHeight="1">
      <c r="A349" s="14"/>
      <c r="B349" s="13"/>
      <c r="C349" s="13"/>
      <c r="D349" s="13"/>
      <c r="E349" s="13"/>
      <c r="F349" s="13"/>
      <c r="G349" s="13"/>
      <c r="H349" s="13"/>
      <c r="I349" s="13"/>
      <c r="J349" s="14"/>
      <c r="K349" s="14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" customHeight="1">
      <c r="A350" s="14"/>
      <c r="B350" s="13"/>
      <c r="C350" s="13"/>
      <c r="D350" s="13"/>
      <c r="E350" s="13"/>
      <c r="F350" s="13"/>
      <c r="G350" s="13"/>
      <c r="H350" s="13"/>
      <c r="I350" s="13"/>
      <c r="J350" s="14"/>
      <c r="K350" s="14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" customHeight="1">
      <c r="A351" s="14"/>
      <c r="B351" s="13"/>
      <c r="C351" s="13"/>
      <c r="D351" s="13"/>
      <c r="E351" s="13"/>
      <c r="F351" s="13"/>
      <c r="G351" s="13"/>
      <c r="H351" s="13"/>
      <c r="I351" s="13"/>
      <c r="J351" s="14"/>
      <c r="K351" s="14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" customHeight="1">
      <c r="A352" s="14"/>
      <c r="B352" s="13"/>
      <c r="C352" s="13"/>
      <c r="D352" s="13"/>
      <c r="E352" s="13"/>
      <c r="F352" s="13"/>
      <c r="G352" s="13"/>
      <c r="H352" s="13"/>
      <c r="I352" s="13"/>
      <c r="J352" s="14"/>
      <c r="K352" s="14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" customHeight="1">
      <c r="A353" s="14"/>
      <c r="B353" s="13"/>
      <c r="C353" s="13"/>
      <c r="D353" s="13"/>
      <c r="E353" s="13"/>
      <c r="F353" s="13"/>
      <c r="G353" s="13"/>
      <c r="H353" s="13"/>
      <c r="I353" s="13"/>
      <c r="J353" s="14"/>
      <c r="K353" s="14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" customHeight="1">
      <c r="A354" s="14"/>
      <c r="B354" s="13"/>
      <c r="C354" s="13"/>
      <c r="D354" s="13"/>
      <c r="E354" s="13"/>
      <c r="F354" s="13"/>
      <c r="G354" s="13"/>
      <c r="H354" s="13"/>
      <c r="I354" s="13"/>
      <c r="J354" s="14"/>
      <c r="K354" s="14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" customHeight="1">
      <c r="A355" s="14"/>
      <c r="B355" s="13"/>
      <c r="C355" s="13"/>
      <c r="D355" s="13"/>
      <c r="E355" s="13"/>
      <c r="F355" s="13"/>
      <c r="G355" s="13"/>
      <c r="H355" s="13"/>
      <c r="I355" s="13"/>
      <c r="J355" s="14"/>
      <c r="K355" s="14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" customHeight="1">
      <c r="A356" s="14"/>
      <c r="B356" s="13"/>
      <c r="C356" s="13"/>
      <c r="D356" s="13"/>
      <c r="E356" s="13"/>
      <c r="F356" s="13"/>
      <c r="G356" s="13"/>
      <c r="H356" s="13"/>
      <c r="I356" s="13"/>
      <c r="J356" s="14"/>
      <c r="K356" s="14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" customHeight="1">
      <c r="A357" s="14"/>
      <c r="B357" s="13"/>
      <c r="C357" s="13"/>
      <c r="D357" s="13"/>
      <c r="E357" s="13"/>
      <c r="F357" s="13"/>
      <c r="G357" s="13"/>
      <c r="H357" s="13"/>
      <c r="I357" s="13"/>
      <c r="J357" s="14"/>
      <c r="K357" s="14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" customHeight="1">
      <c r="A358" s="14"/>
      <c r="B358" s="13"/>
      <c r="C358" s="13"/>
      <c r="D358" s="13"/>
      <c r="E358" s="13"/>
      <c r="F358" s="13"/>
      <c r="G358" s="13"/>
      <c r="H358" s="13"/>
      <c r="I358" s="13"/>
      <c r="J358" s="14"/>
      <c r="K358" s="14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" customHeight="1">
      <c r="A359" s="14"/>
      <c r="B359" s="13"/>
      <c r="C359" s="13"/>
      <c r="D359" s="13"/>
      <c r="E359" s="13"/>
      <c r="F359" s="13"/>
      <c r="G359" s="13"/>
      <c r="H359" s="13"/>
      <c r="I359" s="13"/>
      <c r="J359" s="14"/>
      <c r="K359" s="14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" customHeight="1">
      <c r="A360" s="14"/>
      <c r="B360" s="13"/>
      <c r="C360" s="13"/>
      <c r="D360" s="13"/>
      <c r="E360" s="13"/>
      <c r="F360" s="13"/>
      <c r="G360" s="13"/>
      <c r="H360" s="13"/>
      <c r="I360" s="13"/>
      <c r="J360" s="14"/>
      <c r="K360" s="14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" customHeight="1">
      <c r="A361" s="14"/>
      <c r="B361" s="13"/>
      <c r="C361" s="13"/>
      <c r="D361" s="13"/>
      <c r="E361" s="13"/>
      <c r="F361" s="13"/>
      <c r="G361" s="13"/>
      <c r="H361" s="13"/>
      <c r="I361" s="13"/>
      <c r="J361" s="14"/>
      <c r="K361" s="14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" customHeight="1">
      <c r="A362" s="14"/>
      <c r="B362" s="13"/>
      <c r="C362" s="13"/>
      <c r="D362" s="13"/>
      <c r="E362" s="13"/>
      <c r="F362" s="13"/>
      <c r="G362" s="13"/>
      <c r="H362" s="13"/>
      <c r="I362" s="13"/>
      <c r="J362" s="14"/>
      <c r="K362" s="14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" customHeight="1">
      <c r="A363" s="14"/>
      <c r="B363" s="13"/>
      <c r="C363" s="13"/>
      <c r="D363" s="13"/>
      <c r="E363" s="13"/>
      <c r="F363" s="13"/>
      <c r="G363" s="13"/>
      <c r="H363" s="13"/>
      <c r="I363" s="13"/>
      <c r="J363" s="14"/>
      <c r="K363" s="14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" customHeight="1">
      <c r="A364" s="14"/>
      <c r="B364" s="13"/>
      <c r="C364" s="13"/>
      <c r="D364" s="13"/>
      <c r="E364" s="13"/>
      <c r="F364" s="13"/>
      <c r="G364" s="13"/>
      <c r="H364" s="13"/>
      <c r="I364" s="13"/>
      <c r="J364" s="14"/>
      <c r="K364" s="14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" customHeight="1">
      <c r="A365" s="14"/>
      <c r="B365" s="13"/>
      <c r="C365" s="13"/>
      <c r="D365" s="13"/>
      <c r="E365" s="13"/>
      <c r="F365" s="13"/>
      <c r="G365" s="13"/>
      <c r="H365" s="13"/>
      <c r="I365" s="13"/>
      <c r="J365" s="14"/>
      <c r="K365" s="14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" customHeight="1">
      <c r="A366" s="14"/>
      <c r="B366" s="13"/>
      <c r="C366" s="13"/>
      <c r="D366" s="13"/>
      <c r="E366" s="13"/>
      <c r="F366" s="13"/>
      <c r="G366" s="13"/>
      <c r="H366" s="13"/>
      <c r="I366" s="13"/>
      <c r="J366" s="14"/>
      <c r="K366" s="14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" customHeight="1">
      <c r="A367" s="14"/>
      <c r="B367" s="13"/>
      <c r="C367" s="13"/>
      <c r="D367" s="13"/>
      <c r="E367" s="13"/>
      <c r="F367" s="13"/>
      <c r="G367" s="13"/>
      <c r="H367" s="13"/>
      <c r="I367" s="13"/>
      <c r="J367" s="14"/>
      <c r="K367" s="14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" customHeight="1">
      <c r="A368" s="14"/>
      <c r="B368" s="13"/>
      <c r="C368" s="13"/>
      <c r="D368" s="13"/>
      <c r="E368" s="13"/>
      <c r="F368" s="13"/>
      <c r="G368" s="13"/>
      <c r="H368" s="13"/>
      <c r="I368" s="13"/>
      <c r="J368" s="14"/>
      <c r="K368" s="14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" customHeight="1">
      <c r="A369" s="14"/>
      <c r="B369" s="13"/>
      <c r="C369" s="13"/>
      <c r="D369" s="13"/>
      <c r="E369" s="13"/>
      <c r="F369" s="13"/>
      <c r="G369" s="13"/>
      <c r="H369" s="13"/>
      <c r="I369" s="13"/>
      <c r="J369" s="14"/>
      <c r="K369" s="14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" customHeight="1">
      <c r="A370" s="14"/>
      <c r="B370" s="13"/>
      <c r="C370" s="13"/>
      <c r="D370" s="13"/>
      <c r="E370" s="13"/>
      <c r="F370" s="13"/>
      <c r="G370" s="13"/>
      <c r="H370" s="13"/>
      <c r="I370" s="13"/>
      <c r="J370" s="14"/>
      <c r="K370" s="14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" customHeight="1">
      <c r="A371" s="14"/>
      <c r="B371" s="13"/>
      <c r="C371" s="13"/>
      <c r="D371" s="13"/>
      <c r="E371" s="13"/>
      <c r="F371" s="13"/>
      <c r="G371" s="13"/>
      <c r="H371" s="13"/>
      <c r="I371" s="13"/>
      <c r="J371" s="14"/>
      <c r="K371" s="14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" customHeight="1">
      <c r="A372" s="14"/>
      <c r="B372" s="13"/>
      <c r="C372" s="13"/>
      <c r="D372" s="13"/>
      <c r="E372" s="13"/>
      <c r="F372" s="13"/>
      <c r="G372" s="13"/>
      <c r="H372" s="13"/>
      <c r="I372" s="13"/>
      <c r="J372" s="14"/>
      <c r="K372" s="14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" customHeight="1">
      <c r="A373" s="14"/>
      <c r="B373" s="13"/>
      <c r="C373" s="13"/>
      <c r="D373" s="13"/>
      <c r="E373" s="13"/>
      <c r="F373" s="13"/>
      <c r="G373" s="13"/>
      <c r="H373" s="13"/>
      <c r="I373" s="13"/>
      <c r="J373" s="14"/>
      <c r="K373" s="14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" customHeight="1">
      <c r="A374" s="14"/>
      <c r="B374" s="13"/>
      <c r="C374" s="13"/>
      <c r="D374" s="13"/>
      <c r="E374" s="13"/>
      <c r="F374" s="13"/>
      <c r="G374" s="13"/>
      <c r="H374" s="13"/>
      <c r="I374" s="13"/>
      <c r="J374" s="14"/>
      <c r="K374" s="14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" customHeight="1">
      <c r="A375" s="14"/>
      <c r="B375" s="13"/>
      <c r="C375" s="13"/>
      <c r="D375" s="13"/>
      <c r="E375" s="13"/>
      <c r="F375" s="13"/>
      <c r="G375" s="13"/>
      <c r="H375" s="13"/>
      <c r="I375" s="13"/>
      <c r="J375" s="14"/>
      <c r="K375" s="14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" customHeight="1">
      <c r="A376" s="14"/>
      <c r="B376" s="13"/>
      <c r="C376" s="13"/>
      <c r="D376" s="13"/>
      <c r="E376" s="13"/>
      <c r="F376" s="13"/>
      <c r="G376" s="13"/>
      <c r="H376" s="13"/>
      <c r="I376" s="13"/>
      <c r="J376" s="14"/>
      <c r="K376" s="14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" customHeight="1">
      <c r="A377" s="14"/>
      <c r="B377" s="13"/>
      <c r="C377" s="13"/>
      <c r="D377" s="13"/>
      <c r="E377" s="13"/>
      <c r="F377" s="13"/>
      <c r="G377" s="13"/>
      <c r="H377" s="13"/>
      <c r="I377" s="13"/>
      <c r="J377" s="14"/>
      <c r="K377" s="14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" customHeight="1">
      <c r="A378" s="14"/>
      <c r="B378" s="13"/>
      <c r="C378" s="13"/>
      <c r="D378" s="13"/>
      <c r="E378" s="13"/>
      <c r="F378" s="13"/>
      <c r="G378" s="13"/>
      <c r="H378" s="13"/>
      <c r="I378" s="13"/>
      <c r="J378" s="14"/>
      <c r="K378" s="14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" customHeight="1">
      <c r="A379" s="14"/>
      <c r="B379" s="13"/>
      <c r="C379" s="13"/>
      <c r="D379" s="13"/>
      <c r="E379" s="13"/>
      <c r="F379" s="13"/>
      <c r="G379" s="13"/>
      <c r="H379" s="13"/>
      <c r="I379" s="13"/>
      <c r="J379" s="14"/>
      <c r="K379" s="14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" customHeight="1">
      <c r="A380" s="14"/>
      <c r="B380" s="13"/>
      <c r="C380" s="13"/>
      <c r="D380" s="13"/>
      <c r="E380" s="13"/>
      <c r="F380" s="13"/>
      <c r="G380" s="13"/>
      <c r="H380" s="13"/>
      <c r="I380" s="13"/>
      <c r="J380" s="14"/>
      <c r="K380" s="14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" customHeight="1">
      <c r="A381" s="14"/>
      <c r="B381" s="13"/>
      <c r="C381" s="13"/>
      <c r="D381" s="13"/>
      <c r="E381" s="13"/>
      <c r="F381" s="13"/>
      <c r="G381" s="13"/>
      <c r="H381" s="13"/>
      <c r="I381" s="13"/>
      <c r="J381" s="14"/>
      <c r="K381" s="14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" customHeight="1">
      <c r="A382" s="14"/>
      <c r="B382" s="13"/>
      <c r="C382" s="13"/>
      <c r="D382" s="13"/>
      <c r="E382" s="13"/>
      <c r="F382" s="13"/>
      <c r="G382" s="13"/>
      <c r="H382" s="13"/>
      <c r="I382" s="13"/>
      <c r="J382" s="14"/>
      <c r="K382" s="14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" customHeight="1">
      <c r="A383" s="14"/>
      <c r="B383" s="13"/>
      <c r="C383" s="13"/>
      <c r="D383" s="13"/>
      <c r="E383" s="13"/>
      <c r="F383" s="13"/>
      <c r="G383" s="13"/>
      <c r="H383" s="13"/>
      <c r="I383" s="13"/>
      <c r="J383" s="14"/>
      <c r="K383" s="14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" customHeight="1">
      <c r="A384" s="14"/>
      <c r="B384" s="13"/>
      <c r="C384" s="13"/>
      <c r="D384" s="13"/>
      <c r="E384" s="13"/>
      <c r="F384" s="13"/>
      <c r="G384" s="13"/>
      <c r="H384" s="13"/>
      <c r="I384" s="13"/>
      <c r="J384" s="14"/>
      <c r="K384" s="14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" customHeight="1">
      <c r="A385" s="14"/>
      <c r="B385" s="13"/>
      <c r="C385" s="13"/>
      <c r="D385" s="13"/>
      <c r="E385" s="13"/>
      <c r="F385" s="13"/>
      <c r="G385" s="13"/>
      <c r="H385" s="13"/>
      <c r="I385" s="13"/>
      <c r="J385" s="14"/>
      <c r="K385" s="14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" customHeight="1">
      <c r="A386" s="14"/>
      <c r="B386" s="13"/>
      <c r="C386" s="13"/>
      <c r="D386" s="13"/>
      <c r="E386" s="13"/>
      <c r="F386" s="13"/>
      <c r="G386" s="13"/>
      <c r="H386" s="13"/>
      <c r="I386" s="13"/>
      <c r="J386" s="14"/>
      <c r="K386" s="14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" customHeight="1">
      <c r="A387" s="14"/>
      <c r="B387" s="13"/>
      <c r="C387" s="13"/>
      <c r="D387" s="13"/>
      <c r="E387" s="13"/>
      <c r="F387" s="13"/>
      <c r="G387" s="13"/>
      <c r="H387" s="13"/>
      <c r="I387" s="13"/>
      <c r="J387" s="14"/>
      <c r="K387" s="14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" customHeight="1">
      <c r="A388" s="14"/>
      <c r="B388" s="13"/>
      <c r="C388" s="13"/>
      <c r="D388" s="13"/>
      <c r="E388" s="13"/>
      <c r="F388" s="13"/>
      <c r="G388" s="13"/>
      <c r="H388" s="13"/>
      <c r="I388" s="13"/>
      <c r="J388" s="14"/>
      <c r="K388" s="14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" customHeight="1">
      <c r="A389" s="14"/>
      <c r="B389" s="13"/>
      <c r="C389" s="13"/>
      <c r="D389" s="13"/>
      <c r="E389" s="13"/>
      <c r="F389" s="13"/>
      <c r="G389" s="13"/>
      <c r="H389" s="13"/>
      <c r="I389" s="13"/>
      <c r="J389" s="14"/>
      <c r="K389" s="14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" customHeight="1">
      <c r="A390" s="14"/>
      <c r="B390" s="13"/>
      <c r="C390" s="13"/>
      <c r="D390" s="13"/>
      <c r="E390" s="13"/>
      <c r="F390" s="13"/>
      <c r="G390" s="13"/>
      <c r="H390" s="13"/>
      <c r="I390" s="13"/>
      <c r="J390" s="14"/>
      <c r="K390" s="14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" customHeight="1">
      <c r="A391" s="14"/>
      <c r="B391" s="13"/>
      <c r="C391" s="13"/>
      <c r="D391" s="13"/>
      <c r="E391" s="13"/>
      <c r="F391" s="13"/>
      <c r="G391" s="13"/>
      <c r="H391" s="13"/>
      <c r="I391" s="13"/>
      <c r="J391" s="14"/>
      <c r="K391" s="14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" customHeight="1">
      <c r="A392" s="14"/>
      <c r="B392" s="13"/>
      <c r="C392" s="13"/>
      <c r="D392" s="13"/>
      <c r="E392" s="13"/>
      <c r="F392" s="13"/>
      <c r="G392" s="13"/>
      <c r="H392" s="13"/>
      <c r="I392" s="13"/>
      <c r="J392" s="14"/>
      <c r="K392" s="14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" customHeight="1">
      <c r="A393" s="14"/>
      <c r="B393" s="13"/>
      <c r="C393" s="13"/>
      <c r="D393" s="13"/>
      <c r="E393" s="13"/>
      <c r="F393" s="13"/>
      <c r="G393" s="13"/>
      <c r="H393" s="13"/>
      <c r="I393" s="13"/>
      <c r="J393" s="14"/>
      <c r="K393" s="14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" customHeight="1">
      <c r="A394" s="14"/>
      <c r="B394" s="13"/>
      <c r="C394" s="13"/>
      <c r="D394" s="13"/>
      <c r="E394" s="13"/>
      <c r="F394" s="13"/>
      <c r="G394" s="13"/>
      <c r="H394" s="13"/>
      <c r="I394" s="13"/>
      <c r="J394" s="14"/>
      <c r="K394" s="14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" customHeight="1">
      <c r="A395" s="14"/>
      <c r="B395" s="13"/>
      <c r="C395" s="13"/>
      <c r="D395" s="13"/>
      <c r="E395" s="13"/>
      <c r="F395" s="13"/>
      <c r="G395" s="13"/>
      <c r="H395" s="13"/>
      <c r="I395" s="13"/>
      <c r="J395" s="14"/>
      <c r="K395" s="14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" customHeight="1">
      <c r="A396" s="14"/>
      <c r="B396" s="13"/>
      <c r="C396" s="13"/>
      <c r="D396" s="13"/>
      <c r="E396" s="13"/>
      <c r="F396" s="13"/>
      <c r="G396" s="13"/>
      <c r="H396" s="13"/>
      <c r="I396" s="13"/>
      <c r="J396" s="14"/>
      <c r="K396" s="14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" customHeight="1">
      <c r="A397" s="14"/>
      <c r="B397" s="13"/>
      <c r="C397" s="13"/>
      <c r="D397" s="13"/>
      <c r="E397" s="13"/>
      <c r="F397" s="13"/>
      <c r="G397" s="13"/>
      <c r="H397" s="13"/>
      <c r="I397" s="13"/>
      <c r="J397" s="14"/>
      <c r="K397" s="14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" customHeight="1">
      <c r="A398" s="14"/>
      <c r="B398" s="13"/>
      <c r="C398" s="13"/>
      <c r="D398" s="13"/>
      <c r="E398" s="13"/>
      <c r="F398" s="13"/>
      <c r="G398" s="13"/>
      <c r="H398" s="13"/>
      <c r="I398" s="13"/>
      <c r="J398" s="14"/>
      <c r="K398" s="14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" customHeight="1">
      <c r="A399" s="14"/>
      <c r="B399" s="13"/>
      <c r="C399" s="13"/>
      <c r="D399" s="13"/>
      <c r="E399" s="13"/>
      <c r="F399" s="13"/>
      <c r="G399" s="13"/>
      <c r="H399" s="13"/>
      <c r="I399" s="13"/>
      <c r="J399" s="14"/>
      <c r="K399" s="14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" customHeight="1">
      <c r="A400" s="14"/>
      <c r="B400" s="13"/>
      <c r="C400" s="13"/>
      <c r="D400" s="13"/>
      <c r="E400" s="13"/>
      <c r="F400" s="13"/>
      <c r="G400" s="13"/>
      <c r="H400" s="13"/>
      <c r="I400" s="13"/>
      <c r="J400" s="14"/>
      <c r="K400" s="14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" customHeight="1">
      <c r="A401" s="14"/>
      <c r="B401" s="13"/>
      <c r="C401" s="13"/>
      <c r="D401" s="13"/>
      <c r="E401" s="13"/>
      <c r="F401" s="13"/>
      <c r="G401" s="13"/>
      <c r="H401" s="13"/>
      <c r="I401" s="13"/>
      <c r="J401" s="14"/>
      <c r="K401" s="14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" customHeight="1">
      <c r="A402" s="14"/>
      <c r="B402" s="13"/>
      <c r="C402" s="13"/>
      <c r="D402" s="13"/>
      <c r="E402" s="13"/>
      <c r="F402" s="13"/>
      <c r="G402" s="13"/>
      <c r="H402" s="13"/>
      <c r="I402" s="13"/>
      <c r="J402" s="14"/>
      <c r="K402" s="14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" customHeight="1">
      <c r="A403" s="14"/>
      <c r="B403" s="13"/>
      <c r="C403" s="13"/>
      <c r="D403" s="13"/>
      <c r="E403" s="13"/>
      <c r="F403" s="13"/>
      <c r="G403" s="13"/>
      <c r="H403" s="13"/>
      <c r="I403" s="13"/>
      <c r="J403" s="14"/>
      <c r="K403" s="14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" customHeight="1">
      <c r="A404" s="14"/>
      <c r="B404" s="13"/>
      <c r="C404" s="13"/>
      <c r="D404" s="13"/>
      <c r="E404" s="13"/>
      <c r="F404" s="13"/>
      <c r="G404" s="13"/>
      <c r="H404" s="13"/>
      <c r="I404" s="13"/>
      <c r="J404" s="14"/>
      <c r="K404" s="14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" customHeight="1">
      <c r="A405" s="14"/>
      <c r="B405" s="13"/>
      <c r="C405" s="13"/>
      <c r="D405" s="13"/>
      <c r="E405" s="13"/>
      <c r="F405" s="13"/>
      <c r="G405" s="13"/>
      <c r="H405" s="13"/>
      <c r="I405" s="13"/>
      <c r="J405" s="14"/>
      <c r="K405" s="14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" customHeight="1">
      <c r="A406" s="14"/>
      <c r="B406" s="13"/>
      <c r="C406" s="13"/>
      <c r="D406" s="13"/>
      <c r="E406" s="13"/>
      <c r="F406" s="13"/>
      <c r="G406" s="13"/>
      <c r="H406" s="13"/>
      <c r="I406" s="13"/>
      <c r="J406" s="14"/>
      <c r="K406" s="14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" customHeight="1">
      <c r="A407" s="14"/>
      <c r="B407" s="13"/>
      <c r="C407" s="13"/>
      <c r="D407" s="13"/>
      <c r="E407" s="13"/>
      <c r="F407" s="13"/>
      <c r="G407" s="13"/>
      <c r="H407" s="13"/>
      <c r="I407" s="13"/>
      <c r="J407" s="14"/>
      <c r="K407" s="14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" customHeight="1">
      <c r="A408" s="14"/>
      <c r="B408" s="13"/>
      <c r="C408" s="13"/>
      <c r="D408" s="13"/>
      <c r="E408" s="13"/>
      <c r="F408" s="13"/>
      <c r="G408" s="13"/>
      <c r="H408" s="13"/>
      <c r="I408" s="13"/>
      <c r="J408" s="14"/>
      <c r="K408" s="14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" customHeight="1">
      <c r="A409" s="14"/>
      <c r="B409" s="13"/>
      <c r="C409" s="13"/>
      <c r="D409" s="13"/>
      <c r="E409" s="13"/>
      <c r="F409" s="13"/>
      <c r="G409" s="13"/>
      <c r="H409" s="13"/>
      <c r="I409" s="13"/>
      <c r="J409" s="14"/>
      <c r="K409" s="14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" customHeight="1">
      <c r="A410" s="14"/>
      <c r="B410" s="13"/>
      <c r="C410" s="13"/>
      <c r="D410" s="13"/>
      <c r="E410" s="13"/>
      <c r="F410" s="13"/>
      <c r="G410" s="13"/>
      <c r="H410" s="13"/>
      <c r="I410" s="13"/>
      <c r="J410" s="14"/>
      <c r="K410" s="14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" customHeight="1">
      <c r="A411" s="14"/>
      <c r="B411" s="13"/>
      <c r="C411" s="13"/>
      <c r="D411" s="13"/>
      <c r="E411" s="13"/>
      <c r="F411" s="13"/>
      <c r="G411" s="13"/>
      <c r="H411" s="13"/>
      <c r="I411" s="13"/>
      <c r="J411" s="14"/>
      <c r="K411" s="14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" customHeight="1">
      <c r="A412" s="14"/>
      <c r="B412" s="13"/>
      <c r="C412" s="13"/>
      <c r="D412" s="13"/>
      <c r="E412" s="13"/>
      <c r="F412" s="13"/>
      <c r="G412" s="13"/>
      <c r="H412" s="13"/>
      <c r="I412" s="13"/>
      <c r="J412" s="14"/>
      <c r="K412" s="14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" customHeight="1">
      <c r="A413" s="14"/>
      <c r="B413" s="13"/>
      <c r="C413" s="13"/>
      <c r="D413" s="13"/>
      <c r="E413" s="13"/>
      <c r="F413" s="13"/>
      <c r="G413" s="13"/>
      <c r="H413" s="13"/>
      <c r="I413" s="13"/>
      <c r="J413" s="14"/>
      <c r="K413" s="14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" customHeight="1">
      <c r="A414" s="14"/>
      <c r="B414" s="13"/>
      <c r="C414" s="13"/>
      <c r="D414" s="13"/>
      <c r="E414" s="13"/>
      <c r="F414" s="13"/>
      <c r="G414" s="13"/>
      <c r="H414" s="13"/>
      <c r="I414" s="13"/>
      <c r="J414" s="14"/>
      <c r="K414" s="14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" customHeight="1">
      <c r="A415" s="14"/>
      <c r="B415" s="13"/>
      <c r="C415" s="13"/>
      <c r="D415" s="13"/>
      <c r="E415" s="13"/>
      <c r="F415" s="13"/>
      <c r="G415" s="13"/>
      <c r="H415" s="13"/>
      <c r="I415" s="13"/>
      <c r="J415" s="14"/>
      <c r="K415" s="14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" customHeight="1">
      <c r="A416" s="14"/>
      <c r="B416" s="13"/>
      <c r="C416" s="13"/>
      <c r="D416" s="13"/>
      <c r="E416" s="13"/>
      <c r="F416" s="13"/>
      <c r="G416" s="13"/>
      <c r="H416" s="13"/>
      <c r="I416" s="13"/>
      <c r="J416" s="14"/>
      <c r="K416" s="14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" customHeight="1">
      <c r="A417" s="14"/>
      <c r="B417" s="13"/>
      <c r="C417" s="13"/>
      <c r="D417" s="13"/>
      <c r="E417" s="13"/>
      <c r="F417" s="13"/>
      <c r="G417" s="13"/>
      <c r="H417" s="13"/>
      <c r="I417" s="13"/>
      <c r="J417" s="14"/>
      <c r="K417" s="14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" customHeight="1">
      <c r="A418" s="14"/>
      <c r="B418" s="13"/>
      <c r="C418" s="13"/>
      <c r="D418" s="13"/>
      <c r="E418" s="13"/>
      <c r="F418" s="13"/>
      <c r="G418" s="13"/>
      <c r="H418" s="13"/>
      <c r="I418" s="13"/>
      <c r="J418" s="14"/>
      <c r="K418" s="14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" customHeight="1">
      <c r="A419" s="14"/>
      <c r="B419" s="13"/>
      <c r="C419" s="13"/>
      <c r="D419" s="13"/>
      <c r="E419" s="13"/>
      <c r="F419" s="13"/>
      <c r="G419" s="13"/>
      <c r="H419" s="13"/>
      <c r="I419" s="13"/>
      <c r="J419" s="14"/>
      <c r="K419" s="14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" customHeight="1">
      <c r="A420" s="14"/>
      <c r="B420" s="13"/>
      <c r="C420" s="13"/>
      <c r="D420" s="13"/>
      <c r="E420" s="13"/>
      <c r="F420" s="13"/>
      <c r="G420" s="13"/>
      <c r="H420" s="13"/>
      <c r="I420" s="13"/>
      <c r="J420" s="14"/>
      <c r="K420" s="14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" customHeight="1">
      <c r="A421" s="14"/>
      <c r="B421" s="13"/>
      <c r="C421" s="13"/>
      <c r="D421" s="13"/>
      <c r="E421" s="13"/>
      <c r="F421" s="13"/>
      <c r="G421" s="13"/>
      <c r="H421" s="13"/>
      <c r="I421" s="13"/>
      <c r="J421" s="14"/>
      <c r="K421" s="14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" customHeight="1">
      <c r="A422" s="14"/>
      <c r="B422" s="13"/>
      <c r="C422" s="13"/>
      <c r="D422" s="13"/>
      <c r="E422" s="13"/>
      <c r="F422" s="13"/>
      <c r="G422" s="13"/>
      <c r="H422" s="13"/>
      <c r="I422" s="13"/>
      <c r="J422" s="14"/>
      <c r="K422" s="14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" customHeight="1">
      <c r="A423" s="14"/>
      <c r="B423" s="13"/>
      <c r="C423" s="13"/>
      <c r="D423" s="13"/>
      <c r="E423" s="13"/>
      <c r="F423" s="13"/>
      <c r="G423" s="13"/>
      <c r="H423" s="13"/>
      <c r="I423" s="13"/>
      <c r="J423" s="14"/>
      <c r="K423" s="14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" customHeight="1">
      <c r="A424" s="14"/>
      <c r="B424" s="13"/>
      <c r="C424" s="13"/>
      <c r="D424" s="13"/>
      <c r="E424" s="13"/>
      <c r="F424" s="13"/>
      <c r="G424" s="13"/>
      <c r="H424" s="13"/>
      <c r="I424" s="13"/>
      <c r="J424" s="14"/>
      <c r="K424" s="14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" customHeight="1">
      <c r="A425" s="14"/>
      <c r="B425" s="13"/>
      <c r="C425" s="13"/>
      <c r="D425" s="13"/>
      <c r="E425" s="13"/>
      <c r="F425" s="13"/>
      <c r="G425" s="13"/>
      <c r="H425" s="13"/>
      <c r="I425" s="13"/>
      <c r="J425" s="14"/>
      <c r="K425" s="14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" customHeight="1">
      <c r="A426" s="14"/>
      <c r="B426" s="13"/>
      <c r="C426" s="13"/>
      <c r="D426" s="13"/>
      <c r="E426" s="13"/>
      <c r="F426" s="13"/>
      <c r="G426" s="13"/>
      <c r="H426" s="13"/>
      <c r="I426" s="13"/>
      <c r="J426" s="14"/>
      <c r="K426" s="14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" customHeight="1">
      <c r="A427" s="14"/>
      <c r="B427" s="13"/>
      <c r="C427" s="13"/>
      <c r="D427" s="13"/>
      <c r="E427" s="13"/>
      <c r="F427" s="13"/>
      <c r="G427" s="13"/>
      <c r="H427" s="13"/>
      <c r="I427" s="13"/>
      <c r="J427" s="14"/>
      <c r="K427" s="14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" customHeight="1">
      <c r="A428" s="14"/>
      <c r="B428" s="13"/>
      <c r="C428" s="13"/>
      <c r="D428" s="13"/>
      <c r="E428" s="13"/>
      <c r="F428" s="13"/>
      <c r="G428" s="13"/>
      <c r="H428" s="13"/>
      <c r="I428" s="13"/>
      <c r="J428" s="14"/>
      <c r="K428" s="14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" customHeight="1">
      <c r="A429" s="14"/>
      <c r="B429" s="13"/>
      <c r="C429" s="13"/>
      <c r="D429" s="13"/>
      <c r="E429" s="13"/>
      <c r="F429" s="13"/>
      <c r="G429" s="13"/>
      <c r="H429" s="13"/>
      <c r="I429" s="13"/>
      <c r="J429" s="14"/>
      <c r="K429" s="14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" customHeight="1">
      <c r="A430" s="14"/>
      <c r="B430" s="13"/>
      <c r="C430" s="13"/>
      <c r="D430" s="13"/>
      <c r="E430" s="13"/>
      <c r="F430" s="13"/>
      <c r="G430" s="13"/>
      <c r="H430" s="13"/>
      <c r="I430" s="13"/>
      <c r="J430" s="14"/>
      <c r="K430" s="14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" customHeight="1">
      <c r="A431" s="14"/>
      <c r="B431" s="13"/>
      <c r="C431" s="13"/>
      <c r="D431" s="13"/>
      <c r="E431" s="13"/>
      <c r="F431" s="13"/>
      <c r="G431" s="13"/>
      <c r="H431" s="13"/>
      <c r="I431" s="13"/>
      <c r="J431" s="14"/>
      <c r="K431" s="14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" customHeight="1">
      <c r="A432" s="14"/>
      <c r="B432" s="13"/>
      <c r="C432" s="13"/>
      <c r="D432" s="13"/>
      <c r="E432" s="13"/>
      <c r="F432" s="13"/>
      <c r="G432" s="13"/>
      <c r="H432" s="13"/>
      <c r="I432" s="13"/>
      <c r="J432" s="14"/>
      <c r="K432" s="14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" customHeight="1">
      <c r="A433" s="14"/>
      <c r="B433" s="13"/>
      <c r="C433" s="13"/>
      <c r="D433" s="13"/>
      <c r="E433" s="13"/>
      <c r="F433" s="13"/>
      <c r="G433" s="13"/>
      <c r="H433" s="13"/>
      <c r="I433" s="13"/>
      <c r="J433" s="14"/>
      <c r="K433" s="14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" customHeight="1">
      <c r="A434" s="14"/>
      <c r="B434" s="13"/>
      <c r="C434" s="13"/>
      <c r="D434" s="13"/>
      <c r="E434" s="13"/>
      <c r="F434" s="13"/>
      <c r="G434" s="13"/>
      <c r="H434" s="13"/>
      <c r="I434" s="13"/>
      <c r="J434" s="14"/>
      <c r="K434" s="14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" customHeight="1">
      <c r="A435" s="14"/>
      <c r="B435" s="13"/>
      <c r="C435" s="13"/>
      <c r="D435" s="13"/>
      <c r="E435" s="13"/>
      <c r="F435" s="13"/>
      <c r="G435" s="13"/>
      <c r="H435" s="13"/>
      <c r="I435" s="13"/>
      <c r="J435" s="14"/>
      <c r="K435" s="14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" customHeight="1">
      <c r="A436" s="14"/>
      <c r="B436" s="13"/>
      <c r="C436" s="13"/>
      <c r="D436" s="13"/>
      <c r="E436" s="13"/>
      <c r="F436" s="13"/>
      <c r="G436" s="13"/>
      <c r="H436" s="13"/>
      <c r="I436" s="13"/>
      <c r="J436" s="14"/>
      <c r="K436" s="14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" customHeight="1">
      <c r="A437" s="14"/>
      <c r="B437" s="13"/>
      <c r="C437" s="13"/>
      <c r="D437" s="13"/>
      <c r="E437" s="13"/>
      <c r="F437" s="13"/>
      <c r="G437" s="13"/>
      <c r="H437" s="13"/>
      <c r="I437" s="13"/>
      <c r="J437" s="14"/>
      <c r="K437" s="14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" customHeight="1">
      <c r="A438" s="14"/>
      <c r="B438" s="13"/>
      <c r="C438" s="13"/>
      <c r="D438" s="13"/>
      <c r="E438" s="13"/>
      <c r="F438" s="13"/>
      <c r="G438" s="13"/>
      <c r="H438" s="13"/>
      <c r="I438" s="13"/>
      <c r="J438" s="14"/>
      <c r="K438" s="14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" customHeight="1">
      <c r="A439" s="14"/>
      <c r="B439" s="13"/>
      <c r="C439" s="13"/>
      <c r="D439" s="13"/>
      <c r="E439" s="13"/>
      <c r="F439" s="13"/>
      <c r="G439" s="13"/>
      <c r="H439" s="13"/>
      <c r="I439" s="13"/>
      <c r="J439" s="14"/>
      <c r="K439" s="14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" customHeight="1">
      <c r="A440" s="14"/>
      <c r="B440" s="13"/>
      <c r="C440" s="13"/>
      <c r="D440" s="13"/>
      <c r="E440" s="13"/>
      <c r="F440" s="13"/>
      <c r="G440" s="13"/>
      <c r="H440" s="13"/>
      <c r="I440" s="13"/>
      <c r="J440" s="14"/>
      <c r="K440" s="14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" customHeight="1">
      <c r="A441" s="14"/>
      <c r="B441" s="13"/>
      <c r="C441" s="13"/>
      <c r="D441" s="13"/>
      <c r="E441" s="13"/>
      <c r="F441" s="13"/>
      <c r="G441" s="13"/>
      <c r="H441" s="13"/>
      <c r="I441" s="13"/>
      <c r="J441" s="14"/>
      <c r="K441" s="14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" customHeight="1">
      <c r="A442" s="14"/>
      <c r="B442" s="13"/>
      <c r="C442" s="13"/>
      <c r="D442" s="13"/>
      <c r="E442" s="13"/>
      <c r="F442" s="13"/>
      <c r="G442" s="13"/>
      <c r="H442" s="13"/>
      <c r="I442" s="13"/>
      <c r="J442" s="14"/>
      <c r="K442" s="14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" customHeight="1">
      <c r="A443" s="14"/>
      <c r="B443" s="13"/>
      <c r="C443" s="13"/>
      <c r="D443" s="13"/>
      <c r="E443" s="13"/>
      <c r="F443" s="13"/>
      <c r="G443" s="13"/>
      <c r="H443" s="13"/>
      <c r="I443" s="13"/>
      <c r="J443" s="14"/>
      <c r="K443" s="14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" customHeight="1">
      <c r="A444" s="14"/>
      <c r="B444" s="13"/>
      <c r="C444" s="13"/>
      <c r="D444" s="13"/>
      <c r="E444" s="13"/>
      <c r="F444" s="13"/>
      <c r="G444" s="13"/>
      <c r="H444" s="13"/>
      <c r="I444" s="13"/>
      <c r="J444" s="14"/>
      <c r="K444" s="14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" customHeight="1">
      <c r="A445" s="14"/>
      <c r="B445" s="13"/>
      <c r="C445" s="13"/>
      <c r="D445" s="13"/>
      <c r="E445" s="13"/>
      <c r="F445" s="13"/>
      <c r="G445" s="13"/>
      <c r="H445" s="13"/>
      <c r="I445" s="13"/>
      <c r="J445" s="14"/>
      <c r="K445" s="14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" customHeight="1">
      <c r="A446" s="14"/>
      <c r="B446" s="13"/>
      <c r="C446" s="13"/>
      <c r="D446" s="13"/>
      <c r="E446" s="13"/>
      <c r="F446" s="13"/>
      <c r="G446" s="13"/>
      <c r="H446" s="13"/>
      <c r="I446" s="13"/>
      <c r="J446" s="14"/>
      <c r="K446" s="14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" customHeight="1">
      <c r="A447" s="14"/>
      <c r="B447" s="13"/>
      <c r="C447" s="13"/>
      <c r="D447" s="13"/>
      <c r="E447" s="13"/>
      <c r="F447" s="13"/>
      <c r="G447" s="13"/>
      <c r="H447" s="13"/>
      <c r="I447" s="13"/>
      <c r="J447" s="14"/>
      <c r="K447" s="14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" customHeight="1">
      <c r="A448" s="14"/>
      <c r="B448" s="13"/>
      <c r="C448" s="13"/>
      <c r="D448" s="13"/>
      <c r="E448" s="13"/>
      <c r="F448" s="13"/>
      <c r="G448" s="13"/>
      <c r="H448" s="13"/>
      <c r="I448" s="13"/>
      <c r="J448" s="14"/>
      <c r="K448" s="14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" customHeight="1">
      <c r="A449" s="14"/>
      <c r="B449" s="13"/>
      <c r="C449" s="13"/>
      <c r="D449" s="13"/>
      <c r="E449" s="13"/>
      <c r="F449" s="13"/>
      <c r="G449" s="13"/>
      <c r="H449" s="13"/>
      <c r="I449" s="13"/>
      <c r="J449" s="14"/>
      <c r="K449" s="14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" customHeight="1">
      <c r="A450" s="14"/>
      <c r="B450" s="13"/>
      <c r="C450" s="13"/>
      <c r="D450" s="13"/>
      <c r="E450" s="13"/>
      <c r="F450" s="13"/>
      <c r="G450" s="13"/>
      <c r="H450" s="13"/>
      <c r="I450" s="13"/>
      <c r="J450" s="14"/>
      <c r="K450" s="14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" customHeight="1">
      <c r="A451" s="14"/>
      <c r="B451" s="13"/>
      <c r="C451" s="13"/>
      <c r="D451" s="13"/>
      <c r="E451" s="13"/>
      <c r="F451" s="13"/>
      <c r="G451" s="13"/>
      <c r="H451" s="13"/>
      <c r="I451" s="13"/>
      <c r="J451" s="14"/>
      <c r="K451" s="14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" customHeight="1">
      <c r="A452" s="14"/>
      <c r="B452" s="13"/>
      <c r="C452" s="13"/>
      <c r="D452" s="13"/>
      <c r="E452" s="13"/>
      <c r="F452" s="13"/>
      <c r="G452" s="13"/>
      <c r="H452" s="13"/>
      <c r="I452" s="13"/>
      <c r="J452" s="14"/>
      <c r="K452" s="14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" customHeight="1">
      <c r="A453" s="14"/>
      <c r="B453" s="13"/>
      <c r="C453" s="13"/>
      <c r="D453" s="13"/>
      <c r="E453" s="13"/>
      <c r="F453" s="13"/>
      <c r="G453" s="13"/>
      <c r="H453" s="13"/>
      <c r="I453" s="13"/>
      <c r="J453" s="14"/>
      <c r="K453" s="14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" customHeight="1">
      <c r="A454" s="14"/>
      <c r="B454" s="13"/>
      <c r="C454" s="13"/>
      <c r="D454" s="13"/>
      <c r="E454" s="13"/>
      <c r="F454" s="13"/>
      <c r="G454" s="13"/>
      <c r="H454" s="13"/>
      <c r="I454" s="13"/>
      <c r="J454" s="14"/>
      <c r="K454" s="14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" customHeight="1">
      <c r="A455" s="14"/>
      <c r="B455" s="13"/>
      <c r="C455" s="13"/>
      <c r="D455" s="13"/>
      <c r="E455" s="13"/>
      <c r="F455" s="13"/>
      <c r="G455" s="13"/>
      <c r="H455" s="13"/>
      <c r="I455" s="13"/>
      <c r="J455" s="14"/>
      <c r="K455" s="14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" customHeight="1">
      <c r="A456" s="14"/>
      <c r="B456" s="13"/>
      <c r="C456" s="13"/>
      <c r="D456" s="13"/>
      <c r="E456" s="13"/>
      <c r="F456" s="13"/>
      <c r="G456" s="13"/>
      <c r="H456" s="13"/>
      <c r="I456" s="13"/>
      <c r="J456" s="14"/>
      <c r="K456" s="14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" customHeight="1">
      <c r="A457" s="14"/>
      <c r="B457" s="13"/>
      <c r="C457" s="13"/>
      <c r="D457" s="13"/>
      <c r="E457" s="13"/>
      <c r="F457" s="13"/>
      <c r="G457" s="13"/>
      <c r="H457" s="13"/>
      <c r="I457" s="13"/>
      <c r="J457" s="14"/>
      <c r="K457" s="14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" customHeight="1">
      <c r="A458" s="14"/>
      <c r="B458" s="13"/>
      <c r="C458" s="13"/>
      <c r="D458" s="13"/>
      <c r="E458" s="13"/>
      <c r="F458" s="13"/>
      <c r="G458" s="13"/>
      <c r="H458" s="13"/>
      <c r="I458" s="13"/>
      <c r="J458" s="14"/>
      <c r="K458" s="14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" customHeight="1">
      <c r="A459" s="14"/>
      <c r="B459" s="13"/>
      <c r="C459" s="13"/>
      <c r="D459" s="13"/>
      <c r="E459" s="13"/>
      <c r="F459" s="13"/>
      <c r="G459" s="13"/>
      <c r="H459" s="13"/>
      <c r="I459" s="13"/>
      <c r="J459" s="14"/>
      <c r="K459" s="14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" customHeight="1">
      <c r="A460" s="14"/>
      <c r="B460" s="13"/>
      <c r="C460" s="13"/>
      <c r="D460" s="13"/>
      <c r="E460" s="13"/>
      <c r="F460" s="13"/>
      <c r="G460" s="13"/>
      <c r="H460" s="13"/>
      <c r="I460" s="13"/>
      <c r="J460" s="14"/>
      <c r="K460" s="14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" customHeight="1">
      <c r="A461" s="14"/>
      <c r="B461" s="13"/>
      <c r="C461" s="13"/>
      <c r="D461" s="13"/>
      <c r="E461" s="13"/>
      <c r="F461" s="13"/>
      <c r="G461" s="13"/>
      <c r="H461" s="13"/>
      <c r="I461" s="13"/>
      <c r="J461" s="14"/>
      <c r="K461" s="14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" customHeight="1">
      <c r="A462" s="14"/>
      <c r="B462" s="13"/>
      <c r="C462" s="13"/>
      <c r="D462" s="13"/>
      <c r="E462" s="13"/>
      <c r="F462" s="13"/>
      <c r="G462" s="13"/>
      <c r="H462" s="13"/>
      <c r="I462" s="13"/>
      <c r="J462" s="14"/>
      <c r="K462" s="14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" customHeight="1">
      <c r="A463" s="14"/>
      <c r="B463" s="13"/>
      <c r="C463" s="13"/>
      <c r="D463" s="13"/>
      <c r="E463" s="13"/>
      <c r="F463" s="13"/>
      <c r="G463" s="13"/>
      <c r="H463" s="13"/>
      <c r="I463" s="13"/>
      <c r="J463" s="14"/>
      <c r="K463" s="14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" customHeight="1">
      <c r="A464" s="14"/>
      <c r="B464" s="13"/>
      <c r="C464" s="13"/>
      <c r="D464" s="13"/>
      <c r="E464" s="13"/>
      <c r="F464" s="13"/>
      <c r="G464" s="13"/>
      <c r="H464" s="13"/>
      <c r="I464" s="13"/>
      <c r="J464" s="14"/>
      <c r="K464" s="14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" customHeight="1">
      <c r="A465" s="14"/>
      <c r="B465" s="13"/>
      <c r="C465" s="13"/>
      <c r="D465" s="13"/>
      <c r="E465" s="13"/>
      <c r="F465" s="13"/>
      <c r="G465" s="13"/>
      <c r="H465" s="13"/>
      <c r="I465" s="13"/>
      <c r="J465" s="14"/>
      <c r="K465" s="14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" customHeight="1">
      <c r="A466" s="14"/>
      <c r="B466" s="13"/>
      <c r="C466" s="13"/>
      <c r="D466" s="13"/>
      <c r="E466" s="13"/>
      <c r="F466" s="13"/>
      <c r="G466" s="13"/>
      <c r="H466" s="13"/>
      <c r="I466" s="13"/>
      <c r="J466" s="14"/>
      <c r="K466" s="14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" customHeight="1">
      <c r="A467" s="14"/>
      <c r="B467" s="13"/>
      <c r="C467" s="13"/>
      <c r="D467" s="13"/>
      <c r="E467" s="13"/>
      <c r="F467" s="13"/>
      <c r="G467" s="13"/>
      <c r="H467" s="13"/>
      <c r="I467" s="13"/>
      <c r="J467" s="14"/>
      <c r="K467" s="14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" customHeight="1">
      <c r="A468" s="14"/>
      <c r="B468" s="13"/>
      <c r="C468" s="13"/>
      <c r="D468" s="13"/>
      <c r="E468" s="13"/>
      <c r="F468" s="13"/>
      <c r="G468" s="13"/>
      <c r="H468" s="13"/>
      <c r="I468" s="13"/>
      <c r="J468" s="14"/>
      <c r="K468" s="14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" customHeight="1">
      <c r="A469" s="14"/>
      <c r="B469" s="13"/>
      <c r="C469" s="13"/>
      <c r="D469" s="13"/>
      <c r="E469" s="13"/>
      <c r="F469" s="13"/>
      <c r="G469" s="13"/>
      <c r="H469" s="13"/>
      <c r="I469" s="13"/>
      <c r="J469" s="14"/>
      <c r="K469" s="14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" customHeight="1">
      <c r="A470" s="14"/>
      <c r="B470" s="13"/>
      <c r="C470" s="13"/>
      <c r="D470" s="13"/>
      <c r="E470" s="13"/>
      <c r="F470" s="13"/>
      <c r="G470" s="13"/>
      <c r="H470" s="13"/>
      <c r="I470" s="13"/>
      <c r="J470" s="14"/>
      <c r="K470" s="14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" customHeight="1">
      <c r="A471" s="14"/>
      <c r="B471" s="13"/>
      <c r="C471" s="13"/>
      <c r="D471" s="13"/>
      <c r="E471" s="13"/>
      <c r="F471" s="13"/>
      <c r="G471" s="13"/>
      <c r="H471" s="13"/>
      <c r="I471" s="13"/>
      <c r="J471" s="14"/>
      <c r="K471" s="14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" customHeight="1">
      <c r="A472" s="14"/>
      <c r="B472" s="13"/>
      <c r="C472" s="13"/>
      <c r="D472" s="13"/>
      <c r="E472" s="13"/>
      <c r="F472" s="13"/>
      <c r="G472" s="13"/>
      <c r="H472" s="13"/>
      <c r="I472" s="13"/>
      <c r="J472" s="14"/>
      <c r="K472" s="14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" customHeight="1">
      <c r="A473" s="14"/>
      <c r="B473" s="13"/>
      <c r="C473" s="13"/>
      <c r="D473" s="13"/>
      <c r="E473" s="13"/>
      <c r="F473" s="13"/>
      <c r="G473" s="13"/>
      <c r="H473" s="13"/>
      <c r="I473" s="13"/>
      <c r="J473" s="14"/>
      <c r="K473" s="14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" customHeight="1">
      <c r="A474" s="14"/>
      <c r="B474" s="13"/>
      <c r="C474" s="13"/>
      <c r="D474" s="13"/>
      <c r="E474" s="13"/>
      <c r="F474" s="13"/>
      <c r="G474" s="13"/>
      <c r="H474" s="13"/>
      <c r="I474" s="13"/>
      <c r="J474" s="14"/>
      <c r="K474" s="14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" customHeight="1">
      <c r="A475" s="14"/>
      <c r="B475" s="13"/>
      <c r="C475" s="13"/>
      <c r="D475" s="13"/>
      <c r="E475" s="13"/>
      <c r="F475" s="13"/>
      <c r="G475" s="13"/>
      <c r="H475" s="13"/>
      <c r="I475" s="13"/>
      <c r="J475" s="14"/>
      <c r="K475" s="14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" customHeight="1">
      <c r="A476" s="14"/>
      <c r="B476" s="13"/>
      <c r="C476" s="13"/>
      <c r="D476" s="13"/>
      <c r="E476" s="13"/>
      <c r="F476" s="13"/>
      <c r="G476" s="13"/>
      <c r="H476" s="13"/>
      <c r="I476" s="13"/>
      <c r="J476" s="14"/>
      <c r="K476" s="14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" customHeight="1">
      <c r="A477" s="14"/>
      <c r="B477" s="13"/>
      <c r="C477" s="13"/>
      <c r="D477" s="13"/>
      <c r="E477" s="13"/>
      <c r="F477" s="13"/>
      <c r="G477" s="13"/>
      <c r="H477" s="13"/>
      <c r="I477" s="13"/>
      <c r="J477" s="14"/>
      <c r="K477" s="14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" customHeight="1">
      <c r="A478" s="14"/>
      <c r="B478" s="13"/>
      <c r="C478" s="13"/>
      <c r="D478" s="13"/>
      <c r="E478" s="13"/>
      <c r="F478" s="13"/>
      <c r="G478" s="13"/>
      <c r="H478" s="13"/>
      <c r="I478" s="13"/>
      <c r="J478" s="14"/>
      <c r="K478" s="14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" customHeight="1">
      <c r="A479" s="14"/>
      <c r="B479" s="13"/>
      <c r="C479" s="13"/>
      <c r="D479" s="13"/>
      <c r="E479" s="13"/>
      <c r="F479" s="13"/>
      <c r="G479" s="13"/>
      <c r="H479" s="13"/>
      <c r="I479" s="13"/>
      <c r="J479" s="14"/>
      <c r="K479" s="14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" customHeight="1">
      <c r="A480" s="14"/>
      <c r="B480" s="13"/>
      <c r="C480" s="13"/>
      <c r="D480" s="13"/>
      <c r="E480" s="13"/>
      <c r="F480" s="13"/>
      <c r="G480" s="13"/>
      <c r="H480" s="13"/>
      <c r="I480" s="13"/>
      <c r="J480" s="14"/>
      <c r="K480" s="14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" customHeight="1">
      <c r="A481" s="14"/>
      <c r="B481" s="13"/>
      <c r="C481" s="13"/>
      <c r="D481" s="13"/>
      <c r="E481" s="13"/>
      <c r="F481" s="13"/>
      <c r="G481" s="13"/>
      <c r="H481" s="13"/>
      <c r="I481" s="13"/>
      <c r="J481" s="14"/>
      <c r="K481" s="14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" customHeight="1">
      <c r="A482" s="14"/>
      <c r="B482" s="13"/>
      <c r="C482" s="13"/>
      <c r="D482" s="13"/>
      <c r="E482" s="13"/>
      <c r="F482" s="13"/>
      <c r="G482" s="13"/>
      <c r="H482" s="13"/>
      <c r="I482" s="13"/>
      <c r="J482" s="14"/>
      <c r="K482" s="14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" customHeight="1">
      <c r="A483" s="14"/>
      <c r="B483" s="13"/>
      <c r="C483" s="13"/>
      <c r="D483" s="13"/>
      <c r="E483" s="13"/>
      <c r="F483" s="13"/>
      <c r="G483" s="13"/>
      <c r="H483" s="13"/>
      <c r="I483" s="13"/>
      <c r="J483" s="14"/>
      <c r="K483" s="14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" customHeight="1">
      <c r="A484" s="14"/>
      <c r="B484" s="13"/>
      <c r="C484" s="13"/>
      <c r="D484" s="13"/>
      <c r="E484" s="13"/>
      <c r="F484" s="13"/>
      <c r="G484" s="13"/>
      <c r="H484" s="13"/>
      <c r="I484" s="13"/>
      <c r="J484" s="14"/>
      <c r="K484" s="14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" customHeight="1">
      <c r="A485" s="14"/>
      <c r="B485" s="13"/>
      <c r="C485" s="13"/>
      <c r="D485" s="13"/>
      <c r="E485" s="13"/>
      <c r="F485" s="13"/>
      <c r="G485" s="13"/>
      <c r="H485" s="13"/>
      <c r="I485" s="13"/>
      <c r="J485" s="14"/>
      <c r="K485" s="14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" customHeight="1">
      <c r="A486" s="14"/>
      <c r="B486" s="13"/>
      <c r="C486" s="13"/>
      <c r="D486" s="13"/>
      <c r="E486" s="13"/>
      <c r="F486" s="13"/>
      <c r="G486" s="13"/>
      <c r="H486" s="13"/>
      <c r="I486" s="13"/>
      <c r="J486" s="14"/>
      <c r="K486" s="14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" customHeight="1">
      <c r="A487" s="14"/>
      <c r="B487" s="13"/>
      <c r="C487" s="13"/>
      <c r="D487" s="13"/>
      <c r="E487" s="13"/>
      <c r="F487" s="13"/>
      <c r="G487" s="13"/>
      <c r="H487" s="13"/>
      <c r="I487" s="13"/>
      <c r="J487" s="14"/>
      <c r="K487" s="14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" customHeight="1">
      <c r="A488" s="14"/>
      <c r="B488" s="13"/>
      <c r="C488" s="13"/>
      <c r="D488" s="13"/>
      <c r="E488" s="13"/>
      <c r="F488" s="13"/>
      <c r="G488" s="13"/>
      <c r="H488" s="13"/>
      <c r="I488" s="13"/>
      <c r="J488" s="14"/>
      <c r="K488" s="14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" customHeight="1">
      <c r="A489" s="14"/>
      <c r="B489" s="13"/>
      <c r="C489" s="13"/>
      <c r="D489" s="13"/>
      <c r="E489" s="13"/>
      <c r="F489" s="13"/>
      <c r="G489" s="13"/>
      <c r="H489" s="13"/>
      <c r="I489" s="13"/>
      <c r="J489" s="14"/>
      <c r="K489" s="14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" customHeight="1">
      <c r="A490" s="14"/>
      <c r="B490" s="13"/>
      <c r="C490" s="13"/>
      <c r="D490" s="13"/>
      <c r="E490" s="13"/>
      <c r="F490" s="13"/>
      <c r="G490" s="13"/>
      <c r="H490" s="13"/>
      <c r="I490" s="13"/>
      <c r="J490" s="14"/>
      <c r="K490" s="14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" customHeight="1">
      <c r="A491" s="14"/>
      <c r="B491" s="13"/>
      <c r="C491" s="13"/>
      <c r="D491" s="13"/>
      <c r="E491" s="13"/>
      <c r="F491" s="13"/>
      <c r="G491" s="13"/>
      <c r="H491" s="13"/>
      <c r="I491" s="13"/>
      <c r="J491" s="14"/>
      <c r="K491" s="14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" customHeight="1">
      <c r="A492" s="14"/>
      <c r="B492" s="13"/>
      <c r="C492" s="13"/>
      <c r="D492" s="13"/>
      <c r="E492" s="13"/>
      <c r="F492" s="13"/>
      <c r="G492" s="13"/>
      <c r="H492" s="13"/>
      <c r="I492" s="13"/>
      <c r="J492" s="14"/>
      <c r="K492" s="14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" customHeight="1">
      <c r="A493" s="14"/>
      <c r="B493" s="13"/>
      <c r="C493" s="13"/>
      <c r="D493" s="13"/>
      <c r="E493" s="13"/>
      <c r="F493" s="13"/>
      <c r="G493" s="13"/>
      <c r="H493" s="13"/>
      <c r="I493" s="13"/>
      <c r="J493" s="14"/>
      <c r="K493" s="14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" customHeight="1">
      <c r="A494" s="14"/>
      <c r="B494" s="13"/>
      <c r="C494" s="13"/>
      <c r="D494" s="13"/>
      <c r="E494" s="13"/>
      <c r="F494" s="13"/>
      <c r="G494" s="13"/>
      <c r="H494" s="13"/>
      <c r="I494" s="13"/>
      <c r="J494" s="14"/>
      <c r="K494" s="14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" customHeight="1">
      <c r="A495" s="14"/>
      <c r="B495" s="13"/>
      <c r="C495" s="13"/>
      <c r="D495" s="13"/>
      <c r="E495" s="13"/>
      <c r="F495" s="13"/>
      <c r="G495" s="13"/>
      <c r="H495" s="13"/>
      <c r="I495" s="13"/>
      <c r="J495" s="14"/>
      <c r="K495" s="14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" customHeight="1">
      <c r="A496" s="14"/>
      <c r="B496" s="13"/>
      <c r="C496" s="13"/>
      <c r="D496" s="13"/>
      <c r="E496" s="13"/>
      <c r="F496" s="13"/>
      <c r="G496" s="13"/>
      <c r="H496" s="13"/>
      <c r="I496" s="13"/>
      <c r="J496" s="14"/>
      <c r="K496" s="14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" customHeight="1">
      <c r="A497" s="14"/>
      <c r="B497" s="13"/>
      <c r="C497" s="13"/>
      <c r="D497" s="13"/>
      <c r="E497" s="13"/>
      <c r="F497" s="13"/>
      <c r="G497" s="13"/>
      <c r="H497" s="13"/>
      <c r="I497" s="13"/>
      <c r="J497" s="14"/>
      <c r="K497" s="14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" customHeight="1">
      <c r="A498" s="14"/>
      <c r="B498" s="13"/>
      <c r="C498" s="13"/>
      <c r="D498" s="13"/>
      <c r="E498" s="13"/>
      <c r="F498" s="13"/>
      <c r="G498" s="13"/>
      <c r="H498" s="13"/>
      <c r="I498" s="13"/>
      <c r="J498" s="14"/>
      <c r="K498" s="14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" customHeight="1">
      <c r="A499" s="14"/>
      <c r="B499" s="13"/>
      <c r="C499" s="13"/>
      <c r="D499" s="13"/>
      <c r="E499" s="13"/>
      <c r="F499" s="13"/>
      <c r="G499" s="13"/>
      <c r="H499" s="13"/>
      <c r="I499" s="13"/>
      <c r="J499" s="14"/>
      <c r="K499" s="14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" customHeight="1">
      <c r="A500" s="14"/>
      <c r="B500" s="13"/>
      <c r="C500" s="13"/>
      <c r="D500" s="13"/>
      <c r="E500" s="13"/>
      <c r="F500" s="13"/>
      <c r="G500" s="13"/>
      <c r="H500" s="13"/>
      <c r="I500" s="13"/>
      <c r="J500" s="14"/>
      <c r="K500" s="14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" customHeight="1">
      <c r="A501" s="14"/>
      <c r="B501" s="13"/>
      <c r="C501" s="13"/>
      <c r="D501" s="13"/>
      <c r="E501" s="13"/>
      <c r="F501" s="13"/>
      <c r="G501" s="13"/>
      <c r="H501" s="13"/>
      <c r="I501" s="13"/>
      <c r="J501" s="14"/>
      <c r="K501" s="14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" customHeight="1">
      <c r="A502" s="14"/>
      <c r="B502" s="13"/>
      <c r="C502" s="13"/>
      <c r="D502" s="13"/>
      <c r="E502" s="13"/>
      <c r="F502" s="13"/>
      <c r="G502" s="13"/>
      <c r="H502" s="13"/>
      <c r="I502" s="13"/>
      <c r="J502" s="14"/>
      <c r="K502" s="14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" customHeight="1">
      <c r="A503" s="14"/>
      <c r="B503" s="13"/>
      <c r="C503" s="13"/>
      <c r="D503" s="13"/>
      <c r="E503" s="13"/>
      <c r="F503" s="13"/>
      <c r="G503" s="13"/>
      <c r="H503" s="13"/>
      <c r="I503" s="13"/>
      <c r="J503" s="14"/>
      <c r="K503" s="14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" customHeight="1">
      <c r="A504" s="14"/>
      <c r="B504" s="13"/>
      <c r="C504" s="13"/>
      <c r="D504" s="13"/>
      <c r="E504" s="13"/>
      <c r="F504" s="13"/>
      <c r="G504" s="13"/>
      <c r="H504" s="13"/>
      <c r="I504" s="13"/>
      <c r="J504" s="14"/>
      <c r="K504" s="14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" customHeight="1">
      <c r="A505" s="14"/>
      <c r="B505" s="13"/>
      <c r="C505" s="13"/>
      <c r="D505" s="13"/>
      <c r="E505" s="13"/>
      <c r="F505" s="13"/>
      <c r="G505" s="13"/>
      <c r="H505" s="13"/>
      <c r="I505" s="13"/>
      <c r="J505" s="14"/>
      <c r="K505" s="14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" customHeight="1">
      <c r="A506" s="14"/>
      <c r="B506" s="13"/>
      <c r="C506" s="13"/>
      <c r="D506" s="13"/>
      <c r="E506" s="13"/>
      <c r="F506" s="13"/>
      <c r="G506" s="13"/>
      <c r="H506" s="13"/>
      <c r="I506" s="13"/>
      <c r="J506" s="14"/>
      <c r="K506" s="14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" customHeight="1">
      <c r="A507" s="14"/>
      <c r="B507" s="13"/>
      <c r="C507" s="13"/>
      <c r="D507" s="13"/>
      <c r="E507" s="13"/>
      <c r="F507" s="13"/>
      <c r="G507" s="13"/>
      <c r="H507" s="13"/>
      <c r="I507" s="13"/>
      <c r="J507" s="14"/>
      <c r="K507" s="14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" customHeight="1">
      <c r="A508" s="14"/>
      <c r="B508" s="13"/>
      <c r="C508" s="13"/>
      <c r="D508" s="13"/>
      <c r="E508" s="13"/>
      <c r="F508" s="13"/>
      <c r="G508" s="13"/>
      <c r="H508" s="13"/>
      <c r="I508" s="13"/>
      <c r="J508" s="14"/>
      <c r="K508" s="14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" customHeight="1">
      <c r="A509" s="14"/>
      <c r="B509" s="13"/>
      <c r="C509" s="13"/>
      <c r="D509" s="13"/>
      <c r="E509" s="13"/>
      <c r="F509" s="13"/>
      <c r="G509" s="13"/>
      <c r="H509" s="13"/>
      <c r="I509" s="13"/>
      <c r="J509" s="14"/>
      <c r="K509" s="14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" customHeight="1">
      <c r="A510" s="14"/>
      <c r="B510" s="13"/>
      <c r="C510" s="13"/>
      <c r="D510" s="13"/>
      <c r="E510" s="13"/>
      <c r="F510" s="13"/>
      <c r="G510" s="13"/>
      <c r="H510" s="13"/>
      <c r="I510" s="13"/>
      <c r="J510" s="14"/>
      <c r="K510" s="14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" customHeight="1">
      <c r="A511" s="14"/>
      <c r="B511" s="13"/>
      <c r="C511" s="13"/>
      <c r="D511" s="13"/>
      <c r="E511" s="13"/>
      <c r="F511" s="13"/>
      <c r="G511" s="13"/>
      <c r="H511" s="13"/>
      <c r="I511" s="13"/>
      <c r="J511" s="14"/>
      <c r="K511" s="14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" customHeight="1">
      <c r="A512" s="14"/>
      <c r="B512" s="13"/>
      <c r="C512" s="13"/>
      <c r="D512" s="13"/>
      <c r="E512" s="13"/>
      <c r="F512" s="13"/>
      <c r="G512" s="13"/>
      <c r="H512" s="13"/>
      <c r="I512" s="13"/>
      <c r="J512" s="14"/>
      <c r="K512" s="14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" customHeight="1">
      <c r="A513" s="14"/>
      <c r="B513" s="13"/>
      <c r="C513" s="13"/>
      <c r="D513" s="13"/>
      <c r="E513" s="13"/>
      <c r="F513" s="13"/>
      <c r="G513" s="13"/>
      <c r="H513" s="13"/>
      <c r="I513" s="13"/>
      <c r="J513" s="14"/>
      <c r="K513" s="14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" customHeight="1">
      <c r="A514" s="14"/>
      <c r="B514" s="13"/>
      <c r="C514" s="13"/>
      <c r="D514" s="13"/>
      <c r="E514" s="13"/>
      <c r="F514" s="13"/>
      <c r="G514" s="13"/>
      <c r="H514" s="13"/>
      <c r="I514" s="13"/>
      <c r="J514" s="14"/>
      <c r="K514" s="14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" customHeight="1">
      <c r="A515" s="14"/>
      <c r="B515" s="13"/>
      <c r="C515" s="13"/>
      <c r="D515" s="13"/>
      <c r="E515" s="13"/>
      <c r="F515" s="13"/>
      <c r="G515" s="13"/>
      <c r="H515" s="13"/>
      <c r="I515" s="13"/>
      <c r="J515" s="14"/>
      <c r="K515" s="14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" customHeight="1">
      <c r="A516" s="14"/>
      <c r="B516" s="13"/>
      <c r="C516" s="13"/>
      <c r="D516" s="13"/>
      <c r="E516" s="13"/>
      <c r="F516" s="13"/>
      <c r="G516" s="13"/>
      <c r="H516" s="13"/>
      <c r="I516" s="13"/>
      <c r="J516" s="14"/>
      <c r="K516" s="14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" customHeight="1">
      <c r="A517" s="14"/>
      <c r="B517" s="13"/>
      <c r="C517" s="13"/>
      <c r="D517" s="13"/>
      <c r="E517" s="13"/>
      <c r="F517" s="13"/>
      <c r="G517" s="13"/>
      <c r="H517" s="13"/>
      <c r="I517" s="13"/>
      <c r="J517" s="14"/>
      <c r="K517" s="14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" customHeight="1">
      <c r="A518" s="14"/>
      <c r="B518" s="13"/>
      <c r="C518" s="13"/>
      <c r="D518" s="13"/>
      <c r="E518" s="13"/>
      <c r="F518" s="13"/>
      <c r="G518" s="13"/>
      <c r="H518" s="13"/>
      <c r="I518" s="13"/>
      <c r="J518" s="14"/>
      <c r="K518" s="14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" customHeight="1">
      <c r="A519" s="14"/>
      <c r="B519" s="13"/>
      <c r="C519" s="13"/>
      <c r="D519" s="13"/>
      <c r="E519" s="13"/>
      <c r="F519" s="13"/>
      <c r="G519" s="13"/>
      <c r="H519" s="13"/>
      <c r="I519" s="13"/>
      <c r="J519" s="14"/>
      <c r="K519" s="14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" customHeight="1">
      <c r="A520" s="14"/>
      <c r="B520" s="13"/>
      <c r="C520" s="13"/>
      <c r="D520" s="13"/>
      <c r="E520" s="13"/>
      <c r="F520" s="13"/>
      <c r="G520" s="13"/>
      <c r="H520" s="13"/>
      <c r="I520" s="13"/>
      <c r="J520" s="14"/>
      <c r="K520" s="14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" customHeight="1">
      <c r="A521" s="14"/>
      <c r="B521" s="13"/>
      <c r="C521" s="13"/>
      <c r="D521" s="13"/>
      <c r="E521" s="13"/>
      <c r="F521" s="13"/>
      <c r="G521" s="13"/>
      <c r="H521" s="13"/>
      <c r="I521" s="13"/>
      <c r="J521" s="14"/>
      <c r="K521" s="14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" customHeight="1">
      <c r="A522" s="14"/>
      <c r="B522" s="13"/>
      <c r="C522" s="13"/>
      <c r="D522" s="13"/>
      <c r="E522" s="13"/>
      <c r="F522" s="13"/>
      <c r="G522" s="13"/>
      <c r="H522" s="13"/>
      <c r="I522" s="13"/>
      <c r="J522" s="14"/>
      <c r="K522" s="14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" customHeight="1">
      <c r="A523" s="14"/>
      <c r="B523" s="13"/>
      <c r="C523" s="13"/>
      <c r="D523" s="13"/>
      <c r="E523" s="13"/>
      <c r="F523" s="13"/>
      <c r="G523" s="13"/>
      <c r="H523" s="13"/>
      <c r="I523" s="13"/>
      <c r="J523" s="14"/>
      <c r="K523" s="14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" customHeight="1">
      <c r="A524" s="14"/>
      <c r="B524" s="13"/>
      <c r="C524" s="13"/>
      <c r="D524" s="13"/>
      <c r="E524" s="13"/>
      <c r="F524" s="13"/>
      <c r="G524" s="13"/>
      <c r="H524" s="13"/>
      <c r="I524" s="13"/>
      <c r="J524" s="14"/>
      <c r="K524" s="14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" customHeight="1">
      <c r="A525" s="14"/>
      <c r="B525" s="13"/>
      <c r="C525" s="13"/>
      <c r="D525" s="13"/>
      <c r="E525" s="13"/>
      <c r="F525" s="13"/>
      <c r="G525" s="13"/>
      <c r="H525" s="13"/>
      <c r="I525" s="13"/>
      <c r="J525" s="14"/>
      <c r="K525" s="14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" customHeight="1">
      <c r="A526" s="14"/>
      <c r="B526" s="13"/>
      <c r="C526" s="13"/>
      <c r="D526" s="13"/>
      <c r="E526" s="13"/>
      <c r="F526" s="13"/>
      <c r="G526" s="13"/>
      <c r="H526" s="13"/>
      <c r="I526" s="13"/>
      <c r="J526" s="14"/>
      <c r="K526" s="14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" customHeight="1">
      <c r="A527" s="14"/>
      <c r="B527" s="13"/>
      <c r="C527" s="13"/>
      <c r="D527" s="13"/>
      <c r="E527" s="13"/>
      <c r="F527" s="13"/>
      <c r="G527" s="13"/>
      <c r="H527" s="13"/>
      <c r="I527" s="13"/>
      <c r="J527" s="14"/>
      <c r="K527" s="14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" customHeight="1">
      <c r="A528" s="14"/>
      <c r="B528" s="13"/>
      <c r="C528" s="13"/>
      <c r="D528" s="13"/>
      <c r="E528" s="13"/>
      <c r="F528" s="13"/>
      <c r="G528" s="13"/>
      <c r="H528" s="13"/>
      <c r="I528" s="13"/>
      <c r="J528" s="14"/>
      <c r="K528" s="14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" customHeight="1">
      <c r="A529" s="14"/>
      <c r="B529" s="13"/>
      <c r="C529" s="13"/>
      <c r="D529" s="13"/>
      <c r="E529" s="13"/>
      <c r="F529" s="13"/>
      <c r="G529" s="13"/>
      <c r="H529" s="13"/>
      <c r="I529" s="13"/>
      <c r="J529" s="14"/>
      <c r="K529" s="14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" customHeight="1">
      <c r="A530" s="14"/>
      <c r="B530" s="13"/>
      <c r="C530" s="13"/>
      <c r="D530" s="13"/>
      <c r="E530" s="13"/>
      <c r="F530" s="13"/>
      <c r="G530" s="13"/>
      <c r="H530" s="13"/>
      <c r="I530" s="13"/>
      <c r="J530" s="14"/>
      <c r="K530" s="14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" customHeight="1">
      <c r="A531" s="14"/>
      <c r="B531" s="13"/>
      <c r="C531" s="13"/>
      <c r="D531" s="13"/>
      <c r="E531" s="13"/>
      <c r="F531" s="13"/>
      <c r="G531" s="13"/>
      <c r="H531" s="13"/>
      <c r="I531" s="13"/>
      <c r="J531" s="14"/>
      <c r="K531" s="14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" customHeight="1">
      <c r="A532" s="14"/>
      <c r="B532" s="13"/>
      <c r="C532" s="13"/>
      <c r="D532" s="13"/>
      <c r="E532" s="13"/>
      <c r="F532" s="13"/>
      <c r="G532" s="13"/>
      <c r="H532" s="13"/>
      <c r="I532" s="13"/>
      <c r="J532" s="14"/>
      <c r="K532" s="14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" customHeight="1">
      <c r="A533" s="14"/>
      <c r="B533" s="13"/>
      <c r="C533" s="13"/>
      <c r="D533" s="13"/>
      <c r="E533" s="13"/>
      <c r="F533" s="13"/>
      <c r="G533" s="13"/>
      <c r="H533" s="13"/>
      <c r="I533" s="13"/>
      <c r="J533" s="14"/>
      <c r="K533" s="14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" customHeight="1">
      <c r="A534" s="14"/>
      <c r="B534" s="13"/>
      <c r="C534" s="13"/>
      <c r="D534" s="13"/>
      <c r="E534" s="13"/>
      <c r="F534" s="13"/>
      <c r="G534" s="13"/>
      <c r="H534" s="13"/>
      <c r="I534" s="13"/>
      <c r="J534" s="14"/>
      <c r="K534" s="14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" customHeight="1">
      <c r="A535" s="14"/>
      <c r="B535" s="13"/>
      <c r="C535" s="13"/>
      <c r="D535" s="13"/>
      <c r="E535" s="13"/>
      <c r="F535" s="13"/>
      <c r="G535" s="13"/>
      <c r="H535" s="13"/>
      <c r="I535" s="13"/>
      <c r="J535" s="14"/>
      <c r="K535" s="14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" customHeight="1">
      <c r="A536" s="14"/>
      <c r="B536" s="13"/>
      <c r="C536" s="13"/>
      <c r="D536" s="13"/>
      <c r="E536" s="13"/>
      <c r="F536" s="13"/>
      <c r="G536" s="13"/>
      <c r="H536" s="13"/>
      <c r="I536" s="13"/>
      <c r="J536" s="14"/>
      <c r="K536" s="14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" customHeight="1">
      <c r="A537" s="14"/>
      <c r="B537" s="13"/>
      <c r="C537" s="13"/>
      <c r="D537" s="13"/>
      <c r="E537" s="13"/>
      <c r="F537" s="13"/>
      <c r="G537" s="13"/>
      <c r="H537" s="13"/>
      <c r="I537" s="13"/>
      <c r="J537" s="14"/>
      <c r="K537" s="14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" customHeight="1">
      <c r="A538" s="14"/>
      <c r="B538" s="13"/>
      <c r="C538" s="13"/>
      <c r="D538" s="13"/>
      <c r="E538" s="13"/>
      <c r="F538" s="13"/>
      <c r="G538" s="13"/>
      <c r="H538" s="13"/>
      <c r="I538" s="13"/>
      <c r="J538" s="14"/>
      <c r="K538" s="14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" customHeight="1">
      <c r="A539" s="14"/>
      <c r="B539" s="13"/>
      <c r="C539" s="13"/>
      <c r="D539" s="13"/>
      <c r="E539" s="13"/>
      <c r="F539" s="13"/>
      <c r="G539" s="13"/>
      <c r="H539" s="13"/>
      <c r="I539" s="13"/>
      <c r="J539" s="14"/>
      <c r="K539" s="14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" customHeight="1">
      <c r="A540" s="14"/>
      <c r="B540" s="13"/>
      <c r="C540" s="13"/>
      <c r="D540" s="13"/>
      <c r="E540" s="13"/>
      <c r="F540" s="13"/>
      <c r="G540" s="13"/>
      <c r="H540" s="13"/>
      <c r="I540" s="13"/>
      <c r="J540" s="14"/>
      <c r="K540" s="14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" customHeight="1">
      <c r="A541" s="14"/>
      <c r="B541" s="13"/>
      <c r="C541" s="13"/>
      <c r="D541" s="13"/>
      <c r="E541" s="13"/>
      <c r="F541" s="13"/>
      <c r="G541" s="13"/>
      <c r="H541" s="13"/>
      <c r="I541" s="13"/>
      <c r="J541" s="14"/>
      <c r="K541" s="14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" customHeight="1">
      <c r="A542" s="14"/>
      <c r="B542" s="13"/>
      <c r="C542" s="13"/>
      <c r="D542" s="13"/>
      <c r="E542" s="13"/>
      <c r="F542" s="13"/>
      <c r="G542" s="13"/>
      <c r="H542" s="13"/>
      <c r="I542" s="13"/>
      <c r="J542" s="14"/>
      <c r="K542" s="14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" customHeight="1">
      <c r="A543" s="14"/>
      <c r="B543" s="13"/>
      <c r="C543" s="13"/>
      <c r="D543" s="13"/>
      <c r="E543" s="13"/>
      <c r="F543" s="13"/>
      <c r="G543" s="13"/>
      <c r="H543" s="13"/>
      <c r="I543" s="13"/>
      <c r="J543" s="14"/>
      <c r="K543" s="14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" customHeight="1">
      <c r="A544" s="14"/>
      <c r="B544" s="13"/>
      <c r="C544" s="13"/>
      <c r="D544" s="13"/>
      <c r="E544" s="13"/>
      <c r="F544" s="13"/>
      <c r="G544" s="13"/>
      <c r="H544" s="13"/>
      <c r="I544" s="13"/>
      <c r="J544" s="14"/>
      <c r="K544" s="14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" customHeight="1">
      <c r="A545" s="14"/>
      <c r="B545" s="13"/>
      <c r="C545" s="13"/>
      <c r="D545" s="13"/>
      <c r="E545" s="13"/>
      <c r="F545" s="13"/>
      <c r="G545" s="13"/>
      <c r="H545" s="13"/>
      <c r="I545" s="13"/>
      <c r="J545" s="14"/>
      <c r="K545" s="14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" customHeight="1">
      <c r="A546" s="14"/>
      <c r="B546" s="13"/>
      <c r="C546" s="13"/>
      <c r="D546" s="13"/>
      <c r="E546" s="13"/>
      <c r="F546" s="13"/>
      <c r="G546" s="13"/>
      <c r="H546" s="13"/>
      <c r="I546" s="13"/>
      <c r="J546" s="14"/>
      <c r="K546" s="14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" customHeight="1">
      <c r="A547" s="14"/>
      <c r="B547" s="13"/>
      <c r="C547" s="13"/>
      <c r="D547" s="13"/>
      <c r="E547" s="13"/>
      <c r="F547" s="13"/>
      <c r="G547" s="13"/>
      <c r="H547" s="13"/>
      <c r="I547" s="13"/>
      <c r="J547" s="14"/>
      <c r="K547" s="14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" customHeight="1">
      <c r="A548" s="14"/>
      <c r="B548" s="13"/>
      <c r="C548" s="13"/>
      <c r="D548" s="13"/>
      <c r="E548" s="13"/>
      <c r="F548" s="13"/>
      <c r="G548" s="13"/>
      <c r="H548" s="13"/>
      <c r="I548" s="13"/>
      <c r="J548" s="14"/>
      <c r="K548" s="14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" customHeight="1">
      <c r="A549" s="14"/>
      <c r="B549" s="13"/>
      <c r="C549" s="13"/>
      <c r="D549" s="13"/>
      <c r="E549" s="13"/>
      <c r="F549" s="13"/>
      <c r="G549" s="13"/>
      <c r="H549" s="13"/>
      <c r="I549" s="13"/>
      <c r="J549" s="14"/>
      <c r="K549" s="14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" customHeight="1">
      <c r="A550" s="14"/>
      <c r="B550" s="13"/>
      <c r="C550" s="13"/>
      <c r="D550" s="13"/>
      <c r="E550" s="13"/>
      <c r="F550" s="13"/>
      <c r="G550" s="13"/>
      <c r="H550" s="13"/>
      <c r="I550" s="13"/>
      <c r="J550" s="14"/>
      <c r="K550" s="14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" customHeight="1">
      <c r="A551" s="14"/>
      <c r="B551" s="13"/>
      <c r="C551" s="13"/>
      <c r="D551" s="13"/>
      <c r="E551" s="13"/>
      <c r="F551" s="13"/>
      <c r="G551" s="13"/>
      <c r="H551" s="13"/>
      <c r="I551" s="13"/>
      <c r="J551" s="14"/>
      <c r="K551" s="14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" customHeight="1">
      <c r="A552" s="14"/>
      <c r="B552" s="13"/>
      <c r="C552" s="13"/>
      <c r="D552" s="13"/>
      <c r="E552" s="13"/>
      <c r="F552" s="13"/>
      <c r="G552" s="13"/>
      <c r="H552" s="13"/>
      <c r="I552" s="13"/>
      <c r="J552" s="14"/>
      <c r="K552" s="14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" customHeight="1">
      <c r="A553" s="14"/>
      <c r="B553" s="13"/>
      <c r="C553" s="13"/>
      <c r="D553" s="13"/>
      <c r="E553" s="13"/>
      <c r="F553" s="13"/>
      <c r="G553" s="13"/>
      <c r="H553" s="13"/>
      <c r="I553" s="13"/>
      <c r="J553" s="14"/>
      <c r="K553" s="14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" customHeight="1">
      <c r="A554" s="14"/>
      <c r="B554" s="13"/>
      <c r="C554" s="13"/>
      <c r="D554" s="13"/>
      <c r="E554" s="13"/>
      <c r="F554" s="13"/>
      <c r="G554" s="13"/>
      <c r="H554" s="13"/>
      <c r="I554" s="13"/>
      <c r="J554" s="14"/>
      <c r="K554" s="14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" customHeight="1">
      <c r="A555" s="14"/>
      <c r="B555" s="13"/>
      <c r="C555" s="13"/>
      <c r="D555" s="13"/>
      <c r="E555" s="13"/>
      <c r="F555" s="13"/>
      <c r="G555" s="13"/>
      <c r="H555" s="13"/>
      <c r="I555" s="13"/>
      <c r="J555" s="14"/>
      <c r="K555" s="14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" customHeight="1">
      <c r="A556" s="14"/>
      <c r="B556" s="13"/>
      <c r="C556" s="13"/>
      <c r="D556" s="13"/>
      <c r="E556" s="13"/>
      <c r="F556" s="13"/>
      <c r="G556" s="13"/>
      <c r="H556" s="13"/>
      <c r="I556" s="13"/>
      <c r="J556" s="14"/>
      <c r="K556" s="14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" customHeight="1">
      <c r="A557" s="14"/>
      <c r="B557" s="13"/>
      <c r="C557" s="13"/>
      <c r="D557" s="13"/>
      <c r="E557" s="13"/>
      <c r="F557" s="13"/>
      <c r="G557" s="13"/>
      <c r="H557" s="13"/>
      <c r="I557" s="13"/>
      <c r="J557" s="14"/>
      <c r="K557" s="14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" customHeight="1">
      <c r="A558" s="14"/>
      <c r="B558" s="13"/>
      <c r="C558" s="13"/>
      <c r="D558" s="13"/>
      <c r="E558" s="13"/>
      <c r="F558" s="13"/>
      <c r="G558" s="13"/>
      <c r="H558" s="13"/>
      <c r="I558" s="13"/>
      <c r="J558" s="14"/>
      <c r="K558" s="14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" customHeight="1">
      <c r="A559" s="14"/>
      <c r="B559" s="13"/>
      <c r="C559" s="13"/>
      <c r="D559" s="13"/>
      <c r="E559" s="13"/>
      <c r="F559" s="13"/>
      <c r="G559" s="13"/>
      <c r="H559" s="13"/>
      <c r="I559" s="13"/>
      <c r="J559" s="14"/>
      <c r="K559" s="14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" customHeight="1">
      <c r="A560" s="14"/>
      <c r="B560" s="13"/>
      <c r="C560" s="13"/>
      <c r="D560" s="13"/>
      <c r="E560" s="13"/>
      <c r="F560" s="13"/>
      <c r="G560" s="13"/>
      <c r="H560" s="13"/>
      <c r="I560" s="13"/>
      <c r="J560" s="14"/>
      <c r="K560" s="14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" customHeight="1">
      <c r="A561" s="14"/>
      <c r="B561" s="13"/>
      <c r="C561" s="13"/>
      <c r="D561" s="13"/>
      <c r="E561" s="13"/>
      <c r="F561" s="13"/>
      <c r="G561" s="13"/>
      <c r="H561" s="13"/>
      <c r="I561" s="13"/>
      <c r="J561" s="14"/>
      <c r="K561" s="14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" customHeight="1">
      <c r="A562" s="14"/>
      <c r="B562" s="13"/>
      <c r="C562" s="13"/>
      <c r="D562" s="13"/>
      <c r="E562" s="13"/>
      <c r="F562" s="13"/>
      <c r="G562" s="13"/>
      <c r="H562" s="13"/>
      <c r="I562" s="13"/>
      <c r="J562" s="14"/>
      <c r="K562" s="14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" customHeight="1">
      <c r="A563" s="14"/>
      <c r="B563" s="13"/>
      <c r="C563" s="13"/>
      <c r="D563" s="13"/>
      <c r="E563" s="13"/>
      <c r="F563" s="13"/>
      <c r="G563" s="13"/>
      <c r="H563" s="13"/>
      <c r="I563" s="13"/>
      <c r="J563" s="14"/>
      <c r="K563" s="14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" customHeight="1">
      <c r="A564" s="14"/>
      <c r="B564" s="13"/>
      <c r="C564" s="13"/>
      <c r="D564" s="13"/>
      <c r="E564" s="13"/>
      <c r="F564" s="13"/>
      <c r="G564" s="13"/>
      <c r="H564" s="13"/>
      <c r="I564" s="13"/>
      <c r="J564" s="14"/>
      <c r="K564" s="14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" customHeight="1">
      <c r="A565" s="14"/>
      <c r="B565" s="13"/>
      <c r="C565" s="13"/>
      <c r="D565" s="13"/>
      <c r="E565" s="13"/>
      <c r="F565" s="13"/>
      <c r="G565" s="13"/>
      <c r="H565" s="13"/>
      <c r="I565" s="13"/>
      <c r="J565" s="14"/>
      <c r="K565" s="14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" customHeight="1">
      <c r="A566" s="14"/>
      <c r="B566" s="13"/>
      <c r="C566" s="13"/>
      <c r="D566" s="13"/>
      <c r="E566" s="13"/>
      <c r="F566" s="13"/>
      <c r="G566" s="13"/>
      <c r="H566" s="13"/>
      <c r="I566" s="13"/>
      <c r="J566" s="14"/>
      <c r="K566" s="14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" customHeight="1">
      <c r="A567" s="14"/>
      <c r="B567" s="13"/>
      <c r="C567" s="13"/>
      <c r="D567" s="13"/>
      <c r="E567" s="13"/>
      <c r="F567" s="13"/>
      <c r="G567" s="13"/>
      <c r="H567" s="13"/>
      <c r="I567" s="13"/>
      <c r="J567" s="14"/>
      <c r="K567" s="14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" customHeight="1">
      <c r="A568" s="14"/>
      <c r="B568" s="13"/>
      <c r="C568" s="13"/>
      <c r="D568" s="13"/>
      <c r="E568" s="13"/>
      <c r="F568" s="13"/>
      <c r="G568" s="13"/>
      <c r="H568" s="13"/>
      <c r="I568" s="13"/>
      <c r="J568" s="14"/>
      <c r="K568" s="14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" customHeight="1">
      <c r="A569" s="14"/>
      <c r="B569" s="13"/>
      <c r="C569" s="13"/>
      <c r="D569" s="13"/>
      <c r="E569" s="13"/>
      <c r="F569" s="13"/>
      <c r="G569" s="13"/>
      <c r="H569" s="13"/>
      <c r="I569" s="13"/>
      <c r="J569" s="14"/>
      <c r="K569" s="14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" customHeight="1">
      <c r="A570" s="14"/>
      <c r="B570" s="13"/>
      <c r="C570" s="13"/>
      <c r="D570" s="13"/>
      <c r="E570" s="13"/>
      <c r="F570" s="13"/>
      <c r="G570" s="13"/>
      <c r="H570" s="13"/>
      <c r="I570" s="13"/>
      <c r="J570" s="14"/>
      <c r="K570" s="14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" customHeight="1">
      <c r="A571" s="14"/>
      <c r="B571" s="13"/>
      <c r="C571" s="13"/>
      <c r="D571" s="13"/>
      <c r="E571" s="13"/>
      <c r="F571" s="13"/>
      <c r="G571" s="13"/>
      <c r="H571" s="13"/>
      <c r="I571" s="13"/>
      <c r="J571" s="14"/>
      <c r="K571" s="14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" customHeight="1">
      <c r="A572" s="14"/>
      <c r="B572" s="13"/>
      <c r="C572" s="13"/>
      <c r="D572" s="13"/>
      <c r="E572" s="13"/>
      <c r="F572" s="13"/>
      <c r="G572" s="13"/>
      <c r="H572" s="13"/>
      <c r="I572" s="13"/>
      <c r="J572" s="14"/>
      <c r="K572" s="14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" customHeight="1">
      <c r="A573" s="14"/>
      <c r="B573" s="13"/>
      <c r="C573" s="13"/>
      <c r="D573" s="13"/>
      <c r="E573" s="13"/>
      <c r="F573" s="13"/>
      <c r="G573" s="13"/>
      <c r="H573" s="13"/>
      <c r="I573" s="13"/>
      <c r="J573" s="14"/>
      <c r="K573" s="14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" customHeight="1">
      <c r="A574" s="14"/>
      <c r="B574" s="13"/>
      <c r="C574" s="13"/>
      <c r="D574" s="13"/>
      <c r="E574" s="13"/>
      <c r="F574" s="13"/>
      <c r="G574" s="13"/>
      <c r="H574" s="13"/>
      <c r="I574" s="13"/>
      <c r="J574" s="14"/>
      <c r="K574" s="14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" customHeight="1">
      <c r="A575" s="14"/>
      <c r="B575" s="13"/>
      <c r="C575" s="13"/>
      <c r="D575" s="13"/>
      <c r="E575" s="13"/>
      <c r="F575" s="13"/>
      <c r="G575" s="13"/>
      <c r="H575" s="13"/>
      <c r="I575" s="13"/>
      <c r="J575" s="14"/>
      <c r="K575" s="14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" customHeight="1">
      <c r="A576" s="14"/>
      <c r="B576" s="13"/>
      <c r="C576" s="13"/>
      <c r="D576" s="13"/>
      <c r="E576" s="13"/>
      <c r="F576" s="13"/>
      <c r="G576" s="13"/>
      <c r="H576" s="13"/>
      <c r="I576" s="13"/>
      <c r="J576" s="14"/>
      <c r="K576" s="14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" customHeight="1">
      <c r="A577" s="14"/>
      <c r="B577" s="13"/>
      <c r="C577" s="13"/>
      <c r="D577" s="13"/>
      <c r="E577" s="13"/>
      <c r="F577" s="13"/>
      <c r="G577" s="13"/>
      <c r="H577" s="13"/>
      <c r="I577" s="13"/>
      <c r="J577" s="14"/>
      <c r="K577" s="14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" customHeight="1">
      <c r="A578" s="14"/>
      <c r="B578" s="13"/>
      <c r="C578" s="13"/>
      <c r="D578" s="13"/>
      <c r="E578" s="13"/>
      <c r="F578" s="13"/>
      <c r="G578" s="13"/>
      <c r="H578" s="13"/>
      <c r="I578" s="13"/>
      <c r="J578" s="14"/>
      <c r="K578" s="14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" customHeight="1">
      <c r="A579" s="14"/>
      <c r="B579" s="13"/>
      <c r="C579" s="13"/>
      <c r="D579" s="13"/>
      <c r="E579" s="13"/>
      <c r="F579" s="13"/>
      <c r="G579" s="13"/>
      <c r="H579" s="13"/>
      <c r="I579" s="13"/>
      <c r="J579" s="14"/>
      <c r="K579" s="14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" customHeight="1">
      <c r="A580" s="14"/>
      <c r="B580" s="13"/>
      <c r="C580" s="13"/>
      <c r="D580" s="13"/>
      <c r="E580" s="13"/>
      <c r="F580" s="13"/>
      <c r="G580" s="13"/>
      <c r="H580" s="13"/>
      <c r="I580" s="13"/>
      <c r="J580" s="14"/>
      <c r="K580" s="14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" customHeight="1">
      <c r="A581" s="14"/>
      <c r="B581" s="13"/>
      <c r="C581" s="13"/>
      <c r="D581" s="13"/>
      <c r="E581" s="13"/>
      <c r="F581" s="13"/>
      <c r="G581" s="13"/>
      <c r="H581" s="13"/>
      <c r="I581" s="13"/>
      <c r="J581" s="14"/>
      <c r="K581" s="14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" customHeight="1">
      <c r="A582" s="14"/>
      <c r="B582" s="13"/>
      <c r="C582" s="13"/>
      <c r="D582" s="13"/>
      <c r="E582" s="13"/>
      <c r="F582" s="13"/>
      <c r="G582" s="13"/>
      <c r="H582" s="13"/>
      <c r="I582" s="13"/>
      <c r="J582" s="14"/>
      <c r="K582" s="14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" customHeight="1">
      <c r="A583" s="14"/>
      <c r="B583" s="13"/>
      <c r="C583" s="13"/>
      <c r="D583" s="13"/>
      <c r="E583" s="13"/>
      <c r="F583" s="13"/>
      <c r="G583" s="13"/>
      <c r="H583" s="13"/>
      <c r="I583" s="13"/>
      <c r="J583" s="14"/>
      <c r="K583" s="14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" customHeight="1">
      <c r="A584" s="14"/>
      <c r="B584" s="13"/>
      <c r="C584" s="13"/>
      <c r="D584" s="13"/>
      <c r="E584" s="13"/>
      <c r="F584" s="13"/>
      <c r="G584" s="13"/>
      <c r="H584" s="13"/>
      <c r="I584" s="13"/>
      <c r="J584" s="14"/>
      <c r="K584" s="14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" customHeight="1">
      <c r="A585" s="14"/>
      <c r="B585" s="13"/>
      <c r="C585" s="13"/>
      <c r="D585" s="13"/>
      <c r="E585" s="13"/>
      <c r="F585" s="13"/>
      <c r="G585" s="13"/>
      <c r="H585" s="13"/>
      <c r="I585" s="13"/>
      <c r="J585" s="14"/>
      <c r="K585" s="14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" customHeight="1">
      <c r="A586" s="14"/>
      <c r="B586" s="13"/>
      <c r="C586" s="13"/>
      <c r="D586" s="13"/>
      <c r="E586" s="13"/>
      <c r="F586" s="13"/>
      <c r="G586" s="13"/>
      <c r="H586" s="13"/>
      <c r="I586" s="13"/>
      <c r="J586" s="14"/>
      <c r="K586" s="14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" customHeight="1">
      <c r="A587" s="14"/>
      <c r="B587" s="13"/>
      <c r="C587" s="13"/>
      <c r="D587" s="13"/>
      <c r="E587" s="13"/>
      <c r="F587" s="13"/>
      <c r="G587" s="13"/>
      <c r="H587" s="13"/>
      <c r="I587" s="13"/>
      <c r="J587" s="14"/>
      <c r="K587" s="14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" customHeight="1">
      <c r="A588" s="14"/>
      <c r="B588" s="13"/>
      <c r="C588" s="13"/>
      <c r="D588" s="13"/>
      <c r="E588" s="13"/>
      <c r="F588" s="13"/>
      <c r="G588" s="13"/>
      <c r="H588" s="13"/>
      <c r="I588" s="13"/>
      <c r="J588" s="14"/>
      <c r="K588" s="14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" customHeight="1">
      <c r="A589" s="14"/>
      <c r="B589" s="13"/>
      <c r="C589" s="13"/>
      <c r="D589" s="13"/>
      <c r="E589" s="13"/>
      <c r="F589" s="13"/>
      <c r="G589" s="13"/>
      <c r="H589" s="13"/>
      <c r="I589" s="13"/>
      <c r="J589" s="14"/>
      <c r="K589" s="14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" customHeight="1">
      <c r="A590" s="14"/>
      <c r="B590" s="13"/>
      <c r="C590" s="13"/>
      <c r="D590" s="13"/>
      <c r="E590" s="13"/>
      <c r="F590" s="13"/>
      <c r="G590" s="13"/>
      <c r="H590" s="13"/>
      <c r="I590" s="13"/>
      <c r="J590" s="14"/>
      <c r="K590" s="14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" customHeight="1">
      <c r="A591" s="14"/>
      <c r="B591" s="13"/>
      <c r="C591" s="13"/>
      <c r="D591" s="13"/>
      <c r="E591" s="13"/>
      <c r="F591" s="13"/>
      <c r="G591" s="13"/>
      <c r="H591" s="13"/>
      <c r="I591" s="13"/>
      <c r="J591" s="14"/>
      <c r="K591" s="14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" customHeight="1">
      <c r="A592" s="14"/>
      <c r="B592" s="13"/>
      <c r="C592" s="13"/>
      <c r="D592" s="13"/>
      <c r="E592" s="13"/>
      <c r="F592" s="13"/>
      <c r="G592" s="13"/>
      <c r="H592" s="13"/>
      <c r="I592" s="13"/>
      <c r="J592" s="14"/>
      <c r="K592" s="14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" customHeight="1">
      <c r="A593" s="14"/>
      <c r="B593" s="13"/>
      <c r="C593" s="13"/>
      <c r="D593" s="13"/>
      <c r="E593" s="13"/>
      <c r="F593" s="13"/>
      <c r="G593" s="13"/>
      <c r="H593" s="13"/>
      <c r="I593" s="13"/>
      <c r="J593" s="14"/>
      <c r="K593" s="14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" customHeight="1">
      <c r="A594" s="14"/>
      <c r="B594" s="13"/>
      <c r="C594" s="13"/>
      <c r="D594" s="13"/>
      <c r="E594" s="13"/>
      <c r="F594" s="13"/>
      <c r="G594" s="13"/>
      <c r="H594" s="13"/>
      <c r="I594" s="13"/>
      <c r="J594" s="14"/>
      <c r="K594" s="14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" customHeight="1">
      <c r="A595" s="14"/>
      <c r="B595" s="13"/>
      <c r="C595" s="13"/>
      <c r="D595" s="13"/>
      <c r="E595" s="13"/>
      <c r="F595" s="13"/>
      <c r="G595" s="13"/>
      <c r="H595" s="13"/>
      <c r="I595" s="13"/>
      <c r="J595" s="14"/>
      <c r="K595" s="14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" customHeight="1">
      <c r="A596" s="14"/>
      <c r="B596" s="13"/>
      <c r="C596" s="13"/>
      <c r="D596" s="13"/>
      <c r="E596" s="13"/>
      <c r="F596" s="13"/>
      <c r="G596" s="13"/>
      <c r="H596" s="13"/>
      <c r="I596" s="13"/>
      <c r="J596" s="14"/>
      <c r="K596" s="14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" customHeight="1">
      <c r="A597" s="14"/>
      <c r="B597" s="13"/>
      <c r="C597" s="13"/>
      <c r="D597" s="13"/>
      <c r="E597" s="13"/>
      <c r="F597" s="13"/>
      <c r="G597" s="13"/>
      <c r="H597" s="13"/>
      <c r="I597" s="13"/>
      <c r="J597" s="14"/>
      <c r="K597" s="14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" customHeight="1">
      <c r="A598" s="14"/>
      <c r="B598" s="13"/>
      <c r="C598" s="13"/>
      <c r="D598" s="13"/>
      <c r="E598" s="13"/>
      <c r="F598" s="13"/>
      <c r="G598" s="13"/>
      <c r="H598" s="13"/>
      <c r="I598" s="13"/>
      <c r="J598" s="14"/>
      <c r="K598" s="14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" customHeight="1">
      <c r="A599" s="14"/>
      <c r="B599" s="13"/>
      <c r="C599" s="13"/>
      <c r="D599" s="13"/>
      <c r="E599" s="13"/>
      <c r="F599" s="13"/>
      <c r="G599" s="13"/>
      <c r="H599" s="13"/>
      <c r="I599" s="13"/>
      <c r="J599" s="14"/>
      <c r="K599" s="14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" customHeight="1">
      <c r="A600" s="14"/>
      <c r="B600" s="13"/>
      <c r="C600" s="13"/>
      <c r="D600" s="13"/>
      <c r="E600" s="13"/>
      <c r="F600" s="13"/>
      <c r="G600" s="13"/>
      <c r="H600" s="13"/>
      <c r="I600" s="13"/>
      <c r="J600" s="14"/>
      <c r="K600" s="14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" customHeight="1">
      <c r="A601" s="14"/>
      <c r="B601" s="13"/>
      <c r="C601" s="13"/>
      <c r="D601" s="13"/>
      <c r="E601" s="13"/>
      <c r="F601" s="13"/>
      <c r="G601" s="13"/>
      <c r="H601" s="13"/>
      <c r="I601" s="13"/>
      <c r="J601" s="14"/>
      <c r="K601" s="14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" customHeight="1">
      <c r="A602" s="14"/>
      <c r="B602" s="13"/>
      <c r="C602" s="13"/>
      <c r="D602" s="13"/>
      <c r="E602" s="13"/>
      <c r="F602" s="13"/>
      <c r="G602" s="13"/>
      <c r="H602" s="13"/>
      <c r="I602" s="13"/>
      <c r="J602" s="14"/>
      <c r="K602" s="14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" customHeight="1">
      <c r="A603" s="14"/>
      <c r="B603" s="13"/>
      <c r="C603" s="13"/>
      <c r="D603" s="13"/>
      <c r="E603" s="13"/>
      <c r="F603" s="13"/>
      <c r="G603" s="13"/>
      <c r="H603" s="13"/>
      <c r="I603" s="13"/>
      <c r="J603" s="14"/>
      <c r="K603" s="14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" customHeight="1">
      <c r="A604" s="14"/>
      <c r="B604" s="13"/>
      <c r="C604" s="13"/>
      <c r="D604" s="13"/>
      <c r="E604" s="13"/>
      <c r="F604" s="13"/>
      <c r="G604" s="13"/>
      <c r="H604" s="13"/>
      <c r="I604" s="13"/>
      <c r="J604" s="14"/>
      <c r="K604" s="14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" customHeight="1">
      <c r="A605" s="14"/>
      <c r="B605" s="13"/>
      <c r="C605" s="13"/>
      <c r="D605" s="13"/>
      <c r="E605" s="13"/>
      <c r="F605" s="13"/>
      <c r="G605" s="13"/>
      <c r="H605" s="13"/>
      <c r="I605" s="13"/>
      <c r="J605" s="14"/>
      <c r="K605" s="14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" customHeight="1">
      <c r="A606" s="14"/>
      <c r="B606" s="13"/>
      <c r="C606" s="13"/>
      <c r="D606" s="13"/>
      <c r="E606" s="13"/>
      <c r="F606" s="13"/>
      <c r="G606" s="13"/>
      <c r="H606" s="13"/>
      <c r="I606" s="13"/>
      <c r="J606" s="14"/>
      <c r="K606" s="14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" customHeight="1">
      <c r="A607" s="14"/>
      <c r="B607" s="13"/>
      <c r="C607" s="13"/>
      <c r="D607" s="13"/>
      <c r="E607" s="13"/>
      <c r="F607" s="13"/>
      <c r="G607" s="13"/>
      <c r="H607" s="13"/>
      <c r="I607" s="13"/>
      <c r="J607" s="14"/>
      <c r="K607" s="14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" customHeight="1">
      <c r="A608" s="14"/>
      <c r="B608" s="13"/>
      <c r="C608" s="13"/>
      <c r="D608" s="13"/>
      <c r="E608" s="13"/>
      <c r="F608" s="13"/>
      <c r="G608" s="13"/>
      <c r="H608" s="13"/>
      <c r="I608" s="13"/>
      <c r="J608" s="14"/>
      <c r="K608" s="14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" customHeight="1">
      <c r="A609" s="14"/>
      <c r="B609" s="13"/>
      <c r="C609" s="13"/>
      <c r="D609" s="13"/>
      <c r="E609" s="13"/>
      <c r="F609" s="13"/>
      <c r="G609" s="13"/>
      <c r="H609" s="13"/>
      <c r="I609" s="13"/>
      <c r="J609" s="14"/>
      <c r="K609" s="14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" customHeight="1">
      <c r="A610" s="14"/>
      <c r="B610" s="13"/>
      <c r="C610" s="13"/>
      <c r="D610" s="13"/>
      <c r="E610" s="13"/>
      <c r="F610" s="13"/>
      <c r="G610" s="13"/>
      <c r="H610" s="13"/>
      <c r="I610" s="13"/>
      <c r="J610" s="14"/>
      <c r="K610" s="14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" customHeight="1">
      <c r="A611" s="14"/>
      <c r="B611" s="13"/>
      <c r="C611" s="13"/>
      <c r="D611" s="13"/>
      <c r="E611" s="13"/>
      <c r="F611" s="13"/>
      <c r="G611" s="13"/>
      <c r="H611" s="13"/>
      <c r="I611" s="13"/>
      <c r="J611" s="14"/>
      <c r="K611" s="14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" customHeight="1">
      <c r="A612" s="14"/>
      <c r="B612" s="13"/>
      <c r="C612" s="13"/>
      <c r="D612" s="13"/>
      <c r="E612" s="13"/>
      <c r="F612" s="13"/>
      <c r="G612" s="13"/>
      <c r="H612" s="13"/>
      <c r="I612" s="13"/>
      <c r="J612" s="14"/>
      <c r="K612" s="14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" customHeight="1">
      <c r="A613" s="14"/>
      <c r="B613" s="13"/>
      <c r="C613" s="13"/>
      <c r="D613" s="13"/>
      <c r="E613" s="13"/>
      <c r="F613" s="13"/>
      <c r="G613" s="13"/>
      <c r="H613" s="13"/>
      <c r="I613" s="13"/>
      <c r="J613" s="14"/>
      <c r="K613" s="14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" customHeight="1">
      <c r="A614" s="14"/>
      <c r="B614" s="13"/>
      <c r="C614" s="13"/>
      <c r="D614" s="13"/>
      <c r="E614" s="13"/>
      <c r="F614" s="13"/>
      <c r="G614" s="13"/>
      <c r="H614" s="13"/>
      <c r="I614" s="13"/>
      <c r="J614" s="14"/>
      <c r="K614" s="14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" customHeight="1">
      <c r="A615" s="14"/>
      <c r="B615" s="13"/>
      <c r="C615" s="13"/>
      <c r="D615" s="13"/>
      <c r="E615" s="13"/>
      <c r="F615" s="13"/>
      <c r="G615" s="13"/>
      <c r="H615" s="13"/>
      <c r="I615" s="13"/>
      <c r="J615" s="14"/>
      <c r="K615" s="14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" customHeight="1">
      <c r="A616" s="14"/>
      <c r="B616" s="13"/>
      <c r="C616" s="13"/>
      <c r="D616" s="13"/>
      <c r="E616" s="13"/>
      <c r="F616" s="13"/>
      <c r="G616" s="13"/>
      <c r="H616" s="13"/>
      <c r="I616" s="13"/>
      <c r="J616" s="14"/>
      <c r="K616" s="14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" customHeight="1">
      <c r="A617" s="14"/>
      <c r="B617" s="13"/>
      <c r="C617" s="13"/>
      <c r="D617" s="13"/>
      <c r="E617" s="13"/>
      <c r="F617" s="13"/>
      <c r="G617" s="13"/>
      <c r="H617" s="13"/>
      <c r="I617" s="13"/>
      <c r="J617" s="14"/>
      <c r="K617" s="14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" customHeight="1">
      <c r="A618" s="14"/>
      <c r="B618" s="13"/>
      <c r="C618" s="13"/>
      <c r="D618" s="13"/>
      <c r="E618" s="13"/>
      <c r="F618" s="13"/>
      <c r="G618" s="13"/>
      <c r="H618" s="13"/>
      <c r="I618" s="13"/>
      <c r="J618" s="14"/>
      <c r="K618" s="14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" customHeight="1">
      <c r="A619" s="14"/>
      <c r="B619" s="13"/>
      <c r="C619" s="13"/>
      <c r="D619" s="13"/>
      <c r="E619" s="13"/>
      <c r="F619" s="13"/>
      <c r="G619" s="13"/>
      <c r="H619" s="13"/>
      <c r="I619" s="13"/>
      <c r="J619" s="14"/>
      <c r="K619" s="14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" customHeight="1">
      <c r="A620" s="14"/>
      <c r="B620" s="13"/>
      <c r="C620" s="13"/>
      <c r="D620" s="13"/>
      <c r="E620" s="13"/>
      <c r="F620" s="13"/>
      <c r="G620" s="13"/>
      <c r="H620" s="13"/>
      <c r="I620" s="13"/>
      <c r="J620" s="14"/>
      <c r="K620" s="14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" customHeight="1">
      <c r="A621" s="14"/>
      <c r="B621" s="13"/>
      <c r="C621" s="13"/>
      <c r="D621" s="13"/>
      <c r="E621" s="13"/>
      <c r="F621" s="13"/>
      <c r="G621" s="13"/>
      <c r="H621" s="13"/>
      <c r="I621" s="13"/>
      <c r="J621" s="14"/>
      <c r="K621" s="14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" customHeight="1">
      <c r="A622" s="14"/>
      <c r="B622" s="13"/>
      <c r="C622" s="13"/>
      <c r="D622" s="13"/>
      <c r="E622" s="13"/>
      <c r="F622" s="13"/>
      <c r="G622" s="13"/>
      <c r="H622" s="13"/>
      <c r="I622" s="13"/>
      <c r="J622" s="14"/>
      <c r="K622" s="14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" customHeight="1">
      <c r="A623" s="14"/>
      <c r="B623" s="13"/>
      <c r="C623" s="13"/>
      <c r="D623" s="13"/>
      <c r="E623" s="13"/>
      <c r="F623" s="13"/>
      <c r="G623" s="13"/>
      <c r="H623" s="13"/>
      <c r="I623" s="13"/>
      <c r="J623" s="14"/>
      <c r="K623" s="14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" customHeight="1">
      <c r="A624" s="14"/>
      <c r="B624" s="13"/>
      <c r="C624" s="13"/>
      <c r="D624" s="13"/>
      <c r="E624" s="13"/>
      <c r="F624" s="13"/>
      <c r="G624" s="13"/>
      <c r="H624" s="13"/>
      <c r="I624" s="13"/>
      <c r="J624" s="14"/>
      <c r="K624" s="14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" customHeight="1">
      <c r="A625" s="14"/>
      <c r="B625" s="13"/>
      <c r="C625" s="13"/>
      <c r="D625" s="13"/>
      <c r="E625" s="13"/>
      <c r="F625" s="13"/>
      <c r="G625" s="13"/>
      <c r="H625" s="13"/>
      <c r="I625" s="13"/>
      <c r="J625" s="14"/>
      <c r="K625" s="14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" customHeight="1">
      <c r="A626" s="14"/>
      <c r="B626" s="13"/>
      <c r="C626" s="13"/>
      <c r="D626" s="13"/>
      <c r="E626" s="13"/>
      <c r="F626" s="13"/>
      <c r="G626" s="13"/>
      <c r="H626" s="13"/>
      <c r="I626" s="13"/>
      <c r="J626" s="14"/>
      <c r="K626" s="14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" customHeight="1">
      <c r="A627" s="14"/>
      <c r="B627" s="13"/>
      <c r="C627" s="13"/>
      <c r="D627" s="13"/>
      <c r="E627" s="13"/>
      <c r="F627" s="13"/>
      <c r="G627" s="13"/>
      <c r="H627" s="13"/>
      <c r="I627" s="13"/>
      <c r="J627" s="14"/>
      <c r="K627" s="14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" customHeight="1">
      <c r="A628" s="14"/>
      <c r="B628" s="13"/>
      <c r="C628" s="13"/>
      <c r="D628" s="13"/>
      <c r="E628" s="13"/>
      <c r="F628" s="13"/>
      <c r="G628" s="13"/>
      <c r="H628" s="13"/>
      <c r="I628" s="13"/>
      <c r="J628" s="14"/>
      <c r="K628" s="14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" customHeight="1">
      <c r="A629" s="14"/>
      <c r="B629" s="13"/>
      <c r="C629" s="13"/>
      <c r="D629" s="13"/>
      <c r="E629" s="13"/>
      <c r="F629" s="13"/>
      <c r="G629" s="13"/>
      <c r="H629" s="13"/>
      <c r="I629" s="13"/>
      <c r="J629" s="14"/>
      <c r="K629" s="14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" customHeight="1">
      <c r="A630" s="14"/>
      <c r="B630" s="13"/>
      <c r="C630" s="13"/>
      <c r="D630" s="13"/>
      <c r="E630" s="13"/>
      <c r="F630" s="13"/>
      <c r="G630" s="13"/>
      <c r="H630" s="13"/>
      <c r="I630" s="13"/>
      <c r="J630" s="14"/>
      <c r="K630" s="14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" customHeight="1">
      <c r="A631" s="14"/>
      <c r="B631" s="13"/>
      <c r="C631" s="13"/>
      <c r="D631" s="13"/>
      <c r="E631" s="13"/>
      <c r="F631" s="13"/>
      <c r="G631" s="13"/>
      <c r="H631" s="13"/>
      <c r="I631" s="13"/>
      <c r="J631" s="14"/>
      <c r="K631" s="14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" customHeight="1">
      <c r="A632" s="14"/>
      <c r="B632" s="13"/>
      <c r="C632" s="13"/>
      <c r="D632" s="13"/>
      <c r="E632" s="13"/>
      <c r="F632" s="13"/>
      <c r="G632" s="13"/>
      <c r="H632" s="13"/>
      <c r="I632" s="13"/>
      <c r="J632" s="14"/>
      <c r="K632" s="14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" customHeight="1">
      <c r="A633" s="14"/>
      <c r="B633" s="13"/>
      <c r="C633" s="13"/>
      <c r="D633" s="13"/>
      <c r="E633" s="13"/>
      <c r="F633" s="13"/>
      <c r="G633" s="13"/>
      <c r="H633" s="13"/>
      <c r="I633" s="13"/>
      <c r="J633" s="14"/>
      <c r="K633" s="14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" customHeight="1">
      <c r="A634" s="14"/>
      <c r="B634" s="13"/>
      <c r="C634" s="13"/>
      <c r="D634" s="13"/>
      <c r="E634" s="13"/>
      <c r="F634" s="13"/>
      <c r="G634" s="13"/>
      <c r="H634" s="13"/>
      <c r="I634" s="13"/>
      <c r="J634" s="14"/>
      <c r="K634" s="14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" customHeight="1">
      <c r="A635" s="14"/>
      <c r="B635" s="13"/>
      <c r="C635" s="13"/>
      <c r="D635" s="13"/>
      <c r="E635" s="13"/>
      <c r="F635" s="13"/>
      <c r="G635" s="13"/>
      <c r="H635" s="13"/>
      <c r="I635" s="13"/>
      <c r="J635" s="14"/>
      <c r="K635" s="14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" customHeight="1">
      <c r="A636" s="14"/>
      <c r="B636" s="13"/>
      <c r="C636" s="13"/>
      <c r="D636" s="13"/>
      <c r="E636" s="13"/>
      <c r="F636" s="13"/>
      <c r="G636" s="13"/>
      <c r="H636" s="13"/>
      <c r="I636" s="13"/>
      <c r="J636" s="14"/>
      <c r="K636" s="14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" customHeight="1">
      <c r="A637" s="14"/>
      <c r="B637" s="13"/>
      <c r="C637" s="13"/>
      <c r="D637" s="13"/>
      <c r="E637" s="13"/>
      <c r="F637" s="13"/>
      <c r="G637" s="13"/>
      <c r="H637" s="13"/>
      <c r="I637" s="13"/>
      <c r="J637" s="14"/>
      <c r="K637" s="14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" customHeight="1">
      <c r="A638" s="14"/>
      <c r="B638" s="13"/>
      <c r="C638" s="13"/>
      <c r="D638" s="13"/>
      <c r="E638" s="13"/>
      <c r="F638" s="13"/>
      <c r="G638" s="13"/>
      <c r="H638" s="13"/>
      <c r="I638" s="13"/>
      <c r="J638" s="14"/>
      <c r="K638" s="14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" customHeight="1">
      <c r="A639" s="14"/>
      <c r="B639" s="13"/>
      <c r="C639" s="13"/>
      <c r="D639" s="13"/>
      <c r="E639" s="13"/>
      <c r="F639" s="13"/>
      <c r="G639" s="13"/>
      <c r="H639" s="13"/>
      <c r="I639" s="13"/>
      <c r="J639" s="14"/>
      <c r="K639" s="14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" customHeight="1">
      <c r="A640" s="14"/>
      <c r="B640" s="13"/>
      <c r="C640" s="13"/>
      <c r="D640" s="13"/>
      <c r="E640" s="13"/>
      <c r="F640" s="13"/>
      <c r="G640" s="13"/>
      <c r="H640" s="13"/>
      <c r="I640" s="13"/>
      <c r="J640" s="14"/>
      <c r="K640" s="14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" customHeight="1">
      <c r="A641" s="14"/>
      <c r="B641" s="13"/>
      <c r="C641" s="13"/>
      <c r="D641" s="13"/>
      <c r="E641" s="13"/>
      <c r="F641" s="13"/>
      <c r="G641" s="13"/>
      <c r="H641" s="13"/>
      <c r="I641" s="13"/>
      <c r="J641" s="14"/>
      <c r="K641" s="14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" customHeight="1">
      <c r="A642" s="14"/>
      <c r="B642" s="13"/>
      <c r="C642" s="13"/>
      <c r="D642" s="13"/>
      <c r="E642" s="13"/>
      <c r="F642" s="13"/>
      <c r="G642" s="13"/>
      <c r="H642" s="13"/>
      <c r="I642" s="13"/>
      <c r="J642" s="14"/>
      <c r="K642" s="14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" customHeight="1">
      <c r="A643" s="14"/>
      <c r="B643" s="13"/>
      <c r="C643" s="13"/>
      <c r="D643" s="13"/>
      <c r="E643" s="13"/>
      <c r="F643" s="13"/>
      <c r="G643" s="13"/>
      <c r="H643" s="13"/>
      <c r="I643" s="13"/>
      <c r="J643" s="14"/>
      <c r="K643" s="14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" customHeight="1">
      <c r="A644" s="14"/>
      <c r="B644" s="13"/>
      <c r="C644" s="13"/>
      <c r="D644" s="13"/>
      <c r="E644" s="13"/>
      <c r="F644" s="13"/>
      <c r="G644" s="13"/>
      <c r="H644" s="13"/>
      <c r="I644" s="13"/>
      <c r="J644" s="14"/>
      <c r="K644" s="14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" customHeight="1">
      <c r="A645" s="14"/>
      <c r="B645" s="13"/>
      <c r="C645" s="13"/>
      <c r="D645" s="13"/>
      <c r="E645" s="13"/>
      <c r="F645" s="13"/>
      <c r="G645" s="13"/>
      <c r="H645" s="13"/>
      <c r="I645" s="13"/>
      <c r="J645" s="14"/>
      <c r="K645" s="14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" customHeight="1">
      <c r="A646" s="14"/>
      <c r="B646" s="13"/>
      <c r="C646" s="13"/>
      <c r="D646" s="13"/>
      <c r="E646" s="13"/>
      <c r="F646" s="13"/>
      <c r="G646" s="13"/>
      <c r="H646" s="13"/>
      <c r="I646" s="13"/>
      <c r="J646" s="14"/>
      <c r="K646" s="14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" customHeight="1">
      <c r="A647" s="14"/>
      <c r="B647" s="13"/>
      <c r="C647" s="13"/>
      <c r="D647" s="13"/>
      <c r="E647" s="13"/>
      <c r="F647" s="13"/>
      <c r="G647" s="13"/>
      <c r="H647" s="13"/>
      <c r="I647" s="13"/>
      <c r="J647" s="14"/>
      <c r="K647" s="14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" customHeight="1">
      <c r="A648" s="14"/>
      <c r="B648" s="13"/>
      <c r="C648" s="13"/>
      <c r="D648" s="13"/>
      <c r="E648" s="13"/>
      <c r="F648" s="13"/>
      <c r="G648" s="13"/>
      <c r="H648" s="13"/>
      <c r="I648" s="13"/>
      <c r="J648" s="14"/>
      <c r="K648" s="14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" customHeight="1">
      <c r="A649" s="14"/>
      <c r="B649" s="13"/>
      <c r="C649" s="13"/>
      <c r="D649" s="13"/>
      <c r="E649" s="13"/>
      <c r="F649" s="13"/>
      <c r="G649" s="13"/>
      <c r="H649" s="13"/>
      <c r="I649" s="13"/>
      <c r="J649" s="14"/>
      <c r="K649" s="14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" customHeight="1">
      <c r="A650" s="14"/>
      <c r="B650" s="13"/>
      <c r="C650" s="13"/>
      <c r="D650" s="13"/>
      <c r="E650" s="13"/>
      <c r="F650" s="13"/>
      <c r="G650" s="13"/>
      <c r="H650" s="13"/>
      <c r="I650" s="13"/>
      <c r="J650" s="14"/>
      <c r="K650" s="14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" customHeight="1">
      <c r="A651" s="14"/>
      <c r="B651" s="13"/>
      <c r="C651" s="13"/>
      <c r="D651" s="13"/>
      <c r="E651" s="13"/>
      <c r="F651" s="13"/>
      <c r="G651" s="13"/>
      <c r="H651" s="13"/>
      <c r="I651" s="13"/>
      <c r="J651" s="14"/>
      <c r="K651" s="14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" customHeight="1">
      <c r="A652" s="14"/>
      <c r="B652" s="13"/>
      <c r="C652" s="13"/>
      <c r="D652" s="13"/>
      <c r="E652" s="13"/>
      <c r="F652" s="13"/>
      <c r="G652" s="13"/>
      <c r="H652" s="13"/>
      <c r="I652" s="13"/>
      <c r="J652" s="14"/>
      <c r="K652" s="14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" customHeight="1">
      <c r="A653" s="14"/>
      <c r="B653" s="13"/>
      <c r="C653" s="13"/>
      <c r="D653" s="13"/>
      <c r="E653" s="13"/>
      <c r="F653" s="13"/>
      <c r="G653" s="13"/>
      <c r="H653" s="13"/>
      <c r="I653" s="13"/>
      <c r="J653" s="14"/>
      <c r="K653" s="14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" customHeight="1">
      <c r="A654" s="14"/>
      <c r="B654" s="13"/>
      <c r="C654" s="13"/>
      <c r="D654" s="13"/>
      <c r="E654" s="13"/>
      <c r="F654" s="13"/>
      <c r="G654" s="13"/>
      <c r="H654" s="13"/>
      <c r="I654" s="13"/>
      <c r="J654" s="14"/>
      <c r="K654" s="14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" customHeight="1">
      <c r="A655" s="14"/>
      <c r="B655" s="13"/>
      <c r="C655" s="13"/>
      <c r="D655" s="13"/>
      <c r="E655" s="13"/>
      <c r="F655" s="13"/>
      <c r="G655" s="13"/>
      <c r="H655" s="13"/>
      <c r="I655" s="13"/>
      <c r="J655" s="14"/>
      <c r="K655" s="14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" customHeight="1">
      <c r="A656" s="14"/>
      <c r="B656" s="13"/>
      <c r="C656" s="13"/>
      <c r="D656" s="13"/>
      <c r="E656" s="13"/>
      <c r="F656" s="13"/>
      <c r="G656" s="13"/>
      <c r="H656" s="13"/>
      <c r="I656" s="13"/>
      <c r="J656" s="14"/>
      <c r="K656" s="14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" customHeight="1">
      <c r="A657" s="14"/>
      <c r="B657" s="13"/>
      <c r="C657" s="13"/>
      <c r="D657" s="13"/>
      <c r="E657" s="13"/>
      <c r="F657" s="13"/>
      <c r="G657" s="13"/>
      <c r="H657" s="13"/>
      <c r="I657" s="13"/>
      <c r="J657" s="14"/>
      <c r="K657" s="14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" customHeight="1">
      <c r="A658" s="14"/>
      <c r="B658" s="13"/>
      <c r="C658" s="13"/>
      <c r="D658" s="13"/>
      <c r="E658" s="13"/>
      <c r="F658" s="13"/>
      <c r="G658" s="13"/>
      <c r="H658" s="13"/>
      <c r="I658" s="13"/>
      <c r="J658" s="14"/>
      <c r="K658" s="14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" customHeight="1">
      <c r="A659" s="14"/>
      <c r="B659" s="13"/>
      <c r="C659" s="13"/>
      <c r="D659" s="13"/>
      <c r="E659" s="13"/>
      <c r="F659" s="13"/>
      <c r="G659" s="13"/>
      <c r="H659" s="13"/>
      <c r="I659" s="13"/>
      <c r="J659" s="14"/>
      <c r="K659" s="14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" customHeight="1">
      <c r="A660" s="14"/>
      <c r="B660" s="13"/>
      <c r="C660" s="13"/>
      <c r="D660" s="13"/>
      <c r="E660" s="13"/>
      <c r="F660" s="13"/>
      <c r="G660" s="13"/>
      <c r="H660" s="13"/>
      <c r="I660" s="13"/>
      <c r="J660" s="14"/>
      <c r="K660" s="14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" customHeight="1">
      <c r="A661" s="14"/>
      <c r="B661" s="13"/>
      <c r="C661" s="13"/>
      <c r="D661" s="13"/>
      <c r="E661" s="13"/>
      <c r="F661" s="13"/>
      <c r="G661" s="13"/>
      <c r="H661" s="13"/>
      <c r="I661" s="13"/>
      <c r="J661" s="14"/>
      <c r="K661" s="14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" customHeight="1">
      <c r="A662" s="14"/>
      <c r="B662" s="13"/>
      <c r="C662" s="13"/>
      <c r="D662" s="13"/>
      <c r="E662" s="13"/>
      <c r="F662" s="13"/>
      <c r="G662" s="13"/>
      <c r="H662" s="13"/>
      <c r="I662" s="13"/>
      <c r="J662" s="14"/>
      <c r="K662" s="14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" customHeight="1">
      <c r="A663" s="14"/>
      <c r="B663" s="13"/>
      <c r="C663" s="13"/>
      <c r="D663" s="13"/>
      <c r="E663" s="13"/>
      <c r="F663" s="13"/>
      <c r="G663" s="13"/>
      <c r="H663" s="13"/>
      <c r="I663" s="13"/>
      <c r="J663" s="14"/>
      <c r="K663" s="14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" customHeight="1">
      <c r="A664" s="14"/>
      <c r="B664" s="13"/>
      <c r="C664" s="13"/>
      <c r="D664" s="13"/>
      <c r="E664" s="13"/>
      <c r="F664" s="13"/>
      <c r="G664" s="13"/>
      <c r="H664" s="13"/>
      <c r="I664" s="13"/>
      <c r="J664" s="14"/>
      <c r="K664" s="14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" customHeight="1">
      <c r="A665" s="14"/>
      <c r="B665" s="13"/>
      <c r="C665" s="13"/>
      <c r="D665" s="13"/>
      <c r="E665" s="13"/>
      <c r="F665" s="13"/>
      <c r="G665" s="13"/>
      <c r="H665" s="13"/>
      <c r="I665" s="13"/>
      <c r="J665" s="14"/>
      <c r="K665" s="14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" customHeight="1">
      <c r="A666" s="14"/>
      <c r="B666" s="13"/>
      <c r="C666" s="13"/>
      <c r="D666" s="13"/>
      <c r="E666" s="13"/>
      <c r="F666" s="13"/>
      <c r="G666" s="13"/>
      <c r="H666" s="13"/>
      <c r="I666" s="13"/>
      <c r="J666" s="14"/>
      <c r="K666" s="14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" customHeight="1">
      <c r="A667" s="14"/>
      <c r="B667" s="13"/>
      <c r="C667" s="13"/>
      <c r="D667" s="13"/>
      <c r="E667" s="13"/>
      <c r="F667" s="13"/>
      <c r="G667" s="13"/>
      <c r="H667" s="13"/>
      <c r="I667" s="13"/>
      <c r="J667" s="14"/>
      <c r="K667" s="14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" customHeight="1">
      <c r="A668" s="14"/>
      <c r="B668" s="13"/>
      <c r="C668" s="13"/>
      <c r="D668" s="13"/>
      <c r="E668" s="13"/>
      <c r="F668" s="13"/>
      <c r="G668" s="13"/>
      <c r="H668" s="13"/>
      <c r="I668" s="13"/>
      <c r="J668" s="14"/>
      <c r="K668" s="14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" customHeight="1">
      <c r="A669" s="14"/>
      <c r="B669" s="13"/>
      <c r="C669" s="13"/>
      <c r="D669" s="13"/>
      <c r="E669" s="13"/>
      <c r="F669" s="13"/>
      <c r="G669" s="13"/>
      <c r="H669" s="13"/>
      <c r="I669" s="13"/>
      <c r="J669" s="14"/>
      <c r="K669" s="14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" customHeight="1">
      <c r="A670" s="14"/>
      <c r="B670" s="13"/>
      <c r="C670" s="13"/>
      <c r="D670" s="13"/>
      <c r="E670" s="13"/>
      <c r="F670" s="13"/>
      <c r="G670" s="13"/>
      <c r="H670" s="13"/>
      <c r="I670" s="13"/>
      <c r="J670" s="14"/>
      <c r="K670" s="14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" customHeight="1">
      <c r="A671" s="14"/>
      <c r="B671" s="13"/>
      <c r="C671" s="13"/>
      <c r="D671" s="13"/>
      <c r="E671" s="13"/>
      <c r="F671" s="13"/>
      <c r="G671" s="13"/>
      <c r="H671" s="13"/>
      <c r="I671" s="13"/>
      <c r="J671" s="14"/>
      <c r="K671" s="14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" customHeight="1">
      <c r="A672" s="14"/>
      <c r="B672" s="13"/>
      <c r="C672" s="13"/>
      <c r="D672" s="13"/>
      <c r="E672" s="13"/>
      <c r="F672" s="13"/>
      <c r="G672" s="13"/>
      <c r="H672" s="13"/>
      <c r="I672" s="13"/>
      <c r="J672" s="14"/>
      <c r="K672" s="14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" customHeight="1">
      <c r="A673" s="14"/>
      <c r="B673" s="13"/>
      <c r="C673" s="13"/>
      <c r="D673" s="13"/>
      <c r="E673" s="13"/>
      <c r="F673" s="13"/>
      <c r="G673" s="13"/>
      <c r="H673" s="13"/>
      <c r="I673" s="13"/>
      <c r="J673" s="14"/>
      <c r="K673" s="14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" customHeight="1">
      <c r="A674" s="14"/>
      <c r="B674" s="13"/>
      <c r="C674" s="13"/>
      <c r="D674" s="13"/>
      <c r="E674" s="13"/>
      <c r="F674" s="13"/>
      <c r="G674" s="13"/>
      <c r="H674" s="13"/>
      <c r="I674" s="13"/>
      <c r="J674" s="14"/>
      <c r="K674" s="14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" customHeight="1">
      <c r="A675" s="14"/>
      <c r="B675" s="13"/>
      <c r="C675" s="13"/>
      <c r="D675" s="13"/>
      <c r="E675" s="13"/>
      <c r="F675" s="13"/>
      <c r="G675" s="13"/>
      <c r="H675" s="13"/>
      <c r="I675" s="13"/>
      <c r="J675" s="14"/>
      <c r="K675" s="14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" customHeight="1">
      <c r="A676" s="14"/>
      <c r="B676" s="13"/>
      <c r="C676" s="13"/>
      <c r="D676" s="13"/>
      <c r="E676" s="13"/>
      <c r="F676" s="13"/>
      <c r="G676" s="13"/>
      <c r="H676" s="13"/>
      <c r="I676" s="13"/>
      <c r="J676" s="14"/>
      <c r="K676" s="14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" customHeight="1">
      <c r="A677" s="14"/>
      <c r="B677" s="13"/>
      <c r="C677" s="13"/>
      <c r="D677" s="13"/>
      <c r="E677" s="13"/>
      <c r="F677" s="13"/>
      <c r="G677" s="13"/>
      <c r="H677" s="13"/>
      <c r="I677" s="13"/>
      <c r="J677" s="14"/>
      <c r="K677" s="14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" customHeight="1">
      <c r="A678" s="14"/>
      <c r="B678" s="13"/>
      <c r="C678" s="13"/>
      <c r="D678" s="13"/>
      <c r="E678" s="13"/>
      <c r="F678" s="13"/>
      <c r="G678" s="13"/>
      <c r="H678" s="13"/>
      <c r="I678" s="13"/>
      <c r="J678" s="14"/>
      <c r="K678" s="14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" customHeight="1">
      <c r="A679" s="14"/>
      <c r="B679" s="13"/>
      <c r="C679" s="13"/>
      <c r="D679" s="13"/>
      <c r="E679" s="13"/>
      <c r="F679" s="13"/>
      <c r="G679" s="13"/>
      <c r="H679" s="13"/>
      <c r="I679" s="13"/>
      <c r="J679" s="14"/>
      <c r="K679" s="14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" customHeight="1">
      <c r="A680" s="14"/>
      <c r="B680" s="13"/>
      <c r="C680" s="13"/>
      <c r="D680" s="13"/>
      <c r="E680" s="13"/>
      <c r="F680" s="13"/>
      <c r="G680" s="13"/>
      <c r="H680" s="13"/>
      <c r="I680" s="13"/>
      <c r="J680" s="14"/>
      <c r="K680" s="14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" customHeight="1">
      <c r="A681" s="14"/>
      <c r="B681" s="13"/>
      <c r="C681" s="13"/>
      <c r="D681" s="13"/>
      <c r="E681" s="13"/>
      <c r="F681" s="13"/>
      <c r="G681" s="13"/>
      <c r="H681" s="13"/>
      <c r="I681" s="13"/>
      <c r="J681" s="14"/>
      <c r="K681" s="14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" customHeight="1">
      <c r="A682" s="14"/>
      <c r="B682" s="13"/>
      <c r="C682" s="13"/>
      <c r="D682" s="13"/>
      <c r="E682" s="13"/>
      <c r="F682" s="13"/>
      <c r="G682" s="13"/>
      <c r="H682" s="13"/>
      <c r="I682" s="13"/>
      <c r="J682" s="14"/>
      <c r="K682" s="14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" customHeight="1">
      <c r="A683" s="14"/>
      <c r="B683" s="13"/>
      <c r="C683" s="13"/>
      <c r="D683" s="13"/>
      <c r="E683" s="13"/>
      <c r="F683" s="13"/>
      <c r="G683" s="13"/>
      <c r="H683" s="13"/>
      <c r="I683" s="13"/>
      <c r="J683" s="14"/>
      <c r="K683" s="14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" customHeight="1">
      <c r="A684" s="14"/>
      <c r="B684" s="13"/>
      <c r="C684" s="13"/>
      <c r="D684" s="13"/>
      <c r="E684" s="13"/>
      <c r="F684" s="13"/>
      <c r="G684" s="13"/>
      <c r="H684" s="13"/>
      <c r="I684" s="13"/>
      <c r="J684" s="14"/>
      <c r="K684" s="14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" customHeight="1">
      <c r="A685" s="14"/>
      <c r="B685" s="13"/>
      <c r="C685" s="13"/>
      <c r="D685" s="13"/>
      <c r="E685" s="13"/>
      <c r="F685" s="13"/>
      <c r="G685" s="13"/>
      <c r="H685" s="13"/>
      <c r="I685" s="13"/>
      <c r="J685" s="14"/>
      <c r="K685" s="14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" customHeight="1">
      <c r="A686" s="14"/>
      <c r="B686" s="13"/>
      <c r="C686" s="13"/>
      <c r="D686" s="13"/>
      <c r="E686" s="13"/>
      <c r="F686" s="13"/>
      <c r="G686" s="13"/>
      <c r="H686" s="13"/>
      <c r="I686" s="13"/>
      <c r="J686" s="14"/>
      <c r="K686" s="14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" customHeight="1">
      <c r="A687" s="14"/>
      <c r="B687" s="13"/>
      <c r="C687" s="13"/>
      <c r="D687" s="13"/>
      <c r="E687" s="13"/>
      <c r="F687" s="13"/>
      <c r="G687" s="13"/>
      <c r="H687" s="13"/>
      <c r="I687" s="13"/>
      <c r="J687" s="14"/>
      <c r="K687" s="14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" customHeight="1">
      <c r="A688" s="14"/>
      <c r="B688" s="13"/>
      <c r="C688" s="13"/>
      <c r="D688" s="13"/>
      <c r="E688" s="13"/>
      <c r="F688" s="13"/>
      <c r="G688" s="13"/>
      <c r="H688" s="13"/>
      <c r="I688" s="13"/>
      <c r="J688" s="14"/>
      <c r="K688" s="14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" customHeight="1">
      <c r="A689" s="14"/>
      <c r="B689" s="13"/>
      <c r="C689" s="13"/>
      <c r="D689" s="13"/>
      <c r="E689" s="13"/>
      <c r="F689" s="13"/>
      <c r="G689" s="13"/>
      <c r="H689" s="13"/>
      <c r="I689" s="13"/>
      <c r="J689" s="14"/>
      <c r="K689" s="14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" customHeight="1">
      <c r="A690" s="14"/>
      <c r="B690" s="13"/>
      <c r="C690" s="13"/>
      <c r="D690" s="13"/>
      <c r="E690" s="13"/>
      <c r="F690" s="13"/>
      <c r="G690" s="13"/>
      <c r="H690" s="13"/>
      <c r="I690" s="13"/>
      <c r="J690" s="14"/>
      <c r="K690" s="14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" customHeight="1">
      <c r="A691" s="14"/>
      <c r="B691" s="13"/>
      <c r="C691" s="13"/>
      <c r="D691" s="13"/>
      <c r="E691" s="13"/>
      <c r="F691" s="13"/>
      <c r="G691" s="13"/>
      <c r="H691" s="13"/>
      <c r="I691" s="13"/>
      <c r="J691" s="14"/>
      <c r="K691" s="14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" customHeight="1">
      <c r="A692" s="14"/>
      <c r="B692" s="13"/>
      <c r="C692" s="13"/>
      <c r="D692" s="13"/>
      <c r="E692" s="13"/>
      <c r="F692" s="13"/>
      <c r="G692" s="13"/>
      <c r="H692" s="13"/>
      <c r="I692" s="13"/>
      <c r="J692" s="14"/>
      <c r="K692" s="14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" customHeight="1">
      <c r="A693" s="14"/>
      <c r="B693" s="13"/>
      <c r="C693" s="13"/>
      <c r="D693" s="13"/>
      <c r="E693" s="13"/>
      <c r="F693" s="13"/>
      <c r="G693" s="13"/>
      <c r="H693" s="13"/>
      <c r="I693" s="13"/>
      <c r="J693" s="14"/>
      <c r="K693" s="14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" customHeight="1">
      <c r="A694" s="14"/>
      <c r="B694" s="13"/>
      <c r="C694" s="13"/>
      <c r="D694" s="13"/>
      <c r="E694" s="13"/>
      <c r="F694" s="13"/>
      <c r="G694" s="13"/>
      <c r="H694" s="13"/>
      <c r="I694" s="13"/>
      <c r="J694" s="14"/>
      <c r="K694" s="14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" customHeight="1">
      <c r="A695" s="14"/>
      <c r="B695" s="13"/>
      <c r="C695" s="13"/>
      <c r="D695" s="13"/>
      <c r="E695" s="13"/>
      <c r="F695" s="13"/>
      <c r="G695" s="13"/>
      <c r="H695" s="13"/>
      <c r="I695" s="13"/>
      <c r="J695" s="14"/>
      <c r="K695" s="14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" customHeight="1">
      <c r="A696" s="14"/>
      <c r="B696" s="13"/>
      <c r="C696" s="13"/>
      <c r="D696" s="13"/>
      <c r="E696" s="13"/>
      <c r="F696" s="13"/>
      <c r="G696" s="13"/>
      <c r="H696" s="13"/>
      <c r="I696" s="13"/>
      <c r="J696" s="14"/>
      <c r="K696" s="14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" customHeight="1">
      <c r="A697" s="14"/>
      <c r="B697" s="13"/>
      <c r="C697" s="13"/>
      <c r="D697" s="13"/>
      <c r="E697" s="13"/>
      <c r="F697" s="13"/>
      <c r="G697" s="13"/>
      <c r="H697" s="13"/>
      <c r="I697" s="13"/>
      <c r="J697" s="14"/>
      <c r="K697" s="14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" customHeight="1">
      <c r="A698" s="14"/>
      <c r="B698" s="13"/>
      <c r="C698" s="13"/>
      <c r="D698" s="13"/>
      <c r="E698" s="13"/>
      <c r="F698" s="13"/>
      <c r="G698" s="13"/>
      <c r="H698" s="13"/>
      <c r="I698" s="13"/>
      <c r="J698" s="14"/>
      <c r="K698" s="14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" customHeight="1">
      <c r="A699" s="14"/>
      <c r="B699" s="13"/>
      <c r="C699" s="13"/>
      <c r="D699" s="13"/>
      <c r="E699" s="13"/>
      <c r="F699" s="13"/>
      <c r="G699" s="13"/>
      <c r="H699" s="13"/>
      <c r="I699" s="13"/>
      <c r="J699" s="14"/>
      <c r="K699" s="14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" customHeight="1">
      <c r="A700" s="14"/>
      <c r="B700" s="13"/>
      <c r="C700" s="13"/>
      <c r="D700" s="13"/>
      <c r="E700" s="13"/>
      <c r="F700" s="13"/>
      <c r="G700" s="13"/>
      <c r="H700" s="13"/>
      <c r="I700" s="13"/>
      <c r="J700" s="14"/>
      <c r="K700" s="14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" customHeight="1">
      <c r="A701" s="14"/>
      <c r="B701" s="13"/>
      <c r="C701" s="13"/>
      <c r="D701" s="13"/>
      <c r="E701" s="13"/>
      <c r="F701" s="13"/>
      <c r="G701" s="13"/>
      <c r="H701" s="13"/>
      <c r="I701" s="13"/>
      <c r="J701" s="14"/>
      <c r="K701" s="14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" customHeight="1">
      <c r="A702" s="14"/>
      <c r="B702" s="13"/>
      <c r="C702" s="13"/>
      <c r="D702" s="13"/>
      <c r="E702" s="13"/>
      <c r="F702" s="13"/>
      <c r="G702" s="13"/>
      <c r="H702" s="13"/>
      <c r="I702" s="13"/>
      <c r="J702" s="14"/>
      <c r="K702" s="14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" customHeight="1">
      <c r="A703" s="14"/>
      <c r="B703" s="13"/>
      <c r="C703" s="13"/>
      <c r="D703" s="13"/>
      <c r="E703" s="13"/>
      <c r="F703" s="13"/>
      <c r="G703" s="13"/>
      <c r="H703" s="13"/>
      <c r="I703" s="13"/>
      <c r="J703" s="14"/>
      <c r="K703" s="14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" customHeight="1">
      <c r="A704" s="14"/>
      <c r="B704" s="13"/>
      <c r="C704" s="13"/>
      <c r="D704" s="13"/>
      <c r="E704" s="13"/>
      <c r="F704" s="13"/>
      <c r="G704" s="13"/>
      <c r="H704" s="13"/>
      <c r="I704" s="13"/>
      <c r="J704" s="14"/>
      <c r="K704" s="14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" customHeight="1">
      <c r="A705" s="14"/>
      <c r="B705" s="13"/>
      <c r="C705" s="13"/>
      <c r="D705" s="13"/>
      <c r="E705" s="13"/>
      <c r="F705" s="13"/>
      <c r="G705" s="13"/>
      <c r="H705" s="13"/>
      <c r="I705" s="13"/>
      <c r="J705" s="14"/>
      <c r="K705" s="14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" customHeight="1">
      <c r="A706" s="14"/>
      <c r="B706" s="13"/>
      <c r="C706" s="13"/>
      <c r="D706" s="13"/>
      <c r="E706" s="13"/>
      <c r="F706" s="13"/>
      <c r="G706" s="13"/>
      <c r="H706" s="13"/>
      <c r="I706" s="13"/>
      <c r="J706" s="14"/>
      <c r="K706" s="14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" customHeight="1">
      <c r="A707" s="14"/>
      <c r="B707" s="13"/>
      <c r="C707" s="13"/>
      <c r="D707" s="13"/>
      <c r="E707" s="13"/>
      <c r="F707" s="13"/>
      <c r="G707" s="13"/>
      <c r="H707" s="13"/>
      <c r="I707" s="13"/>
      <c r="J707" s="14"/>
      <c r="K707" s="14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" customHeight="1">
      <c r="A708" s="14"/>
      <c r="B708" s="13"/>
      <c r="C708" s="13"/>
      <c r="D708" s="13"/>
      <c r="E708" s="13"/>
      <c r="F708" s="13"/>
      <c r="G708" s="13"/>
      <c r="H708" s="13"/>
      <c r="I708" s="13"/>
      <c r="J708" s="14"/>
      <c r="K708" s="14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" customHeight="1">
      <c r="A709" s="14"/>
      <c r="B709" s="13"/>
      <c r="C709" s="13"/>
      <c r="D709" s="13"/>
      <c r="E709" s="13"/>
      <c r="F709" s="13"/>
      <c r="G709" s="13"/>
      <c r="H709" s="13"/>
      <c r="I709" s="13"/>
      <c r="J709" s="14"/>
      <c r="K709" s="14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" customHeight="1">
      <c r="A710" s="14"/>
      <c r="B710" s="13"/>
      <c r="C710" s="13"/>
      <c r="D710" s="13"/>
      <c r="E710" s="13"/>
      <c r="F710" s="13"/>
      <c r="G710" s="13"/>
      <c r="H710" s="13"/>
      <c r="I710" s="13"/>
      <c r="J710" s="14"/>
      <c r="K710" s="14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" customHeight="1">
      <c r="A711" s="14"/>
      <c r="B711" s="13"/>
      <c r="C711" s="13"/>
      <c r="D711" s="13"/>
      <c r="E711" s="13"/>
      <c r="F711" s="13"/>
      <c r="G711" s="13"/>
      <c r="H711" s="13"/>
      <c r="I711" s="13"/>
      <c r="J711" s="14"/>
      <c r="K711" s="14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" customHeight="1">
      <c r="A712" s="14"/>
      <c r="B712" s="13"/>
      <c r="C712" s="13"/>
      <c r="D712" s="13"/>
      <c r="E712" s="13"/>
      <c r="F712" s="13"/>
      <c r="G712" s="13"/>
      <c r="H712" s="13"/>
      <c r="I712" s="13"/>
      <c r="J712" s="14"/>
      <c r="K712" s="14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" customHeight="1">
      <c r="A713" s="14"/>
      <c r="B713" s="13"/>
      <c r="C713" s="13"/>
      <c r="D713" s="13"/>
      <c r="E713" s="13"/>
      <c r="F713" s="13"/>
      <c r="G713" s="13"/>
      <c r="H713" s="13"/>
      <c r="I713" s="13"/>
      <c r="J713" s="14"/>
      <c r="K713" s="14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" customHeight="1">
      <c r="A714" s="14"/>
      <c r="B714" s="13"/>
      <c r="C714" s="13"/>
      <c r="D714" s="13"/>
      <c r="E714" s="13"/>
      <c r="F714" s="13"/>
      <c r="G714" s="13"/>
      <c r="H714" s="13"/>
      <c r="I714" s="13"/>
      <c r="J714" s="14"/>
      <c r="K714" s="14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" customHeight="1">
      <c r="A715" s="14"/>
      <c r="B715" s="13"/>
      <c r="C715" s="13"/>
      <c r="D715" s="13"/>
      <c r="E715" s="13"/>
      <c r="F715" s="13"/>
      <c r="G715" s="13"/>
      <c r="H715" s="13"/>
      <c r="I715" s="13"/>
      <c r="J715" s="14"/>
      <c r="K715" s="14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" customHeight="1">
      <c r="A716" s="14"/>
      <c r="B716" s="13"/>
      <c r="C716" s="13"/>
      <c r="D716" s="13"/>
      <c r="E716" s="13"/>
      <c r="F716" s="13"/>
      <c r="G716" s="13"/>
      <c r="H716" s="13"/>
      <c r="I716" s="13"/>
      <c r="J716" s="14"/>
      <c r="K716" s="14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" customHeight="1">
      <c r="A717" s="14"/>
      <c r="B717" s="13"/>
      <c r="C717" s="13"/>
      <c r="D717" s="13"/>
      <c r="E717" s="13"/>
      <c r="F717" s="13"/>
      <c r="G717" s="13"/>
      <c r="H717" s="13"/>
      <c r="I717" s="13"/>
      <c r="J717" s="14"/>
      <c r="K717" s="14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" customHeight="1">
      <c r="A718" s="14"/>
      <c r="B718" s="13"/>
      <c r="C718" s="13"/>
      <c r="D718" s="13"/>
      <c r="E718" s="13"/>
      <c r="F718" s="13"/>
      <c r="G718" s="13"/>
      <c r="H718" s="13"/>
      <c r="I718" s="13"/>
      <c r="J718" s="14"/>
      <c r="K718" s="14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" customHeight="1">
      <c r="A719" s="14"/>
      <c r="B719" s="13"/>
      <c r="C719" s="13"/>
      <c r="D719" s="13"/>
      <c r="E719" s="13"/>
      <c r="F719" s="13"/>
      <c r="G719" s="13"/>
      <c r="H719" s="13"/>
      <c r="I719" s="13"/>
      <c r="J719" s="14"/>
      <c r="K719" s="14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" customHeight="1">
      <c r="A720" s="14"/>
      <c r="B720" s="13"/>
      <c r="C720" s="13"/>
      <c r="D720" s="13"/>
      <c r="E720" s="13"/>
      <c r="F720" s="13"/>
      <c r="G720" s="13"/>
      <c r="H720" s="13"/>
      <c r="I720" s="13"/>
      <c r="J720" s="14"/>
      <c r="K720" s="14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" customHeight="1">
      <c r="A721" s="14"/>
      <c r="B721" s="13"/>
      <c r="C721" s="13"/>
      <c r="D721" s="13"/>
      <c r="E721" s="13"/>
      <c r="F721" s="13"/>
      <c r="G721" s="13"/>
      <c r="H721" s="13"/>
      <c r="I721" s="13"/>
      <c r="J721" s="14"/>
      <c r="K721" s="14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" customHeight="1">
      <c r="A722" s="14"/>
      <c r="B722" s="13"/>
      <c r="C722" s="13"/>
      <c r="D722" s="13"/>
      <c r="E722" s="13"/>
      <c r="F722" s="13"/>
      <c r="G722" s="13"/>
      <c r="H722" s="13"/>
      <c r="I722" s="13"/>
      <c r="J722" s="14"/>
      <c r="K722" s="14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" customHeight="1">
      <c r="A723" s="14"/>
      <c r="B723" s="13"/>
      <c r="C723" s="13"/>
      <c r="D723" s="13"/>
      <c r="E723" s="13"/>
      <c r="F723" s="13"/>
      <c r="G723" s="13"/>
      <c r="H723" s="13"/>
      <c r="I723" s="13"/>
      <c r="J723" s="14"/>
      <c r="K723" s="14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" customHeight="1">
      <c r="A724" s="14"/>
      <c r="B724" s="13"/>
      <c r="C724" s="13"/>
      <c r="D724" s="13"/>
      <c r="E724" s="13"/>
      <c r="F724" s="13"/>
      <c r="G724" s="13"/>
      <c r="H724" s="13"/>
      <c r="I724" s="13"/>
      <c r="J724" s="14"/>
      <c r="K724" s="14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" customHeight="1">
      <c r="A725" s="14"/>
      <c r="B725" s="13"/>
      <c r="C725" s="13"/>
      <c r="D725" s="13"/>
      <c r="E725" s="13"/>
      <c r="F725" s="13"/>
      <c r="G725" s="13"/>
      <c r="H725" s="13"/>
      <c r="I725" s="13"/>
      <c r="J725" s="14"/>
      <c r="K725" s="14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" customHeight="1">
      <c r="A726" s="14"/>
      <c r="B726" s="13"/>
      <c r="C726" s="13"/>
      <c r="D726" s="13"/>
      <c r="E726" s="13"/>
      <c r="F726" s="13"/>
      <c r="G726" s="13"/>
      <c r="H726" s="13"/>
      <c r="I726" s="13"/>
      <c r="J726" s="14"/>
      <c r="K726" s="14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" customHeight="1">
      <c r="A727" s="14"/>
      <c r="B727" s="13"/>
      <c r="C727" s="13"/>
      <c r="D727" s="13"/>
      <c r="E727" s="13"/>
      <c r="F727" s="13"/>
      <c r="G727" s="13"/>
      <c r="H727" s="13"/>
      <c r="I727" s="13"/>
      <c r="J727" s="14"/>
      <c r="K727" s="14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" customHeight="1">
      <c r="A728" s="14"/>
      <c r="B728" s="13"/>
      <c r="C728" s="13"/>
      <c r="D728" s="13"/>
      <c r="E728" s="13"/>
      <c r="F728" s="13"/>
      <c r="G728" s="13"/>
      <c r="H728" s="13"/>
      <c r="I728" s="13"/>
      <c r="J728" s="14"/>
      <c r="K728" s="14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" customHeight="1">
      <c r="A729" s="14"/>
      <c r="B729" s="13"/>
      <c r="C729" s="13"/>
      <c r="D729" s="13"/>
      <c r="E729" s="13"/>
      <c r="F729" s="13"/>
      <c r="G729" s="13"/>
      <c r="H729" s="13"/>
      <c r="I729" s="13"/>
      <c r="J729" s="14"/>
      <c r="K729" s="14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" customHeight="1">
      <c r="A730" s="14"/>
      <c r="B730" s="13"/>
      <c r="C730" s="13"/>
      <c r="D730" s="13"/>
      <c r="E730" s="13"/>
      <c r="F730" s="13"/>
      <c r="G730" s="13"/>
      <c r="H730" s="13"/>
      <c r="I730" s="13"/>
      <c r="J730" s="14"/>
      <c r="K730" s="14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" customHeight="1">
      <c r="A731" s="14"/>
      <c r="B731" s="13"/>
      <c r="C731" s="13"/>
      <c r="D731" s="13"/>
      <c r="E731" s="13"/>
      <c r="F731" s="13"/>
      <c r="G731" s="13"/>
      <c r="H731" s="13"/>
      <c r="I731" s="13"/>
      <c r="J731" s="14"/>
      <c r="K731" s="14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" customHeight="1">
      <c r="A732" s="14"/>
      <c r="B732" s="13"/>
      <c r="C732" s="13"/>
      <c r="D732" s="13"/>
      <c r="E732" s="13"/>
      <c r="F732" s="13"/>
      <c r="G732" s="13"/>
      <c r="H732" s="13"/>
      <c r="I732" s="13"/>
      <c r="J732" s="14"/>
      <c r="K732" s="14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" customHeight="1">
      <c r="A733" s="14"/>
      <c r="B733" s="13"/>
      <c r="C733" s="13"/>
      <c r="D733" s="13"/>
      <c r="E733" s="13"/>
      <c r="F733" s="13"/>
      <c r="G733" s="13"/>
      <c r="H733" s="13"/>
      <c r="I733" s="13"/>
      <c r="J733" s="14"/>
      <c r="K733" s="14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" customHeight="1">
      <c r="A734" s="14"/>
      <c r="B734" s="13"/>
      <c r="C734" s="13"/>
      <c r="D734" s="13"/>
      <c r="E734" s="13"/>
      <c r="F734" s="13"/>
      <c r="G734" s="13"/>
      <c r="H734" s="13"/>
      <c r="I734" s="13"/>
      <c r="J734" s="14"/>
      <c r="K734" s="14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" customHeight="1">
      <c r="A735" s="14"/>
      <c r="B735" s="13"/>
      <c r="C735" s="13"/>
      <c r="D735" s="13"/>
      <c r="E735" s="13"/>
      <c r="F735" s="13"/>
      <c r="G735" s="13"/>
      <c r="H735" s="13"/>
      <c r="I735" s="13"/>
      <c r="J735" s="14"/>
      <c r="K735" s="14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" customHeight="1">
      <c r="A736" s="14"/>
      <c r="B736" s="13"/>
      <c r="C736" s="13"/>
      <c r="D736" s="13"/>
      <c r="E736" s="13"/>
      <c r="F736" s="13"/>
      <c r="G736" s="13"/>
      <c r="H736" s="13"/>
      <c r="I736" s="13"/>
      <c r="J736" s="14"/>
      <c r="K736" s="14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" customHeight="1">
      <c r="A737" s="14"/>
      <c r="B737" s="13"/>
      <c r="C737" s="13"/>
      <c r="D737" s="13"/>
      <c r="E737" s="13"/>
      <c r="F737" s="13"/>
      <c r="G737" s="13"/>
      <c r="H737" s="13"/>
      <c r="I737" s="13"/>
      <c r="J737" s="14"/>
      <c r="K737" s="14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" customHeight="1">
      <c r="A738" s="14"/>
      <c r="B738" s="13"/>
      <c r="C738" s="13"/>
      <c r="D738" s="13"/>
      <c r="E738" s="13"/>
      <c r="F738" s="13"/>
      <c r="G738" s="13"/>
      <c r="H738" s="13"/>
      <c r="I738" s="13"/>
      <c r="J738" s="14"/>
      <c r="K738" s="14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" customHeight="1">
      <c r="A739" s="14"/>
      <c r="B739" s="13"/>
      <c r="C739" s="13"/>
      <c r="D739" s="13"/>
      <c r="E739" s="13"/>
      <c r="F739" s="13"/>
      <c r="G739" s="13"/>
      <c r="H739" s="13"/>
      <c r="I739" s="13"/>
      <c r="J739" s="14"/>
      <c r="K739" s="14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" customHeight="1">
      <c r="A740" s="14"/>
      <c r="B740" s="13"/>
      <c r="C740" s="13"/>
      <c r="D740" s="13"/>
      <c r="E740" s="13"/>
      <c r="F740" s="13"/>
      <c r="G740" s="13"/>
      <c r="H740" s="13"/>
      <c r="I740" s="13"/>
      <c r="J740" s="14"/>
      <c r="K740" s="14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" customHeight="1">
      <c r="A741" s="14"/>
      <c r="B741" s="13"/>
      <c r="C741" s="13"/>
      <c r="D741" s="13"/>
      <c r="E741" s="13"/>
      <c r="F741" s="13"/>
      <c r="G741" s="13"/>
      <c r="H741" s="13"/>
      <c r="I741" s="13"/>
      <c r="J741" s="14"/>
      <c r="K741" s="14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" customHeight="1">
      <c r="A742" s="14"/>
      <c r="B742" s="13"/>
      <c r="C742" s="13"/>
      <c r="D742" s="13"/>
      <c r="E742" s="13"/>
      <c r="F742" s="13"/>
      <c r="G742" s="13"/>
      <c r="H742" s="13"/>
      <c r="I742" s="13"/>
      <c r="J742" s="14"/>
      <c r="K742" s="14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" customHeight="1">
      <c r="A743" s="14"/>
      <c r="B743" s="13"/>
      <c r="C743" s="13"/>
      <c r="D743" s="13"/>
      <c r="E743" s="13"/>
      <c r="F743" s="13"/>
      <c r="G743" s="13"/>
      <c r="H743" s="13"/>
      <c r="I743" s="13"/>
      <c r="J743" s="14"/>
      <c r="K743" s="14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" customHeight="1">
      <c r="A744" s="14"/>
      <c r="B744" s="13"/>
      <c r="C744" s="13"/>
      <c r="D744" s="13"/>
      <c r="E744" s="13"/>
      <c r="F744" s="13"/>
      <c r="G744" s="13"/>
      <c r="H744" s="13"/>
      <c r="I744" s="13"/>
      <c r="J744" s="14"/>
      <c r="K744" s="14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" customHeight="1">
      <c r="A745" s="14"/>
      <c r="B745" s="13"/>
      <c r="C745" s="13"/>
      <c r="D745" s="13"/>
      <c r="E745" s="13"/>
      <c r="F745" s="13"/>
      <c r="G745" s="13"/>
      <c r="H745" s="13"/>
      <c r="I745" s="13"/>
      <c r="J745" s="14"/>
      <c r="K745" s="14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" customHeight="1">
      <c r="A746" s="14"/>
      <c r="B746" s="13"/>
      <c r="C746" s="13"/>
      <c r="D746" s="13"/>
      <c r="E746" s="13"/>
      <c r="F746" s="13"/>
      <c r="G746" s="13"/>
      <c r="H746" s="13"/>
      <c r="I746" s="13"/>
      <c r="J746" s="14"/>
      <c r="K746" s="14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" customHeight="1">
      <c r="A747" s="14"/>
      <c r="B747" s="13"/>
      <c r="C747" s="13"/>
      <c r="D747" s="13"/>
      <c r="E747" s="13"/>
      <c r="F747" s="13"/>
      <c r="G747" s="13"/>
      <c r="H747" s="13"/>
      <c r="I747" s="13"/>
      <c r="J747" s="14"/>
      <c r="K747" s="14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" customHeight="1">
      <c r="A748" s="14"/>
      <c r="B748" s="13"/>
      <c r="C748" s="13"/>
      <c r="D748" s="13"/>
      <c r="E748" s="13"/>
      <c r="F748" s="13"/>
      <c r="G748" s="13"/>
      <c r="H748" s="13"/>
      <c r="I748" s="13"/>
      <c r="J748" s="14"/>
      <c r="K748" s="14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" customHeight="1">
      <c r="A749" s="14"/>
      <c r="B749" s="13"/>
      <c r="C749" s="13"/>
      <c r="D749" s="13"/>
      <c r="E749" s="13"/>
      <c r="F749" s="13"/>
      <c r="G749" s="13"/>
      <c r="H749" s="13"/>
      <c r="I749" s="13"/>
      <c r="J749" s="14"/>
      <c r="K749" s="14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" customHeight="1">
      <c r="A750" s="14"/>
      <c r="B750" s="13"/>
      <c r="C750" s="13"/>
      <c r="D750" s="13"/>
      <c r="E750" s="13"/>
      <c r="F750" s="13"/>
      <c r="G750" s="13"/>
      <c r="H750" s="13"/>
      <c r="I750" s="13"/>
      <c r="J750" s="14"/>
      <c r="K750" s="14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" customHeight="1">
      <c r="A751" s="14"/>
      <c r="B751" s="13"/>
      <c r="C751" s="13"/>
      <c r="D751" s="13"/>
      <c r="E751" s="13"/>
      <c r="F751" s="13"/>
      <c r="G751" s="13"/>
      <c r="H751" s="13"/>
      <c r="I751" s="13"/>
      <c r="J751" s="14"/>
      <c r="K751" s="14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" customHeight="1">
      <c r="A752" s="14"/>
      <c r="B752" s="13"/>
      <c r="C752" s="13"/>
      <c r="D752" s="13"/>
      <c r="E752" s="13"/>
      <c r="F752" s="13"/>
      <c r="G752" s="13"/>
      <c r="H752" s="13"/>
      <c r="I752" s="13"/>
      <c r="J752" s="14"/>
      <c r="K752" s="14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" customHeight="1">
      <c r="A753" s="14"/>
      <c r="B753" s="13"/>
      <c r="C753" s="13"/>
      <c r="D753" s="13"/>
      <c r="E753" s="13"/>
      <c r="F753" s="13"/>
      <c r="G753" s="13"/>
      <c r="H753" s="13"/>
      <c r="I753" s="13"/>
      <c r="J753" s="14"/>
      <c r="K753" s="14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" customHeight="1">
      <c r="A754" s="14"/>
      <c r="B754" s="13"/>
      <c r="C754" s="13"/>
      <c r="D754" s="13"/>
      <c r="E754" s="13"/>
      <c r="F754" s="13"/>
      <c r="G754" s="13"/>
      <c r="H754" s="13"/>
      <c r="I754" s="13"/>
      <c r="J754" s="14"/>
      <c r="K754" s="14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" customHeight="1">
      <c r="A755" s="14"/>
      <c r="B755" s="13"/>
      <c r="C755" s="13"/>
      <c r="D755" s="13"/>
      <c r="E755" s="13"/>
      <c r="F755" s="13"/>
      <c r="G755" s="13"/>
      <c r="H755" s="13"/>
      <c r="I755" s="13"/>
      <c r="J755" s="14"/>
      <c r="K755" s="14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" customHeight="1">
      <c r="A756" s="14"/>
      <c r="B756" s="13"/>
      <c r="C756" s="13"/>
      <c r="D756" s="13"/>
      <c r="E756" s="13"/>
      <c r="F756" s="13"/>
      <c r="G756" s="13"/>
      <c r="H756" s="13"/>
      <c r="I756" s="13"/>
      <c r="J756" s="14"/>
      <c r="K756" s="14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" customHeight="1">
      <c r="A757" s="14"/>
      <c r="B757" s="13"/>
      <c r="C757" s="13"/>
      <c r="D757" s="13"/>
      <c r="E757" s="13"/>
      <c r="F757" s="13"/>
      <c r="G757" s="13"/>
      <c r="H757" s="13"/>
      <c r="I757" s="13"/>
      <c r="J757" s="14"/>
      <c r="K757" s="14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" customHeight="1">
      <c r="A758" s="14"/>
      <c r="B758" s="13"/>
      <c r="C758" s="13"/>
      <c r="D758" s="13"/>
      <c r="E758" s="13"/>
      <c r="F758" s="13"/>
      <c r="G758" s="13"/>
      <c r="H758" s="13"/>
      <c r="I758" s="13"/>
      <c r="J758" s="14"/>
      <c r="K758" s="14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" customHeight="1">
      <c r="A759" s="14"/>
      <c r="B759" s="13"/>
      <c r="C759" s="13"/>
      <c r="D759" s="13"/>
      <c r="E759" s="13"/>
      <c r="F759" s="13"/>
      <c r="G759" s="13"/>
      <c r="H759" s="13"/>
      <c r="I759" s="13"/>
      <c r="J759" s="14"/>
      <c r="K759" s="14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" customHeight="1">
      <c r="A760" s="14"/>
      <c r="B760" s="13"/>
      <c r="C760" s="13"/>
      <c r="D760" s="13"/>
      <c r="E760" s="13"/>
      <c r="F760" s="13"/>
      <c r="G760" s="13"/>
      <c r="H760" s="13"/>
      <c r="I760" s="13"/>
      <c r="J760" s="14"/>
      <c r="K760" s="14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" customHeight="1">
      <c r="A761" s="14"/>
      <c r="B761" s="13"/>
      <c r="C761" s="13"/>
      <c r="D761" s="13"/>
      <c r="E761" s="13"/>
      <c r="F761" s="13"/>
      <c r="G761" s="13"/>
      <c r="H761" s="13"/>
      <c r="I761" s="13"/>
      <c r="J761" s="14"/>
      <c r="K761" s="14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" customHeight="1">
      <c r="A762" s="14"/>
      <c r="B762" s="13"/>
      <c r="C762" s="13"/>
      <c r="D762" s="13"/>
      <c r="E762" s="13"/>
      <c r="F762" s="13"/>
      <c r="G762" s="13"/>
      <c r="H762" s="13"/>
      <c r="I762" s="13"/>
      <c r="J762" s="14"/>
      <c r="K762" s="14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" customHeight="1">
      <c r="A763" s="14"/>
      <c r="B763" s="13"/>
      <c r="C763" s="13"/>
      <c r="D763" s="13"/>
      <c r="E763" s="13"/>
      <c r="F763" s="13"/>
      <c r="G763" s="13"/>
      <c r="H763" s="13"/>
      <c r="I763" s="13"/>
      <c r="J763" s="14"/>
      <c r="K763" s="14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" customHeight="1">
      <c r="A764" s="14"/>
      <c r="B764" s="13"/>
      <c r="C764" s="13"/>
      <c r="D764" s="13"/>
      <c r="E764" s="13"/>
      <c r="F764" s="13"/>
      <c r="G764" s="13"/>
      <c r="H764" s="13"/>
      <c r="I764" s="13"/>
      <c r="J764" s="14"/>
      <c r="K764" s="14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" customHeight="1">
      <c r="A765" s="14"/>
      <c r="B765" s="13"/>
      <c r="C765" s="13"/>
      <c r="D765" s="13"/>
      <c r="E765" s="13"/>
      <c r="F765" s="13"/>
      <c r="G765" s="13"/>
      <c r="H765" s="13"/>
      <c r="I765" s="13"/>
      <c r="J765" s="14"/>
      <c r="K765" s="14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" customHeight="1">
      <c r="A766" s="14"/>
      <c r="B766" s="13"/>
      <c r="C766" s="13"/>
      <c r="D766" s="13"/>
      <c r="E766" s="13"/>
      <c r="F766" s="13"/>
      <c r="G766" s="13"/>
      <c r="H766" s="13"/>
      <c r="I766" s="13"/>
      <c r="J766" s="14"/>
      <c r="K766" s="14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" customHeight="1">
      <c r="A767" s="14"/>
      <c r="B767" s="13"/>
      <c r="C767" s="13"/>
      <c r="D767" s="13"/>
      <c r="E767" s="13"/>
      <c r="F767" s="13"/>
      <c r="G767" s="13"/>
      <c r="H767" s="13"/>
      <c r="I767" s="13"/>
      <c r="J767" s="14"/>
      <c r="K767" s="14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" customHeight="1">
      <c r="A768" s="14"/>
      <c r="B768" s="13"/>
      <c r="C768" s="13"/>
      <c r="D768" s="13"/>
      <c r="E768" s="13"/>
      <c r="F768" s="13"/>
      <c r="G768" s="13"/>
      <c r="H768" s="13"/>
      <c r="I768" s="13"/>
      <c r="J768" s="14"/>
      <c r="K768" s="14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" customHeight="1">
      <c r="A769" s="14"/>
      <c r="B769" s="13"/>
      <c r="C769" s="13"/>
      <c r="D769" s="13"/>
      <c r="E769" s="13"/>
      <c r="F769" s="13"/>
      <c r="G769" s="13"/>
      <c r="H769" s="13"/>
      <c r="I769" s="13"/>
      <c r="J769" s="14"/>
      <c r="K769" s="14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" customHeight="1">
      <c r="A770" s="14"/>
      <c r="B770" s="13"/>
      <c r="C770" s="13"/>
      <c r="D770" s="13"/>
      <c r="E770" s="13"/>
      <c r="F770" s="13"/>
      <c r="G770" s="13"/>
      <c r="H770" s="13"/>
      <c r="I770" s="13"/>
      <c r="J770" s="14"/>
      <c r="K770" s="14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" customHeight="1">
      <c r="A771" s="14"/>
      <c r="B771" s="13"/>
      <c r="C771" s="13"/>
      <c r="D771" s="13"/>
      <c r="E771" s="13"/>
      <c r="F771" s="13"/>
      <c r="G771" s="13"/>
      <c r="H771" s="13"/>
      <c r="I771" s="13"/>
      <c r="J771" s="14"/>
      <c r="K771" s="14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" customHeight="1">
      <c r="A772" s="14"/>
      <c r="B772" s="13"/>
      <c r="C772" s="13"/>
      <c r="D772" s="13"/>
      <c r="E772" s="13"/>
      <c r="F772" s="13"/>
      <c r="G772" s="13"/>
      <c r="H772" s="13"/>
      <c r="I772" s="13"/>
      <c r="J772" s="14"/>
      <c r="K772" s="14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" customHeight="1">
      <c r="A773" s="14"/>
      <c r="B773" s="13"/>
      <c r="C773" s="13"/>
      <c r="D773" s="13"/>
      <c r="E773" s="13"/>
      <c r="F773" s="13"/>
      <c r="G773" s="13"/>
      <c r="H773" s="13"/>
      <c r="I773" s="13"/>
      <c r="J773" s="14"/>
      <c r="K773" s="14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" customHeight="1">
      <c r="A774" s="14"/>
      <c r="B774" s="13"/>
      <c r="C774" s="13"/>
      <c r="D774" s="13"/>
      <c r="E774" s="13"/>
      <c r="F774" s="13"/>
      <c r="G774" s="13"/>
      <c r="H774" s="13"/>
      <c r="I774" s="13"/>
      <c r="J774" s="14"/>
      <c r="K774" s="14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" customHeight="1">
      <c r="A775" s="14"/>
      <c r="B775" s="13"/>
      <c r="C775" s="13"/>
      <c r="D775" s="13"/>
      <c r="E775" s="13"/>
      <c r="F775" s="13"/>
      <c r="G775" s="13"/>
      <c r="H775" s="13"/>
      <c r="I775" s="13"/>
      <c r="J775" s="14"/>
      <c r="K775" s="14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" customHeight="1">
      <c r="A776" s="14"/>
      <c r="B776" s="13"/>
      <c r="C776" s="13"/>
      <c r="D776" s="13"/>
      <c r="E776" s="13"/>
      <c r="F776" s="13"/>
      <c r="G776" s="13"/>
      <c r="H776" s="13"/>
      <c r="I776" s="13"/>
      <c r="J776" s="14"/>
      <c r="K776" s="14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" customHeight="1">
      <c r="A777" s="14"/>
      <c r="B777" s="13"/>
      <c r="C777" s="13"/>
      <c r="D777" s="13"/>
      <c r="E777" s="13"/>
      <c r="F777" s="13"/>
      <c r="G777" s="13"/>
      <c r="H777" s="13"/>
      <c r="I777" s="13"/>
      <c r="J777" s="14"/>
      <c r="K777" s="14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" customHeight="1">
      <c r="A778" s="14"/>
      <c r="B778" s="13"/>
      <c r="C778" s="13"/>
      <c r="D778" s="13"/>
      <c r="E778" s="13"/>
      <c r="F778" s="13"/>
      <c r="G778" s="13"/>
      <c r="H778" s="13"/>
      <c r="I778" s="13"/>
      <c r="J778" s="14"/>
      <c r="K778" s="14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" customHeight="1">
      <c r="A779" s="14"/>
      <c r="B779" s="13"/>
      <c r="C779" s="13"/>
      <c r="D779" s="13"/>
      <c r="E779" s="13"/>
      <c r="F779" s="13"/>
      <c r="G779" s="13"/>
      <c r="H779" s="13"/>
      <c r="I779" s="13"/>
      <c r="J779" s="14"/>
      <c r="K779" s="14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" customHeight="1">
      <c r="A780" s="14"/>
      <c r="B780" s="13"/>
      <c r="C780" s="13"/>
      <c r="D780" s="13"/>
      <c r="E780" s="13"/>
      <c r="F780" s="13"/>
      <c r="G780" s="13"/>
      <c r="H780" s="13"/>
      <c r="I780" s="13"/>
      <c r="J780" s="14"/>
      <c r="K780" s="14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" customHeight="1">
      <c r="A781" s="14"/>
      <c r="B781" s="13"/>
      <c r="C781" s="13"/>
      <c r="D781" s="13"/>
      <c r="E781" s="13"/>
      <c r="F781" s="13"/>
      <c r="G781" s="13"/>
      <c r="H781" s="13"/>
      <c r="I781" s="13"/>
      <c r="J781" s="14"/>
      <c r="K781" s="14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" customHeight="1">
      <c r="A782" s="14"/>
      <c r="B782" s="13"/>
      <c r="C782" s="13"/>
      <c r="D782" s="13"/>
      <c r="E782" s="13"/>
      <c r="F782" s="13"/>
      <c r="G782" s="13"/>
      <c r="H782" s="13"/>
      <c r="I782" s="13"/>
      <c r="J782" s="14"/>
      <c r="K782" s="14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" customHeight="1">
      <c r="A783" s="14"/>
      <c r="B783" s="13"/>
      <c r="C783" s="13"/>
      <c r="D783" s="13"/>
      <c r="E783" s="13"/>
      <c r="F783" s="13"/>
      <c r="G783" s="13"/>
      <c r="H783" s="13"/>
      <c r="I783" s="13"/>
      <c r="J783" s="14"/>
      <c r="K783" s="14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" customHeight="1">
      <c r="A784" s="14"/>
      <c r="B784" s="13"/>
      <c r="C784" s="13"/>
      <c r="D784" s="13"/>
      <c r="E784" s="13"/>
      <c r="F784" s="13"/>
      <c r="G784" s="13"/>
      <c r="H784" s="13"/>
      <c r="I784" s="13"/>
      <c r="J784" s="14"/>
      <c r="K784" s="14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" customHeight="1">
      <c r="A785" s="14"/>
      <c r="B785" s="13"/>
      <c r="C785" s="13"/>
      <c r="D785" s="13"/>
      <c r="E785" s="13"/>
      <c r="F785" s="13"/>
      <c r="G785" s="13"/>
      <c r="H785" s="13"/>
      <c r="I785" s="13"/>
      <c r="J785" s="14"/>
      <c r="K785" s="14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" customHeight="1">
      <c r="A786" s="14"/>
      <c r="B786" s="13"/>
      <c r="C786" s="13"/>
      <c r="D786" s="13"/>
      <c r="E786" s="13"/>
      <c r="F786" s="13"/>
      <c r="G786" s="13"/>
      <c r="H786" s="13"/>
      <c r="I786" s="13"/>
      <c r="J786" s="14"/>
      <c r="K786" s="14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" customHeight="1">
      <c r="A787" s="14"/>
      <c r="B787" s="13"/>
      <c r="C787" s="13"/>
      <c r="D787" s="13"/>
      <c r="E787" s="13"/>
      <c r="F787" s="13"/>
      <c r="G787" s="13"/>
      <c r="H787" s="13"/>
      <c r="I787" s="13"/>
      <c r="J787" s="14"/>
      <c r="K787" s="14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" customHeight="1">
      <c r="A788" s="14"/>
      <c r="B788" s="13"/>
      <c r="C788" s="13"/>
      <c r="D788" s="13"/>
      <c r="E788" s="13"/>
      <c r="F788" s="13"/>
      <c r="G788" s="13"/>
      <c r="H788" s="13"/>
      <c r="I788" s="13"/>
      <c r="J788" s="14"/>
      <c r="K788" s="14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" customHeight="1">
      <c r="A789" s="14"/>
      <c r="B789" s="13"/>
      <c r="C789" s="13"/>
      <c r="D789" s="13"/>
      <c r="E789" s="13"/>
      <c r="F789" s="13"/>
      <c r="G789" s="13"/>
      <c r="H789" s="13"/>
      <c r="I789" s="13"/>
      <c r="J789" s="14"/>
      <c r="K789" s="14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" customHeight="1">
      <c r="A790" s="14"/>
      <c r="B790" s="13"/>
      <c r="C790" s="13"/>
      <c r="D790" s="13"/>
      <c r="E790" s="13"/>
      <c r="F790" s="13"/>
      <c r="G790" s="13"/>
      <c r="H790" s="13"/>
      <c r="I790" s="13"/>
      <c r="J790" s="14"/>
      <c r="K790" s="14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" customHeight="1">
      <c r="A791" s="14"/>
      <c r="B791" s="13"/>
      <c r="C791" s="13"/>
      <c r="D791" s="13"/>
      <c r="E791" s="13"/>
      <c r="F791" s="13"/>
      <c r="G791" s="13"/>
      <c r="H791" s="13"/>
      <c r="I791" s="13"/>
      <c r="J791" s="14"/>
      <c r="K791" s="14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" customHeight="1">
      <c r="A792" s="14"/>
      <c r="B792" s="13"/>
      <c r="C792" s="13"/>
      <c r="D792" s="13"/>
      <c r="E792" s="13"/>
      <c r="F792" s="13"/>
      <c r="G792" s="13"/>
      <c r="H792" s="13"/>
      <c r="I792" s="13"/>
      <c r="J792" s="14"/>
      <c r="K792" s="14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" customHeight="1">
      <c r="A793" s="14"/>
      <c r="B793" s="13"/>
      <c r="C793" s="13"/>
      <c r="D793" s="13"/>
      <c r="E793" s="13"/>
      <c r="F793" s="13"/>
      <c r="G793" s="13"/>
      <c r="H793" s="13"/>
      <c r="I793" s="13"/>
      <c r="J793" s="14"/>
      <c r="K793" s="14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" customHeight="1">
      <c r="A794" s="14"/>
      <c r="B794" s="13"/>
      <c r="C794" s="13"/>
      <c r="D794" s="13"/>
      <c r="E794" s="13"/>
      <c r="F794" s="13"/>
      <c r="G794" s="13"/>
      <c r="H794" s="13"/>
      <c r="I794" s="13"/>
      <c r="J794" s="14"/>
      <c r="K794" s="14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" customHeight="1">
      <c r="A795" s="14"/>
      <c r="B795" s="13"/>
      <c r="C795" s="13"/>
      <c r="D795" s="13"/>
      <c r="E795" s="13"/>
      <c r="F795" s="13"/>
      <c r="G795" s="13"/>
      <c r="H795" s="13"/>
      <c r="I795" s="13"/>
      <c r="J795" s="14"/>
      <c r="K795" s="14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" customHeight="1">
      <c r="A796" s="14"/>
      <c r="B796" s="13"/>
      <c r="C796" s="13"/>
      <c r="D796" s="13"/>
      <c r="E796" s="13"/>
      <c r="F796" s="13"/>
      <c r="G796" s="13"/>
      <c r="H796" s="13"/>
      <c r="I796" s="13"/>
      <c r="J796" s="14"/>
      <c r="K796" s="14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" customHeight="1">
      <c r="A797" s="14"/>
      <c r="B797" s="13"/>
      <c r="C797" s="13"/>
      <c r="D797" s="13"/>
      <c r="E797" s="13"/>
      <c r="F797" s="13"/>
      <c r="G797" s="13"/>
      <c r="H797" s="13"/>
      <c r="I797" s="13"/>
      <c r="J797" s="14"/>
      <c r="K797" s="14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" customHeight="1">
      <c r="A798" s="14"/>
      <c r="B798" s="13"/>
      <c r="C798" s="13"/>
      <c r="D798" s="13"/>
      <c r="E798" s="13"/>
      <c r="F798" s="13"/>
      <c r="G798" s="13"/>
      <c r="H798" s="13"/>
      <c r="I798" s="13"/>
      <c r="J798" s="14"/>
      <c r="K798" s="14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" customHeight="1">
      <c r="A799" s="14"/>
      <c r="B799" s="13"/>
      <c r="C799" s="13"/>
      <c r="D799" s="13"/>
      <c r="E799" s="13"/>
      <c r="F799" s="13"/>
      <c r="G799" s="13"/>
      <c r="H799" s="13"/>
      <c r="I799" s="13"/>
      <c r="J799" s="14"/>
      <c r="K799" s="14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" customHeight="1">
      <c r="A800" s="14"/>
      <c r="B800" s="13"/>
      <c r="C800" s="13"/>
      <c r="D800" s="13"/>
      <c r="E800" s="13"/>
      <c r="F800" s="13"/>
      <c r="G800" s="13"/>
      <c r="H800" s="13"/>
      <c r="I800" s="13"/>
      <c r="J800" s="14"/>
      <c r="K800" s="14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" customHeight="1">
      <c r="A801" s="14"/>
      <c r="B801" s="13"/>
      <c r="C801" s="13"/>
      <c r="D801" s="13"/>
      <c r="E801" s="13"/>
      <c r="F801" s="13"/>
      <c r="G801" s="13"/>
      <c r="H801" s="13"/>
      <c r="I801" s="13"/>
      <c r="J801" s="14"/>
      <c r="K801" s="14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" customHeight="1">
      <c r="A802" s="14"/>
      <c r="B802" s="13"/>
      <c r="C802" s="13"/>
      <c r="D802" s="13"/>
      <c r="E802" s="13"/>
      <c r="F802" s="13"/>
      <c r="G802" s="13"/>
      <c r="H802" s="13"/>
      <c r="I802" s="13"/>
      <c r="J802" s="14"/>
      <c r="K802" s="14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" customHeight="1">
      <c r="A803" s="14"/>
      <c r="B803" s="13"/>
      <c r="C803" s="13"/>
      <c r="D803" s="13"/>
      <c r="E803" s="13"/>
      <c r="F803" s="13"/>
      <c r="G803" s="13"/>
      <c r="H803" s="13"/>
      <c r="I803" s="13"/>
      <c r="J803" s="14"/>
      <c r="K803" s="14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" customHeight="1">
      <c r="A804" s="14"/>
      <c r="B804" s="13"/>
      <c r="C804" s="13"/>
      <c r="D804" s="13"/>
      <c r="E804" s="13"/>
      <c r="F804" s="13"/>
      <c r="G804" s="13"/>
      <c r="H804" s="13"/>
      <c r="I804" s="13"/>
      <c r="J804" s="14"/>
      <c r="K804" s="14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" customHeight="1">
      <c r="A805" s="14"/>
      <c r="B805" s="13"/>
      <c r="C805" s="13"/>
      <c r="D805" s="13"/>
      <c r="E805" s="13"/>
      <c r="F805" s="13"/>
      <c r="G805" s="13"/>
      <c r="H805" s="13"/>
      <c r="I805" s="13"/>
      <c r="J805" s="14"/>
      <c r="K805" s="14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" customHeight="1">
      <c r="A806" s="14"/>
      <c r="B806" s="13"/>
      <c r="C806" s="13"/>
      <c r="D806" s="13"/>
      <c r="E806" s="13"/>
      <c r="F806" s="13"/>
      <c r="G806" s="13"/>
      <c r="H806" s="13"/>
      <c r="I806" s="13"/>
      <c r="J806" s="14"/>
      <c r="K806" s="14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" customHeight="1">
      <c r="A807" s="14"/>
      <c r="B807" s="13"/>
      <c r="C807" s="13"/>
      <c r="D807" s="13"/>
      <c r="E807" s="13"/>
      <c r="F807" s="13"/>
      <c r="G807" s="13"/>
      <c r="H807" s="13"/>
      <c r="I807" s="13"/>
      <c r="J807" s="14"/>
      <c r="K807" s="14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" customHeight="1">
      <c r="A808" s="14"/>
      <c r="B808" s="13"/>
      <c r="C808" s="13"/>
      <c r="D808" s="13"/>
      <c r="E808" s="13"/>
      <c r="F808" s="13"/>
      <c r="G808" s="13"/>
      <c r="H808" s="13"/>
      <c r="I808" s="13"/>
      <c r="J808" s="14"/>
      <c r="K808" s="14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" customHeight="1">
      <c r="A809" s="14"/>
      <c r="B809" s="13"/>
      <c r="C809" s="13"/>
      <c r="D809" s="13"/>
      <c r="E809" s="13"/>
      <c r="F809" s="13"/>
      <c r="G809" s="13"/>
      <c r="H809" s="13"/>
      <c r="I809" s="13"/>
      <c r="J809" s="14"/>
      <c r="K809" s="14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" customHeight="1">
      <c r="A810" s="14"/>
      <c r="B810" s="13"/>
      <c r="C810" s="13"/>
      <c r="D810" s="13"/>
      <c r="E810" s="13"/>
      <c r="F810" s="13"/>
      <c r="G810" s="13"/>
      <c r="H810" s="13"/>
      <c r="I810" s="13"/>
      <c r="J810" s="14"/>
      <c r="K810" s="14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" customHeight="1">
      <c r="A811" s="14"/>
      <c r="B811" s="13"/>
      <c r="C811" s="13"/>
      <c r="D811" s="13"/>
      <c r="E811" s="13"/>
      <c r="F811" s="13"/>
      <c r="G811" s="13"/>
      <c r="H811" s="13"/>
      <c r="I811" s="13"/>
      <c r="J811" s="14"/>
      <c r="K811" s="14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" customHeight="1">
      <c r="A812" s="14"/>
      <c r="B812" s="13"/>
      <c r="C812" s="13"/>
      <c r="D812" s="13"/>
      <c r="E812" s="13"/>
      <c r="F812" s="13"/>
      <c r="G812" s="13"/>
      <c r="H812" s="13"/>
      <c r="I812" s="13"/>
      <c r="J812" s="14"/>
      <c r="K812" s="14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" customHeight="1">
      <c r="A813" s="14"/>
      <c r="B813" s="13"/>
      <c r="C813" s="13"/>
      <c r="D813" s="13"/>
      <c r="E813" s="13"/>
      <c r="F813" s="13"/>
      <c r="G813" s="13"/>
      <c r="H813" s="13"/>
      <c r="I813" s="13"/>
      <c r="J813" s="14"/>
      <c r="K813" s="14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" customHeight="1">
      <c r="A814" s="14"/>
      <c r="B814" s="13"/>
      <c r="C814" s="13"/>
      <c r="D814" s="13"/>
      <c r="E814" s="13"/>
      <c r="F814" s="13"/>
      <c r="G814" s="13"/>
      <c r="H814" s="13"/>
      <c r="I814" s="13"/>
      <c r="J814" s="14"/>
      <c r="K814" s="14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" customHeight="1">
      <c r="A815" s="14"/>
      <c r="B815" s="13"/>
      <c r="C815" s="13"/>
      <c r="D815" s="13"/>
      <c r="E815" s="13"/>
      <c r="F815" s="13"/>
      <c r="G815" s="13"/>
      <c r="H815" s="13"/>
      <c r="I815" s="13"/>
      <c r="J815" s="14"/>
      <c r="K815" s="14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" customHeight="1">
      <c r="A816" s="14"/>
      <c r="B816" s="13"/>
      <c r="C816" s="13"/>
      <c r="D816" s="13"/>
      <c r="E816" s="13"/>
      <c r="F816" s="13"/>
      <c r="G816" s="13"/>
      <c r="H816" s="13"/>
      <c r="I816" s="13"/>
      <c r="J816" s="14"/>
      <c r="K816" s="14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" customHeight="1">
      <c r="A817" s="14"/>
      <c r="B817" s="13"/>
      <c r="C817" s="13"/>
      <c r="D817" s="13"/>
      <c r="E817" s="13"/>
      <c r="F817" s="13"/>
      <c r="G817" s="13"/>
      <c r="H817" s="13"/>
      <c r="I817" s="13"/>
      <c r="J817" s="14"/>
      <c r="K817" s="14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" customHeight="1">
      <c r="A818" s="14"/>
      <c r="B818" s="13"/>
      <c r="C818" s="13"/>
      <c r="D818" s="13"/>
      <c r="E818" s="13"/>
      <c r="F818" s="13"/>
      <c r="G818" s="13"/>
      <c r="H818" s="13"/>
      <c r="I818" s="13"/>
      <c r="J818" s="14"/>
      <c r="K818" s="14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" customHeight="1">
      <c r="A819" s="14"/>
      <c r="B819" s="13"/>
      <c r="C819" s="13"/>
      <c r="D819" s="13"/>
      <c r="E819" s="13"/>
      <c r="F819" s="13"/>
      <c r="G819" s="13"/>
      <c r="H819" s="13"/>
      <c r="I819" s="13"/>
      <c r="J819" s="14"/>
      <c r="K819" s="14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" customHeight="1">
      <c r="A820" s="14"/>
      <c r="B820" s="13"/>
      <c r="C820" s="13"/>
      <c r="D820" s="13"/>
      <c r="E820" s="13"/>
      <c r="F820" s="13"/>
      <c r="G820" s="13"/>
      <c r="H820" s="13"/>
      <c r="I820" s="13"/>
      <c r="J820" s="14"/>
      <c r="K820" s="14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" customHeight="1">
      <c r="A821" s="14"/>
      <c r="B821" s="13"/>
      <c r="C821" s="13"/>
      <c r="D821" s="13"/>
      <c r="E821" s="13"/>
      <c r="F821" s="13"/>
      <c r="G821" s="13"/>
      <c r="H821" s="13"/>
      <c r="I821" s="13"/>
      <c r="J821" s="14"/>
      <c r="K821" s="14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" customHeight="1">
      <c r="A822" s="14"/>
      <c r="B822" s="13"/>
      <c r="C822" s="13"/>
      <c r="D822" s="13"/>
      <c r="E822" s="13"/>
      <c r="F822" s="13"/>
      <c r="G822" s="13"/>
      <c r="H822" s="13"/>
      <c r="I822" s="13"/>
      <c r="J822" s="14"/>
      <c r="K822" s="14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" customHeight="1">
      <c r="A823" s="14"/>
      <c r="B823" s="13"/>
      <c r="C823" s="13"/>
      <c r="D823" s="13"/>
      <c r="E823" s="13"/>
      <c r="F823" s="13"/>
      <c r="G823" s="13"/>
      <c r="H823" s="13"/>
      <c r="I823" s="13"/>
      <c r="J823" s="14"/>
      <c r="K823" s="14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" customHeight="1">
      <c r="A824" s="14"/>
      <c r="B824" s="13"/>
      <c r="C824" s="13"/>
      <c r="D824" s="13"/>
      <c r="E824" s="13"/>
      <c r="F824" s="13"/>
      <c r="G824" s="13"/>
      <c r="H824" s="13"/>
      <c r="I824" s="13"/>
      <c r="J824" s="14"/>
      <c r="K824" s="14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" customHeight="1">
      <c r="A825" s="14"/>
      <c r="B825" s="13"/>
      <c r="C825" s="13"/>
      <c r="D825" s="13"/>
      <c r="E825" s="13"/>
      <c r="F825" s="13"/>
      <c r="G825" s="13"/>
      <c r="H825" s="13"/>
      <c r="I825" s="13"/>
      <c r="J825" s="14"/>
      <c r="K825" s="14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" customHeight="1">
      <c r="A826" s="14"/>
      <c r="B826" s="13"/>
      <c r="C826" s="13"/>
      <c r="D826" s="13"/>
      <c r="E826" s="13"/>
      <c r="F826" s="13"/>
      <c r="G826" s="13"/>
      <c r="H826" s="13"/>
      <c r="I826" s="13"/>
      <c r="J826" s="14"/>
      <c r="K826" s="14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" customHeight="1">
      <c r="A827" s="14"/>
      <c r="B827" s="13"/>
      <c r="C827" s="13"/>
      <c r="D827" s="13"/>
      <c r="E827" s="13"/>
      <c r="F827" s="13"/>
      <c r="G827" s="13"/>
      <c r="H827" s="13"/>
      <c r="I827" s="13"/>
      <c r="J827" s="14"/>
      <c r="K827" s="14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" customHeight="1">
      <c r="A828" s="14"/>
      <c r="B828" s="13"/>
      <c r="C828" s="13"/>
      <c r="D828" s="13"/>
      <c r="E828" s="13"/>
      <c r="F828" s="13"/>
      <c r="G828" s="13"/>
      <c r="H828" s="13"/>
      <c r="I828" s="13"/>
      <c r="J828" s="14"/>
      <c r="K828" s="14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" customHeight="1">
      <c r="A829" s="14"/>
      <c r="B829" s="13"/>
      <c r="C829" s="13"/>
      <c r="D829" s="13"/>
      <c r="E829" s="13"/>
      <c r="F829" s="13"/>
      <c r="G829" s="13"/>
      <c r="H829" s="13"/>
      <c r="I829" s="13"/>
      <c r="J829" s="14"/>
      <c r="K829" s="14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" customHeight="1">
      <c r="A830" s="14"/>
      <c r="B830" s="13"/>
      <c r="C830" s="13"/>
      <c r="D830" s="13"/>
      <c r="E830" s="13"/>
      <c r="F830" s="13"/>
      <c r="G830" s="13"/>
      <c r="H830" s="13"/>
      <c r="I830" s="13"/>
      <c r="J830" s="14"/>
      <c r="K830" s="14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" customHeight="1">
      <c r="A831" s="14"/>
      <c r="B831" s="13"/>
      <c r="C831" s="13"/>
      <c r="D831" s="13"/>
      <c r="E831" s="13"/>
      <c r="F831" s="13"/>
      <c r="G831" s="13"/>
      <c r="H831" s="13"/>
      <c r="I831" s="13"/>
      <c r="J831" s="14"/>
      <c r="K831" s="14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" customHeight="1">
      <c r="A832" s="14"/>
      <c r="B832" s="13"/>
      <c r="C832" s="13"/>
      <c r="D832" s="13"/>
      <c r="E832" s="13"/>
      <c r="F832" s="13"/>
      <c r="G832" s="13"/>
      <c r="H832" s="13"/>
      <c r="I832" s="13"/>
      <c r="J832" s="14"/>
      <c r="K832" s="14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" customHeight="1">
      <c r="A833" s="14"/>
      <c r="B833" s="13"/>
      <c r="C833" s="13"/>
      <c r="D833" s="13"/>
      <c r="E833" s="13"/>
      <c r="F833" s="13"/>
      <c r="G833" s="13"/>
      <c r="H833" s="13"/>
      <c r="I833" s="13"/>
      <c r="J833" s="14"/>
      <c r="K833" s="14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" customHeight="1">
      <c r="A834" s="14"/>
      <c r="B834" s="13"/>
      <c r="C834" s="13"/>
      <c r="D834" s="13"/>
      <c r="E834" s="13"/>
      <c r="F834" s="13"/>
      <c r="G834" s="13"/>
      <c r="H834" s="13"/>
      <c r="I834" s="13"/>
      <c r="J834" s="14"/>
      <c r="K834" s="14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" customHeight="1">
      <c r="A835" s="14"/>
      <c r="B835" s="13"/>
      <c r="C835" s="13"/>
      <c r="D835" s="13"/>
      <c r="E835" s="13"/>
      <c r="F835" s="13"/>
      <c r="G835" s="13"/>
      <c r="H835" s="13"/>
      <c r="I835" s="13"/>
      <c r="J835" s="14"/>
      <c r="K835" s="14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" customHeight="1">
      <c r="A836" s="14"/>
      <c r="B836" s="13"/>
      <c r="C836" s="13"/>
      <c r="D836" s="13"/>
      <c r="E836" s="13"/>
      <c r="F836" s="13"/>
      <c r="G836" s="13"/>
      <c r="H836" s="13"/>
      <c r="I836" s="13"/>
      <c r="J836" s="14"/>
      <c r="K836" s="14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" customHeight="1">
      <c r="A837" s="14"/>
      <c r="B837" s="13"/>
      <c r="C837" s="13"/>
      <c r="D837" s="13"/>
      <c r="E837" s="13"/>
      <c r="F837" s="13"/>
      <c r="G837" s="13"/>
      <c r="H837" s="13"/>
      <c r="I837" s="13"/>
      <c r="J837" s="14"/>
      <c r="K837" s="14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" customHeight="1">
      <c r="A838" s="14"/>
      <c r="B838" s="13"/>
      <c r="C838" s="13"/>
      <c r="D838" s="13"/>
      <c r="E838" s="13"/>
      <c r="F838" s="13"/>
      <c r="G838" s="13"/>
      <c r="H838" s="13"/>
      <c r="I838" s="13"/>
      <c r="J838" s="14"/>
      <c r="K838" s="14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" customHeight="1">
      <c r="A839" s="14"/>
      <c r="B839" s="13"/>
      <c r="C839" s="13"/>
      <c r="D839" s="13"/>
      <c r="E839" s="13"/>
      <c r="F839" s="13"/>
      <c r="G839" s="13"/>
      <c r="H839" s="13"/>
      <c r="I839" s="13"/>
      <c r="J839" s="14"/>
      <c r="K839" s="14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" customHeight="1">
      <c r="A840" s="14"/>
      <c r="B840" s="13"/>
      <c r="C840" s="13"/>
      <c r="D840" s="13"/>
      <c r="E840" s="13"/>
      <c r="F840" s="13"/>
      <c r="G840" s="13"/>
      <c r="H840" s="13"/>
      <c r="I840" s="13"/>
      <c r="J840" s="14"/>
      <c r="K840" s="14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" customHeight="1">
      <c r="A841" s="14"/>
      <c r="B841" s="13"/>
      <c r="C841" s="13"/>
      <c r="D841" s="13"/>
      <c r="E841" s="13"/>
      <c r="F841" s="13"/>
      <c r="G841" s="13"/>
      <c r="H841" s="13"/>
      <c r="I841" s="13"/>
      <c r="J841" s="14"/>
      <c r="K841" s="14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" customHeight="1">
      <c r="A842" s="14"/>
      <c r="B842" s="13"/>
      <c r="C842" s="13"/>
      <c r="D842" s="13"/>
      <c r="E842" s="13"/>
      <c r="F842" s="13"/>
      <c r="G842" s="13"/>
      <c r="H842" s="13"/>
      <c r="I842" s="13"/>
      <c r="J842" s="14"/>
      <c r="K842" s="14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" customHeight="1">
      <c r="A843" s="14"/>
      <c r="B843" s="13"/>
      <c r="C843" s="13"/>
      <c r="D843" s="13"/>
      <c r="E843" s="13"/>
      <c r="F843" s="13"/>
      <c r="G843" s="13"/>
      <c r="H843" s="13"/>
      <c r="I843" s="13"/>
      <c r="J843" s="14"/>
      <c r="K843" s="14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" customHeight="1">
      <c r="A844" s="14"/>
      <c r="B844" s="13"/>
      <c r="C844" s="13"/>
      <c r="D844" s="13"/>
      <c r="E844" s="13"/>
      <c r="F844" s="13"/>
      <c r="G844" s="13"/>
      <c r="H844" s="13"/>
      <c r="I844" s="13"/>
      <c r="J844" s="14"/>
      <c r="K844" s="14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" customHeight="1">
      <c r="A845" s="14"/>
      <c r="B845" s="13"/>
      <c r="C845" s="13"/>
      <c r="D845" s="13"/>
      <c r="E845" s="13"/>
      <c r="F845" s="13"/>
      <c r="G845" s="13"/>
      <c r="H845" s="13"/>
      <c r="I845" s="13"/>
      <c r="J845" s="14"/>
      <c r="K845" s="14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" customHeight="1">
      <c r="A846" s="14"/>
      <c r="B846" s="13"/>
      <c r="C846" s="13"/>
      <c r="D846" s="13"/>
      <c r="E846" s="13"/>
      <c r="F846" s="13"/>
      <c r="G846" s="13"/>
      <c r="H846" s="13"/>
      <c r="I846" s="13"/>
      <c r="J846" s="14"/>
      <c r="K846" s="14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" customHeight="1">
      <c r="A847" s="14"/>
      <c r="B847" s="13"/>
      <c r="C847" s="13"/>
      <c r="D847" s="13"/>
      <c r="E847" s="13"/>
      <c r="F847" s="13"/>
      <c r="G847" s="13"/>
      <c r="H847" s="13"/>
      <c r="I847" s="13"/>
      <c r="J847" s="14"/>
      <c r="K847" s="14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" customHeight="1">
      <c r="A848" s="14"/>
      <c r="B848" s="13"/>
      <c r="C848" s="13"/>
      <c r="D848" s="13"/>
      <c r="E848" s="13"/>
      <c r="F848" s="13"/>
      <c r="G848" s="13"/>
      <c r="H848" s="13"/>
      <c r="I848" s="13"/>
      <c r="J848" s="14"/>
      <c r="K848" s="14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" customHeight="1">
      <c r="A849" s="14"/>
      <c r="B849" s="13"/>
      <c r="C849" s="13"/>
      <c r="D849" s="13"/>
      <c r="E849" s="13"/>
      <c r="F849" s="13"/>
      <c r="G849" s="13"/>
      <c r="H849" s="13"/>
      <c r="I849" s="13"/>
      <c r="J849" s="14"/>
      <c r="K849" s="14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" customHeight="1">
      <c r="A850" s="14"/>
      <c r="B850" s="13"/>
      <c r="C850" s="13"/>
      <c r="D850" s="13"/>
      <c r="E850" s="13"/>
      <c r="F850" s="13"/>
      <c r="G850" s="13"/>
      <c r="H850" s="13"/>
      <c r="I850" s="13"/>
      <c r="J850" s="14"/>
      <c r="K850" s="14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" customHeight="1">
      <c r="A851" s="14"/>
      <c r="B851" s="13"/>
      <c r="C851" s="13"/>
      <c r="D851" s="13"/>
      <c r="E851" s="13"/>
      <c r="F851" s="13"/>
      <c r="G851" s="13"/>
      <c r="H851" s="13"/>
      <c r="I851" s="13"/>
      <c r="J851" s="14"/>
      <c r="K851" s="14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" customHeight="1">
      <c r="A852" s="14"/>
      <c r="B852" s="13"/>
      <c r="C852" s="13"/>
      <c r="D852" s="13"/>
      <c r="E852" s="13"/>
      <c r="F852" s="13"/>
      <c r="G852" s="13"/>
      <c r="H852" s="13"/>
      <c r="I852" s="13"/>
      <c r="J852" s="14"/>
      <c r="K852" s="14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" customHeight="1">
      <c r="A853" s="14"/>
      <c r="B853" s="13"/>
      <c r="C853" s="13"/>
      <c r="D853" s="13"/>
      <c r="E853" s="13"/>
      <c r="F853" s="13"/>
      <c r="G853" s="13"/>
      <c r="H853" s="13"/>
      <c r="I853" s="13"/>
      <c r="J853" s="14"/>
      <c r="K853" s="14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" customHeight="1">
      <c r="A854" s="14"/>
      <c r="B854" s="13"/>
      <c r="C854" s="13"/>
      <c r="D854" s="13"/>
      <c r="E854" s="13"/>
      <c r="F854" s="13"/>
      <c r="G854" s="13"/>
      <c r="H854" s="13"/>
      <c r="I854" s="13"/>
      <c r="J854" s="14"/>
      <c r="K854" s="14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" customHeight="1">
      <c r="A855" s="14"/>
      <c r="B855" s="13"/>
      <c r="C855" s="13"/>
      <c r="D855" s="13"/>
      <c r="E855" s="13"/>
      <c r="F855" s="13"/>
      <c r="G855" s="13"/>
      <c r="H855" s="13"/>
      <c r="I855" s="13"/>
      <c r="J855" s="14"/>
      <c r="K855" s="14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" customHeight="1">
      <c r="A856" s="14"/>
      <c r="B856" s="13"/>
      <c r="C856" s="13"/>
      <c r="D856" s="13"/>
      <c r="E856" s="13"/>
      <c r="F856" s="13"/>
      <c r="G856" s="13"/>
      <c r="H856" s="13"/>
      <c r="I856" s="13"/>
      <c r="J856" s="14"/>
      <c r="K856" s="14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" customHeight="1">
      <c r="A857" s="14"/>
      <c r="B857" s="13"/>
      <c r="C857" s="13"/>
      <c r="D857" s="13"/>
      <c r="E857" s="13"/>
      <c r="F857" s="13"/>
      <c r="G857" s="13"/>
      <c r="H857" s="13"/>
      <c r="I857" s="13"/>
      <c r="J857" s="14"/>
      <c r="K857" s="14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" customHeight="1">
      <c r="A858" s="14"/>
      <c r="B858" s="13"/>
      <c r="C858" s="13"/>
      <c r="D858" s="13"/>
      <c r="E858" s="13"/>
      <c r="F858" s="13"/>
      <c r="G858" s="13"/>
      <c r="H858" s="13"/>
      <c r="I858" s="13"/>
      <c r="J858" s="14"/>
      <c r="K858" s="14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" customHeight="1">
      <c r="A859" s="14"/>
      <c r="B859" s="13"/>
      <c r="C859" s="13"/>
      <c r="D859" s="13"/>
      <c r="E859" s="13"/>
      <c r="F859" s="13"/>
      <c r="G859" s="13"/>
      <c r="H859" s="13"/>
      <c r="I859" s="13"/>
      <c r="J859" s="14"/>
      <c r="K859" s="14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" customHeight="1">
      <c r="A860" s="14"/>
      <c r="B860" s="13"/>
      <c r="C860" s="13"/>
      <c r="D860" s="13"/>
      <c r="E860" s="13"/>
      <c r="F860" s="13"/>
      <c r="G860" s="13"/>
      <c r="H860" s="13"/>
      <c r="I860" s="13"/>
      <c r="J860" s="14"/>
      <c r="K860" s="14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" customHeight="1">
      <c r="A861" s="14"/>
      <c r="B861" s="13"/>
      <c r="C861" s="13"/>
      <c r="D861" s="13"/>
      <c r="E861" s="13"/>
      <c r="F861" s="13"/>
      <c r="G861" s="13"/>
      <c r="H861" s="13"/>
      <c r="I861" s="13"/>
      <c r="J861" s="14"/>
      <c r="K861" s="14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" customHeight="1">
      <c r="A862" s="14"/>
      <c r="B862" s="13"/>
      <c r="C862" s="13"/>
      <c r="D862" s="13"/>
      <c r="E862" s="13"/>
      <c r="F862" s="13"/>
      <c r="G862" s="13"/>
      <c r="H862" s="13"/>
      <c r="I862" s="13"/>
      <c r="J862" s="14"/>
      <c r="K862" s="14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" customHeight="1">
      <c r="A863" s="14"/>
      <c r="B863" s="13"/>
      <c r="C863" s="13"/>
      <c r="D863" s="13"/>
      <c r="E863" s="13"/>
      <c r="F863" s="13"/>
      <c r="G863" s="13"/>
      <c r="H863" s="13"/>
      <c r="I863" s="13"/>
      <c r="J863" s="14"/>
      <c r="K863" s="14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" customHeight="1">
      <c r="A864" s="14"/>
      <c r="B864" s="13"/>
      <c r="C864" s="13"/>
      <c r="D864" s="13"/>
      <c r="E864" s="13"/>
      <c r="F864" s="13"/>
      <c r="G864" s="13"/>
      <c r="H864" s="13"/>
      <c r="I864" s="13"/>
      <c r="J864" s="14"/>
      <c r="K864" s="14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" customHeight="1">
      <c r="A865" s="14"/>
      <c r="B865" s="13"/>
      <c r="C865" s="13"/>
      <c r="D865" s="13"/>
      <c r="E865" s="13"/>
      <c r="F865" s="13"/>
      <c r="G865" s="13"/>
      <c r="H865" s="13"/>
      <c r="I865" s="13"/>
      <c r="J865" s="14"/>
      <c r="K865" s="14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" customHeight="1">
      <c r="A866" s="14"/>
      <c r="B866" s="13"/>
      <c r="C866" s="13"/>
      <c r="D866" s="13"/>
      <c r="E866" s="13"/>
      <c r="F866" s="13"/>
      <c r="G866" s="13"/>
      <c r="H866" s="13"/>
      <c r="I866" s="13"/>
      <c r="J866" s="14"/>
      <c r="K866" s="14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" customHeight="1">
      <c r="A867" s="14"/>
      <c r="B867" s="13"/>
      <c r="C867" s="13"/>
      <c r="D867" s="13"/>
      <c r="E867" s="13"/>
      <c r="F867" s="13"/>
      <c r="G867" s="13"/>
      <c r="H867" s="13"/>
      <c r="I867" s="13"/>
      <c r="J867" s="14"/>
      <c r="K867" s="14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" customHeight="1">
      <c r="A868" s="14"/>
      <c r="B868" s="13"/>
      <c r="C868" s="13"/>
      <c r="D868" s="13"/>
      <c r="E868" s="13"/>
      <c r="F868" s="13"/>
      <c r="G868" s="13"/>
      <c r="H868" s="13"/>
      <c r="I868" s="13"/>
      <c r="J868" s="14"/>
      <c r="K868" s="14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" customHeight="1">
      <c r="A869" s="14"/>
      <c r="B869" s="13"/>
      <c r="C869" s="13"/>
      <c r="D869" s="13"/>
      <c r="E869" s="13"/>
      <c r="F869" s="13"/>
      <c r="G869" s="13"/>
      <c r="H869" s="13"/>
      <c r="I869" s="13"/>
      <c r="J869" s="14"/>
      <c r="K869" s="14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" customHeight="1">
      <c r="A870" s="14"/>
      <c r="B870" s="13"/>
      <c r="C870" s="13"/>
      <c r="D870" s="13"/>
      <c r="E870" s="13"/>
      <c r="F870" s="13"/>
      <c r="G870" s="13"/>
      <c r="H870" s="13"/>
      <c r="I870" s="13"/>
      <c r="J870" s="14"/>
      <c r="K870" s="14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" customHeight="1">
      <c r="A871" s="14"/>
      <c r="B871" s="13"/>
      <c r="C871" s="13"/>
      <c r="D871" s="13"/>
      <c r="E871" s="13"/>
      <c r="F871" s="13"/>
      <c r="G871" s="13"/>
      <c r="H871" s="13"/>
      <c r="I871" s="13"/>
      <c r="J871" s="14"/>
      <c r="K871" s="14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" customHeight="1">
      <c r="A872" s="14"/>
      <c r="B872" s="13"/>
      <c r="C872" s="13"/>
      <c r="D872" s="13"/>
      <c r="E872" s="13"/>
      <c r="F872" s="13"/>
      <c r="G872" s="13"/>
      <c r="H872" s="13"/>
      <c r="I872" s="13"/>
      <c r="J872" s="14"/>
      <c r="K872" s="14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" customHeight="1">
      <c r="A873" s="14"/>
      <c r="B873" s="13"/>
      <c r="C873" s="13"/>
      <c r="D873" s="13"/>
      <c r="E873" s="13"/>
      <c r="F873" s="13"/>
      <c r="G873" s="13"/>
      <c r="H873" s="13"/>
      <c r="I873" s="13"/>
      <c r="J873" s="14"/>
      <c r="K873" s="14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" customHeight="1">
      <c r="A874" s="14"/>
      <c r="B874" s="13"/>
      <c r="C874" s="13"/>
      <c r="D874" s="13"/>
      <c r="E874" s="13"/>
      <c r="F874" s="13"/>
      <c r="G874" s="13"/>
      <c r="H874" s="13"/>
      <c r="I874" s="13"/>
      <c r="J874" s="14"/>
      <c r="K874" s="14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" customHeight="1">
      <c r="A875" s="14"/>
      <c r="B875" s="13"/>
      <c r="C875" s="13"/>
      <c r="D875" s="13"/>
      <c r="E875" s="13"/>
      <c r="F875" s="13"/>
      <c r="G875" s="13"/>
      <c r="H875" s="13"/>
      <c r="I875" s="13"/>
      <c r="J875" s="14"/>
      <c r="K875" s="14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" customHeight="1">
      <c r="A876" s="14"/>
      <c r="B876" s="13"/>
      <c r="C876" s="13"/>
      <c r="D876" s="13"/>
      <c r="E876" s="13"/>
      <c r="F876" s="13"/>
      <c r="G876" s="13"/>
      <c r="H876" s="13"/>
      <c r="I876" s="13"/>
      <c r="J876" s="14"/>
      <c r="K876" s="14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" customHeight="1">
      <c r="A877" s="14"/>
      <c r="B877" s="13"/>
      <c r="C877" s="13"/>
      <c r="D877" s="13"/>
      <c r="E877" s="13"/>
      <c r="F877" s="13"/>
      <c r="G877" s="13"/>
      <c r="H877" s="13"/>
      <c r="I877" s="13"/>
      <c r="J877" s="14"/>
      <c r="K877" s="14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" customHeight="1">
      <c r="A878" s="14"/>
      <c r="B878" s="13"/>
      <c r="C878" s="13"/>
      <c r="D878" s="13"/>
      <c r="E878" s="13"/>
      <c r="F878" s="13"/>
      <c r="G878" s="13"/>
      <c r="H878" s="13"/>
      <c r="I878" s="13"/>
      <c r="J878" s="14"/>
      <c r="K878" s="14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" customHeight="1">
      <c r="A879" s="14"/>
      <c r="B879" s="13"/>
      <c r="C879" s="13"/>
      <c r="D879" s="13"/>
      <c r="E879" s="13"/>
      <c r="F879" s="13"/>
      <c r="G879" s="13"/>
      <c r="H879" s="13"/>
      <c r="I879" s="13"/>
      <c r="J879" s="14"/>
      <c r="K879" s="14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" customHeight="1">
      <c r="A880" s="14"/>
      <c r="B880" s="13"/>
      <c r="C880" s="13"/>
      <c r="D880" s="13"/>
      <c r="E880" s="13"/>
      <c r="F880" s="13"/>
      <c r="G880" s="13"/>
      <c r="H880" s="13"/>
      <c r="I880" s="13"/>
      <c r="J880" s="14"/>
      <c r="K880" s="14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" customHeight="1">
      <c r="A881" s="14"/>
      <c r="B881" s="13"/>
      <c r="C881" s="13"/>
      <c r="D881" s="13"/>
      <c r="E881" s="13"/>
      <c r="F881" s="13"/>
      <c r="G881" s="13"/>
      <c r="H881" s="13"/>
      <c r="I881" s="13"/>
      <c r="J881" s="14"/>
      <c r="K881" s="14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" customHeight="1">
      <c r="A882" s="14"/>
      <c r="B882" s="13"/>
      <c r="C882" s="13"/>
      <c r="D882" s="13"/>
      <c r="E882" s="13"/>
      <c r="F882" s="13"/>
      <c r="G882" s="13"/>
      <c r="H882" s="13"/>
      <c r="I882" s="13"/>
      <c r="J882" s="14"/>
      <c r="K882" s="14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" customHeight="1">
      <c r="A883" s="14"/>
      <c r="B883" s="13"/>
      <c r="C883" s="13"/>
      <c r="D883" s="13"/>
      <c r="E883" s="13"/>
      <c r="F883" s="13"/>
      <c r="G883" s="13"/>
      <c r="H883" s="13"/>
      <c r="I883" s="13"/>
      <c r="J883" s="14"/>
      <c r="K883" s="14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" customHeight="1">
      <c r="A884" s="14"/>
      <c r="B884" s="13"/>
      <c r="C884" s="13"/>
      <c r="D884" s="13"/>
      <c r="E884" s="13"/>
      <c r="F884" s="13"/>
      <c r="G884" s="13"/>
      <c r="H884" s="13"/>
      <c r="I884" s="13"/>
      <c r="J884" s="14"/>
      <c r="K884" s="14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" customHeight="1">
      <c r="A885" s="14"/>
      <c r="B885" s="13"/>
      <c r="C885" s="13"/>
      <c r="D885" s="13"/>
      <c r="E885" s="13"/>
      <c r="F885" s="13"/>
      <c r="G885" s="13"/>
      <c r="H885" s="13"/>
      <c r="I885" s="13"/>
      <c r="J885" s="14"/>
      <c r="K885" s="14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" customHeight="1">
      <c r="A886" s="14"/>
      <c r="B886" s="13"/>
      <c r="C886" s="13"/>
      <c r="D886" s="13"/>
      <c r="E886" s="13"/>
      <c r="F886" s="13"/>
      <c r="G886" s="13"/>
      <c r="H886" s="13"/>
      <c r="I886" s="13"/>
      <c r="J886" s="14"/>
      <c r="K886" s="14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" customHeight="1">
      <c r="A887" s="14"/>
      <c r="B887" s="13"/>
      <c r="C887" s="13"/>
      <c r="D887" s="13"/>
      <c r="E887" s="13"/>
      <c r="F887" s="13"/>
      <c r="G887" s="13"/>
      <c r="H887" s="13"/>
      <c r="I887" s="13"/>
      <c r="J887" s="14"/>
      <c r="K887" s="14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" customHeight="1">
      <c r="A888" s="14"/>
      <c r="B888" s="13"/>
      <c r="C888" s="13"/>
      <c r="D888" s="13"/>
      <c r="E888" s="13"/>
      <c r="F888" s="13"/>
      <c r="G888" s="13"/>
      <c r="H888" s="13"/>
      <c r="I888" s="13"/>
      <c r="J888" s="14"/>
      <c r="K888" s="14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" customHeight="1">
      <c r="A889" s="14"/>
      <c r="B889" s="13"/>
      <c r="C889" s="13"/>
      <c r="D889" s="13"/>
      <c r="E889" s="13"/>
      <c r="F889" s="13"/>
      <c r="G889" s="13"/>
      <c r="H889" s="13"/>
      <c r="I889" s="13"/>
      <c r="J889" s="14"/>
      <c r="K889" s="14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" customHeight="1">
      <c r="A890" s="14"/>
      <c r="B890" s="13"/>
      <c r="C890" s="13"/>
      <c r="D890" s="13"/>
      <c r="E890" s="13"/>
      <c r="F890" s="13"/>
      <c r="G890" s="13"/>
      <c r="H890" s="13"/>
      <c r="I890" s="13"/>
      <c r="J890" s="14"/>
      <c r="K890" s="14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" customHeight="1">
      <c r="A891" s="14"/>
      <c r="B891" s="13"/>
      <c r="C891" s="13"/>
      <c r="D891" s="13"/>
      <c r="E891" s="13"/>
      <c r="F891" s="13"/>
      <c r="G891" s="13"/>
      <c r="H891" s="13"/>
      <c r="I891" s="13"/>
      <c r="J891" s="14"/>
      <c r="K891" s="14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" customHeight="1">
      <c r="A892" s="14"/>
      <c r="B892" s="13"/>
      <c r="C892" s="13"/>
      <c r="D892" s="13"/>
      <c r="E892" s="13"/>
      <c r="F892" s="13"/>
      <c r="G892" s="13"/>
      <c r="H892" s="13"/>
      <c r="I892" s="13"/>
      <c r="J892" s="14"/>
      <c r="K892" s="14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" customHeight="1">
      <c r="A893" s="14"/>
      <c r="B893" s="13"/>
      <c r="C893" s="13"/>
      <c r="D893" s="13"/>
      <c r="E893" s="13"/>
      <c r="F893" s="13"/>
      <c r="G893" s="13"/>
      <c r="H893" s="13"/>
      <c r="I893" s="13"/>
      <c r="J893" s="14"/>
      <c r="K893" s="14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" customHeight="1">
      <c r="A894" s="14"/>
      <c r="B894" s="13"/>
      <c r="C894" s="13"/>
      <c r="D894" s="13"/>
      <c r="E894" s="13"/>
      <c r="F894" s="13"/>
      <c r="G894" s="13"/>
      <c r="H894" s="13"/>
      <c r="I894" s="13"/>
      <c r="J894" s="14"/>
      <c r="K894" s="14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" customHeight="1">
      <c r="A895" s="14"/>
      <c r="B895" s="13"/>
      <c r="C895" s="13"/>
      <c r="D895" s="13"/>
      <c r="E895" s="13"/>
      <c r="F895" s="13"/>
      <c r="G895" s="13"/>
      <c r="H895" s="13"/>
      <c r="I895" s="13"/>
      <c r="J895" s="14"/>
      <c r="K895" s="14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" customHeight="1">
      <c r="A896" s="14"/>
      <c r="B896" s="13"/>
      <c r="C896" s="13"/>
      <c r="D896" s="13"/>
      <c r="E896" s="13"/>
      <c r="F896" s="13"/>
      <c r="G896" s="13"/>
      <c r="H896" s="13"/>
      <c r="I896" s="13"/>
      <c r="J896" s="14"/>
      <c r="K896" s="14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" customHeight="1">
      <c r="A897" s="14"/>
      <c r="B897" s="13"/>
      <c r="C897" s="13"/>
      <c r="D897" s="13"/>
      <c r="E897" s="13"/>
      <c r="F897" s="13"/>
      <c r="G897" s="13"/>
      <c r="H897" s="13"/>
      <c r="I897" s="13"/>
      <c r="J897" s="14"/>
      <c r="K897" s="14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" customHeight="1">
      <c r="A898" s="14"/>
      <c r="B898" s="13"/>
      <c r="C898" s="13"/>
      <c r="D898" s="13"/>
      <c r="E898" s="13"/>
      <c r="F898" s="13"/>
      <c r="G898" s="13"/>
      <c r="H898" s="13"/>
      <c r="I898" s="13"/>
      <c r="J898" s="14"/>
      <c r="K898" s="14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" customHeight="1">
      <c r="A899" s="14"/>
      <c r="B899" s="13"/>
      <c r="C899" s="13"/>
      <c r="D899" s="13"/>
      <c r="E899" s="13"/>
      <c r="F899" s="13"/>
      <c r="G899" s="13"/>
      <c r="H899" s="13"/>
      <c r="I899" s="13"/>
      <c r="J899" s="14"/>
      <c r="K899" s="14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" customHeight="1">
      <c r="A900" s="14"/>
      <c r="B900" s="13"/>
      <c r="C900" s="13"/>
      <c r="D900" s="13"/>
      <c r="E900" s="13"/>
      <c r="F900" s="13"/>
      <c r="G900" s="13"/>
      <c r="H900" s="13"/>
      <c r="I900" s="13"/>
      <c r="J900" s="14"/>
      <c r="K900" s="14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" customHeight="1">
      <c r="A901" s="14"/>
      <c r="B901" s="13"/>
      <c r="C901" s="13"/>
      <c r="D901" s="13"/>
      <c r="E901" s="13"/>
      <c r="F901" s="13"/>
      <c r="G901" s="13"/>
      <c r="H901" s="13"/>
      <c r="I901" s="13"/>
      <c r="J901" s="14"/>
      <c r="K901" s="14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" customHeight="1">
      <c r="A902" s="14"/>
      <c r="B902" s="13"/>
      <c r="C902" s="13"/>
      <c r="D902" s="13"/>
      <c r="E902" s="13"/>
      <c r="F902" s="13"/>
      <c r="G902" s="13"/>
      <c r="H902" s="13"/>
      <c r="I902" s="13"/>
      <c r="J902" s="14"/>
      <c r="K902" s="14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" customHeight="1">
      <c r="A903" s="14"/>
      <c r="B903" s="13"/>
      <c r="C903" s="13"/>
      <c r="D903" s="13"/>
      <c r="E903" s="13"/>
      <c r="F903" s="13"/>
      <c r="G903" s="13"/>
      <c r="H903" s="13"/>
      <c r="I903" s="13"/>
      <c r="J903" s="14"/>
      <c r="K903" s="14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" customHeight="1">
      <c r="A904" s="14"/>
      <c r="B904" s="13"/>
      <c r="C904" s="13"/>
      <c r="D904" s="13"/>
      <c r="E904" s="13"/>
      <c r="F904" s="13"/>
      <c r="G904" s="13"/>
      <c r="H904" s="13"/>
      <c r="I904" s="13"/>
      <c r="J904" s="14"/>
      <c r="K904" s="14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" customHeight="1">
      <c r="A905" s="14"/>
      <c r="B905" s="13"/>
      <c r="C905" s="13"/>
      <c r="D905" s="13"/>
      <c r="E905" s="13"/>
      <c r="F905" s="13"/>
      <c r="G905" s="13"/>
      <c r="H905" s="13"/>
      <c r="I905" s="13"/>
      <c r="J905" s="14"/>
      <c r="K905" s="14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" customHeight="1">
      <c r="A906" s="14"/>
      <c r="B906" s="13"/>
      <c r="C906" s="13"/>
      <c r="D906" s="13"/>
      <c r="E906" s="13"/>
      <c r="F906" s="13"/>
      <c r="G906" s="13"/>
      <c r="H906" s="13"/>
      <c r="I906" s="13"/>
      <c r="J906" s="14"/>
      <c r="K906" s="14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" customHeight="1">
      <c r="A907" s="14"/>
      <c r="B907" s="13"/>
      <c r="C907" s="13"/>
      <c r="D907" s="13"/>
      <c r="E907" s="13"/>
      <c r="F907" s="13"/>
      <c r="G907" s="13"/>
      <c r="H907" s="13"/>
      <c r="I907" s="13"/>
      <c r="J907" s="14"/>
      <c r="K907" s="14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" customHeight="1">
      <c r="A908" s="14"/>
      <c r="B908" s="13"/>
      <c r="C908" s="13"/>
      <c r="D908" s="13"/>
      <c r="E908" s="13"/>
      <c r="F908" s="13"/>
      <c r="G908" s="13"/>
      <c r="H908" s="13"/>
      <c r="I908" s="13"/>
      <c r="J908" s="14"/>
      <c r="K908" s="14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" customHeight="1">
      <c r="A909" s="14"/>
      <c r="B909" s="13"/>
      <c r="C909" s="13"/>
      <c r="D909" s="13"/>
      <c r="E909" s="13"/>
      <c r="F909" s="13"/>
      <c r="G909" s="13"/>
      <c r="H909" s="13"/>
      <c r="I909" s="13"/>
      <c r="J909" s="14"/>
      <c r="K909" s="14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" customHeight="1">
      <c r="A910" s="14"/>
      <c r="B910" s="13"/>
      <c r="C910" s="13"/>
      <c r="D910" s="13"/>
      <c r="E910" s="13"/>
      <c r="F910" s="13"/>
      <c r="G910" s="13"/>
      <c r="H910" s="13"/>
      <c r="I910" s="13"/>
      <c r="J910" s="14"/>
      <c r="K910" s="14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" customHeight="1">
      <c r="A911" s="14"/>
      <c r="B911" s="13"/>
      <c r="C911" s="13"/>
      <c r="D911" s="13"/>
      <c r="E911" s="13"/>
      <c r="F911" s="13"/>
      <c r="G911" s="13"/>
      <c r="H911" s="13"/>
      <c r="I911" s="13"/>
      <c r="J911" s="14"/>
      <c r="K911" s="14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" customHeight="1">
      <c r="A912" s="14"/>
      <c r="B912" s="13"/>
      <c r="C912" s="13"/>
      <c r="D912" s="13"/>
      <c r="E912" s="13"/>
      <c r="F912" s="13"/>
      <c r="G912" s="13"/>
      <c r="H912" s="13"/>
      <c r="I912" s="13"/>
      <c r="J912" s="14"/>
      <c r="K912" s="14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" customHeight="1">
      <c r="A913" s="14"/>
      <c r="B913" s="13"/>
      <c r="C913" s="13"/>
      <c r="D913" s="13"/>
      <c r="E913" s="13"/>
      <c r="F913" s="13"/>
      <c r="G913" s="13"/>
      <c r="H913" s="13"/>
      <c r="I913" s="13"/>
      <c r="J913" s="14"/>
      <c r="K913" s="14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" customHeight="1">
      <c r="A914" s="14"/>
      <c r="B914" s="13"/>
      <c r="C914" s="13"/>
      <c r="D914" s="13"/>
      <c r="E914" s="13"/>
      <c r="F914" s="13"/>
      <c r="G914" s="13"/>
      <c r="H914" s="13"/>
      <c r="I914" s="13"/>
      <c r="J914" s="14"/>
      <c r="K914" s="14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" customHeight="1">
      <c r="A915" s="14"/>
      <c r="B915" s="13"/>
      <c r="C915" s="13"/>
      <c r="D915" s="13"/>
      <c r="E915" s="13"/>
      <c r="F915" s="13"/>
      <c r="G915" s="13"/>
      <c r="H915" s="13"/>
      <c r="I915" s="13"/>
      <c r="J915" s="14"/>
      <c r="K915" s="14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" customHeight="1">
      <c r="A916" s="14"/>
      <c r="B916" s="13"/>
      <c r="C916" s="13"/>
      <c r="D916" s="13"/>
      <c r="E916" s="13"/>
      <c r="F916" s="13"/>
      <c r="G916" s="13"/>
      <c r="H916" s="13"/>
      <c r="I916" s="13"/>
      <c r="J916" s="14"/>
      <c r="K916" s="14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" customHeight="1">
      <c r="A917" s="14"/>
      <c r="B917" s="13"/>
      <c r="C917" s="13"/>
      <c r="D917" s="13"/>
      <c r="E917" s="13"/>
      <c r="F917" s="13"/>
      <c r="G917" s="13"/>
      <c r="H917" s="13"/>
      <c r="I917" s="13"/>
      <c r="J917" s="14"/>
      <c r="K917" s="14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" customHeight="1">
      <c r="A918" s="14"/>
      <c r="B918" s="13"/>
      <c r="C918" s="13"/>
      <c r="D918" s="13"/>
      <c r="E918" s="13"/>
      <c r="F918" s="13"/>
      <c r="G918" s="13"/>
      <c r="H918" s="13"/>
      <c r="I918" s="13"/>
      <c r="J918" s="14"/>
      <c r="K918" s="14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" customHeight="1">
      <c r="A919" s="14"/>
      <c r="B919" s="13"/>
      <c r="C919" s="13"/>
      <c r="D919" s="13"/>
      <c r="E919" s="13"/>
      <c r="F919" s="13"/>
      <c r="G919" s="13"/>
      <c r="H919" s="13"/>
      <c r="I919" s="13"/>
      <c r="J919" s="14"/>
      <c r="K919" s="14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" customHeight="1">
      <c r="A920" s="14"/>
      <c r="B920" s="13"/>
      <c r="C920" s="13"/>
      <c r="D920" s="13"/>
      <c r="E920" s="13"/>
      <c r="F920" s="13"/>
      <c r="G920" s="13"/>
      <c r="H920" s="13"/>
      <c r="I920" s="13"/>
      <c r="J920" s="14"/>
      <c r="K920" s="14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" customHeight="1">
      <c r="A921" s="14"/>
      <c r="B921" s="13"/>
      <c r="C921" s="13"/>
      <c r="D921" s="13"/>
      <c r="E921" s="13"/>
      <c r="F921" s="13"/>
      <c r="G921" s="13"/>
      <c r="H921" s="13"/>
      <c r="I921" s="13"/>
      <c r="J921" s="14"/>
      <c r="K921" s="14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" customHeight="1">
      <c r="A922" s="14"/>
      <c r="B922" s="13"/>
      <c r="C922" s="13"/>
      <c r="D922" s="13"/>
      <c r="E922" s="13"/>
      <c r="F922" s="13"/>
      <c r="G922" s="13"/>
      <c r="H922" s="13"/>
      <c r="I922" s="13"/>
      <c r="J922" s="14"/>
      <c r="K922" s="14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" customHeight="1">
      <c r="A923" s="14"/>
      <c r="B923" s="13"/>
      <c r="C923" s="13"/>
      <c r="D923" s="13"/>
      <c r="E923" s="13"/>
      <c r="F923" s="13"/>
      <c r="G923" s="13"/>
      <c r="H923" s="13"/>
      <c r="I923" s="13"/>
      <c r="J923" s="14"/>
      <c r="K923" s="14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" customHeight="1">
      <c r="A924" s="14"/>
      <c r="B924" s="13"/>
      <c r="C924" s="13"/>
      <c r="D924" s="13"/>
      <c r="E924" s="13"/>
      <c r="F924" s="13"/>
      <c r="G924" s="13"/>
      <c r="H924" s="13"/>
      <c r="I924" s="13"/>
      <c r="J924" s="14"/>
      <c r="K924" s="14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" customHeight="1">
      <c r="A925" s="14"/>
      <c r="B925" s="13"/>
      <c r="C925" s="13"/>
      <c r="D925" s="13"/>
      <c r="E925" s="13"/>
      <c r="F925" s="13"/>
      <c r="G925" s="13"/>
      <c r="H925" s="13"/>
      <c r="I925" s="13"/>
      <c r="J925" s="14"/>
      <c r="K925" s="14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" customHeight="1">
      <c r="A926" s="14"/>
      <c r="B926" s="13"/>
      <c r="C926" s="13"/>
      <c r="D926" s="13"/>
      <c r="E926" s="13"/>
      <c r="F926" s="13"/>
      <c r="G926" s="13"/>
      <c r="H926" s="13"/>
      <c r="I926" s="13"/>
      <c r="J926" s="14"/>
      <c r="K926" s="14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" customHeight="1">
      <c r="A927" s="14"/>
      <c r="B927" s="13"/>
      <c r="C927" s="13"/>
      <c r="D927" s="13"/>
      <c r="E927" s="13"/>
      <c r="F927" s="13"/>
      <c r="G927" s="13"/>
      <c r="H927" s="13"/>
      <c r="I927" s="13"/>
      <c r="J927" s="14"/>
      <c r="K927" s="14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" customHeight="1">
      <c r="A928" s="14"/>
      <c r="B928" s="13"/>
      <c r="C928" s="13"/>
      <c r="D928" s="13"/>
      <c r="E928" s="13"/>
      <c r="F928" s="13"/>
      <c r="G928" s="13"/>
      <c r="H928" s="13"/>
      <c r="I928" s="13"/>
      <c r="J928" s="14"/>
      <c r="K928" s="14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" customHeight="1">
      <c r="A929" s="14"/>
      <c r="B929" s="13"/>
      <c r="C929" s="13"/>
      <c r="D929" s="13"/>
      <c r="E929" s="13"/>
      <c r="F929" s="13"/>
      <c r="G929" s="13"/>
      <c r="H929" s="13"/>
      <c r="I929" s="13"/>
      <c r="J929" s="14"/>
      <c r="K929" s="14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" customHeight="1">
      <c r="A930" s="14"/>
      <c r="B930" s="13"/>
      <c r="C930" s="13"/>
      <c r="D930" s="13"/>
      <c r="E930" s="13"/>
      <c r="F930" s="13"/>
      <c r="G930" s="13"/>
      <c r="H930" s="13"/>
      <c r="I930" s="13"/>
      <c r="J930" s="14"/>
      <c r="K930" s="14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" customHeight="1">
      <c r="A931" s="14"/>
      <c r="B931" s="13"/>
      <c r="C931" s="13"/>
      <c r="D931" s="13"/>
      <c r="E931" s="13"/>
      <c r="F931" s="13"/>
      <c r="G931" s="13"/>
      <c r="H931" s="13"/>
      <c r="I931" s="13"/>
      <c r="J931" s="14"/>
      <c r="K931" s="14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" customHeight="1">
      <c r="A932" s="14"/>
      <c r="B932" s="13"/>
      <c r="C932" s="13"/>
      <c r="D932" s="13"/>
      <c r="E932" s="13"/>
      <c r="F932" s="13"/>
      <c r="G932" s="13"/>
      <c r="H932" s="13"/>
      <c r="I932" s="13"/>
      <c r="J932" s="14"/>
      <c r="K932" s="14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" customHeight="1">
      <c r="A933" s="14"/>
      <c r="B933" s="13"/>
      <c r="C933" s="13"/>
      <c r="D933" s="13"/>
      <c r="E933" s="13"/>
      <c r="F933" s="13"/>
      <c r="G933" s="13"/>
      <c r="H933" s="13"/>
      <c r="I933" s="13"/>
      <c r="J933" s="14"/>
      <c r="K933" s="14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" customHeight="1">
      <c r="A934" s="14"/>
      <c r="B934" s="13"/>
      <c r="C934" s="13"/>
      <c r="D934" s="13"/>
      <c r="E934" s="13"/>
      <c r="F934" s="13"/>
      <c r="G934" s="13"/>
      <c r="H934" s="13"/>
      <c r="I934" s="13"/>
      <c r="J934" s="14"/>
      <c r="K934" s="14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" customHeight="1">
      <c r="A935" s="14"/>
      <c r="B935" s="13"/>
      <c r="C935" s="13"/>
      <c r="D935" s="13"/>
      <c r="E935" s="13"/>
      <c r="F935" s="13"/>
      <c r="G935" s="13"/>
      <c r="H935" s="13"/>
      <c r="I935" s="13"/>
      <c r="J935" s="14"/>
      <c r="K935" s="14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" customHeight="1">
      <c r="A936" s="14"/>
      <c r="B936" s="13"/>
      <c r="C936" s="13"/>
      <c r="D936" s="13"/>
      <c r="E936" s="13"/>
      <c r="F936" s="13"/>
      <c r="G936" s="13"/>
      <c r="H936" s="13"/>
      <c r="I936" s="13"/>
      <c r="J936" s="14"/>
      <c r="K936" s="14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" customHeight="1">
      <c r="A937" s="14"/>
      <c r="B937" s="13"/>
      <c r="C937" s="13"/>
      <c r="D937" s="13"/>
      <c r="E937" s="13"/>
      <c r="F937" s="13"/>
      <c r="G937" s="13"/>
      <c r="H937" s="13"/>
      <c r="I937" s="13"/>
      <c r="J937" s="14"/>
      <c r="K937" s="14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" customHeight="1">
      <c r="A938" s="14"/>
      <c r="B938" s="13"/>
      <c r="C938" s="13"/>
      <c r="D938" s="13"/>
      <c r="E938" s="13"/>
      <c r="F938" s="13"/>
      <c r="G938" s="13"/>
      <c r="H938" s="13"/>
      <c r="I938" s="13"/>
      <c r="J938" s="14"/>
      <c r="K938" s="14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" customHeight="1">
      <c r="A939" s="14"/>
      <c r="B939" s="13"/>
      <c r="C939" s="13"/>
      <c r="D939" s="13"/>
      <c r="E939" s="13"/>
      <c r="F939" s="13"/>
      <c r="G939" s="13"/>
      <c r="H939" s="13"/>
      <c r="I939" s="13"/>
      <c r="J939" s="14"/>
      <c r="K939" s="14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" customHeight="1">
      <c r="A940" s="14"/>
      <c r="B940" s="13"/>
      <c r="C940" s="13"/>
      <c r="D940" s="13"/>
      <c r="E940" s="13"/>
      <c r="F940" s="13"/>
      <c r="G940" s="13"/>
      <c r="H940" s="13"/>
      <c r="I940" s="13"/>
      <c r="J940" s="14"/>
      <c r="K940" s="14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" customHeight="1">
      <c r="A941" s="14"/>
      <c r="B941" s="13"/>
      <c r="C941" s="13"/>
      <c r="D941" s="13"/>
      <c r="E941" s="13"/>
      <c r="F941" s="13"/>
      <c r="G941" s="13"/>
      <c r="H941" s="13"/>
      <c r="I941" s="13"/>
      <c r="J941" s="14"/>
      <c r="K941" s="14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" customHeight="1">
      <c r="A942" s="14"/>
      <c r="B942" s="13"/>
      <c r="C942" s="13"/>
      <c r="D942" s="13"/>
      <c r="E942" s="13"/>
      <c r="F942" s="13"/>
      <c r="G942" s="13"/>
      <c r="H942" s="13"/>
      <c r="I942" s="13"/>
      <c r="J942" s="14"/>
      <c r="K942" s="14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" customHeight="1">
      <c r="A943" s="14"/>
      <c r="B943" s="13"/>
      <c r="C943" s="13"/>
      <c r="D943" s="13"/>
      <c r="E943" s="13"/>
      <c r="F943" s="13"/>
      <c r="G943" s="13"/>
      <c r="H943" s="13"/>
      <c r="I943" s="13"/>
      <c r="J943" s="14"/>
      <c r="K943" s="14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" customHeight="1">
      <c r="A944" s="14"/>
      <c r="B944" s="13"/>
      <c r="C944" s="13"/>
      <c r="D944" s="13"/>
      <c r="E944" s="13"/>
      <c r="F944" s="13"/>
      <c r="G944" s="13"/>
      <c r="H944" s="13"/>
      <c r="I944" s="13"/>
      <c r="J944" s="14"/>
      <c r="K944" s="14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" customHeight="1">
      <c r="A945" s="14"/>
      <c r="B945" s="13"/>
      <c r="C945" s="13"/>
      <c r="D945" s="13"/>
      <c r="E945" s="13"/>
      <c r="F945" s="13"/>
      <c r="G945" s="13"/>
      <c r="H945" s="13"/>
      <c r="I945" s="13"/>
      <c r="J945" s="14"/>
      <c r="K945" s="14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" customHeight="1">
      <c r="A946" s="14"/>
      <c r="B946" s="13"/>
      <c r="C946" s="13"/>
      <c r="D946" s="13"/>
      <c r="E946" s="13"/>
      <c r="F946" s="13"/>
      <c r="G946" s="13"/>
      <c r="H946" s="13"/>
      <c r="I946" s="13"/>
      <c r="J946" s="14"/>
      <c r="K946" s="14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" customHeight="1">
      <c r="A947" s="14"/>
      <c r="B947" s="13"/>
      <c r="C947" s="13"/>
      <c r="D947" s="13"/>
      <c r="E947" s="13"/>
      <c r="F947" s="13"/>
      <c r="G947" s="13"/>
      <c r="H947" s="13"/>
      <c r="I947" s="13"/>
      <c r="J947" s="14"/>
      <c r="K947" s="14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" customHeight="1">
      <c r="A948" s="14"/>
      <c r="B948" s="13"/>
      <c r="C948" s="13"/>
      <c r="D948" s="13"/>
      <c r="E948" s="13"/>
      <c r="F948" s="13"/>
      <c r="G948" s="13"/>
      <c r="H948" s="13"/>
      <c r="I948" s="13"/>
      <c r="J948" s="14"/>
      <c r="K948" s="14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" customHeight="1">
      <c r="A949" s="14"/>
      <c r="B949" s="13"/>
      <c r="C949" s="13"/>
      <c r="D949" s="13"/>
      <c r="E949" s="13"/>
      <c r="F949" s="13"/>
      <c r="G949" s="13"/>
      <c r="H949" s="13"/>
      <c r="I949" s="13"/>
      <c r="J949" s="14"/>
      <c r="K949" s="14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" customHeight="1">
      <c r="A950" s="14"/>
      <c r="B950" s="13"/>
      <c r="C950" s="13"/>
      <c r="D950" s="13"/>
      <c r="E950" s="13"/>
      <c r="F950" s="13"/>
      <c r="G950" s="13"/>
      <c r="H950" s="13"/>
      <c r="I950" s="13"/>
      <c r="J950" s="14"/>
      <c r="K950" s="14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" customHeight="1">
      <c r="A951" s="14"/>
      <c r="B951" s="13"/>
      <c r="C951" s="13"/>
      <c r="D951" s="13"/>
      <c r="E951" s="13"/>
      <c r="F951" s="13"/>
      <c r="G951" s="13"/>
      <c r="H951" s="13"/>
      <c r="I951" s="13"/>
      <c r="J951" s="14"/>
      <c r="K951" s="14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" customHeight="1">
      <c r="A952" s="14"/>
      <c r="B952" s="13"/>
      <c r="C952" s="13"/>
      <c r="D952" s="13"/>
      <c r="E952" s="13"/>
      <c r="F952" s="13"/>
      <c r="G952" s="13"/>
      <c r="H952" s="13"/>
      <c r="I952" s="13"/>
      <c r="J952" s="14"/>
      <c r="K952" s="14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" customHeight="1">
      <c r="A953" s="14"/>
      <c r="B953" s="13"/>
      <c r="C953" s="13"/>
      <c r="D953" s="13"/>
      <c r="E953" s="13"/>
      <c r="F953" s="13"/>
      <c r="G953" s="13"/>
      <c r="H953" s="13"/>
      <c r="I953" s="13"/>
      <c r="J953" s="14"/>
      <c r="K953" s="14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" customHeight="1">
      <c r="A954" s="14"/>
      <c r="B954" s="13"/>
      <c r="C954" s="13"/>
      <c r="D954" s="13"/>
      <c r="E954" s="13"/>
      <c r="F954" s="13"/>
      <c r="G954" s="13"/>
      <c r="H954" s="13"/>
      <c r="I954" s="13"/>
      <c r="J954" s="14"/>
      <c r="K954" s="14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" customHeight="1">
      <c r="A955" s="14"/>
      <c r="B955" s="13"/>
      <c r="C955" s="13"/>
      <c r="D955" s="13"/>
      <c r="E955" s="13"/>
      <c r="F955" s="13"/>
      <c r="G955" s="13"/>
      <c r="H955" s="13"/>
      <c r="I955" s="13"/>
      <c r="J955" s="14"/>
      <c r="K955" s="14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" customHeight="1">
      <c r="A956" s="14"/>
      <c r="B956" s="13"/>
      <c r="C956" s="13"/>
      <c r="D956" s="13"/>
      <c r="E956" s="13"/>
      <c r="F956" s="13"/>
      <c r="G956" s="13"/>
      <c r="H956" s="13"/>
      <c r="I956" s="13"/>
      <c r="J956" s="14"/>
      <c r="K956" s="14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" customHeight="1">
      <c r="A957" s="14"/>
      <c r="B957" s="13"/>
      <c r="C957" s="13"/>
      <c r="D957" s="13"/>
      <c r="E957" s="13"/>
      <c r="F957" s="13"/>
      <c r="G957" s="13"/>
      <c r="H957" s="13"/>
      <c r="I957" s="13"/>
      <c r="J957" s="14"/>
      <c r="K957" s="14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" customHeight="1">
      <c r="A958" s="14"/>
      <c r="B958" s="13"/>
      <c r="C958" s="13"/>
      <c r="D958" s="13"/>
      <c r="E958" s="13"/>
      <c r="F958" s="13"/>
      <c r="G958" s="13"/>
      <c r="H958" s="13"/>
      <c r="I958" s="13"/>
      <c r="J958" s="14"/>
      <c r="K958" s="14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" customHeight="1">
      <c r="A959" s="14"/>
      <c r="B959" s="13"/>
      <c r="C959" s="13"/>
      <c r="D959" s="13"/>
      <c r="E959" s="13"/>
      <c r="F959" s="13"/>
      <c r="G959" s="13"/>
      <c r="H959" s="13"/>
      <c r="I959" s="13"/>
      <c r="J959" s="14"/>
      <c r="K959" s="14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" customHeight="1">
      <c r="A960" s="14"/>
      <c r="B960" s="13"/>
      <c r="C960" s="13"/>
      <c r="D960" s="13"/>
      <c r="E960" s="13"/>
      <c r="F960" s="13"/>
      <c r="G960" s="13"/>
      <c r="H960" s="13"/>
      <c r="I960" s="13"/>
      <c r="J960" s="14"/>
      <c r="K960" s="14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" customHeight="1">
      <c r="A961" s="14"/>
      <c r="B961" s="13"/>
      <c r="C961" s="13"/>
      <c r="D961" s="13"/>
      <c r="E961" s="13"/>
      <c r="F961" s="13"/>
      <c r="G961" s="13"/>
      <c r="H961" s="13"/>
      <c r="I961" s="13"/>
      <c r="J961" s="14"/>
      <c r="K961" s="14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" customHeight="1">
      <c r="A962" s="14"/>
      <c r="B962" s="13"/>
      <c r="C962" s="13"/>
      <c r="D962" s="13"/>
      <c r="E962" s="13"/>
      <c r="F962" s="13"/>
      <c r="G962" s="13"/>
      <c r="H962" s="13"/>
      <c r="I962" s="13"/>
      <c r="J962" s="14"/>
      <c r="K962" s="14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" customHeight="1">
      <c r="A963" s="14"/>
      <c r="B963" s="13"/>
      <c r="C963" s="13"/>
      <c r="D963" s="13"/>
      <c r="E963" s="13"/>
      <c r="F963" s="13"/>
      <c r="G963" s="13"/>
      <c r="H963" s="13"/>
      <c r="I963" s="13"/>
      <c r="J963" s="14"/>
      <c r="K963" s="14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" customHeight="1">
      <c r="A964" s="14"/>
      <c r="B964" s="13"/>
      <c r="C964" s="13"/>
      <c r="D964" s="13"/>
      <c r="E964" s="13"/>
      <c r="F964" s="13"/>
      <c r="G964" s="13"/>
      <c r="H964" s="13"/>
      <c r="I964" s="13"/>
      <c r="J964" s="14"/>
      <c r="K964" s="14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" customHeight="1">
      <c r="A965" s="14"/>
      <c r="B965" s="13"/>
      <c r="C965" s="13"/>
      <c r="D965" s="13"/>
      <c r="E965" s="13"/>
      <c r="F965" s="13"/>
      <c r="G965" s="13"/>
      <c r="H965" s="13"/>
      <c r="I965" s="13"/>
      <c r="J965" s="14"/>
      <c r="K965" s="14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" customHeight="1">
      <c r="A966" s="14"/>
      <c r="B966" s="13"/>
      <c r="C966" s="13"/>
      <c r="D966" s="13"/>
      <c r="E966" s="13"/>
      <c r="F966" s="13"/>
      <c r="G966" s="13"/>
      <c r="H966" s="13"/>
      <c r="I966" s="13"/>
      <c r="J966" s="14"/>
      <c r="K966" s="14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" customHeight="1">
      <c r="A967" s="14"/>
      <c r="B967" s="13"/>
      <c r="C967" s="13"/>
      <c r="D967" s="13"/>
      <c r="E967" s="13"/>
      <c r="F967" s="13"/>
      <c r="G967" s="13"/>
      <c r="H967" s="13"/>
      <c r="I967" s="13"/>
      <c r="J967" s="14"/>
      <c r="K967" s="14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" customHeight="1">
      <c r="A968" s="14"/>
      <c r="B968" s="13"/>
      <c r="C968" s="13"/>
      <c r="D968" s="13"/>
      <c r="E968" s="13"/>
      <c r="F968" s="13"/>
      <c r="G968" s="13"/>
      <c r="H968" s="13"/>
      <c r="I968" s="13"/>
      <c r="J968" s="14"/>
      <c r="K968" s="14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" customHeight="1">
      <c r="A969" s="14"/>
      <c r="B969" s="13"/>
      <c r="C969" s="13"/>
      <c r="D969" s="13"/>
      <c r="E969" s="13"/>
      <c r="F969" s="13"/>
      <c r="G969" s="13"/>
      <c r="H969" s="13"/>
      <c r="I969" s="13"/>
      <c r="J969" s="14"/>
      <c r="K969" s="14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8" customHeight="1">
      <c r="A970" s="14"/>
      <c r="B970" s="13"/>
      <c r="C970" s="13"/>
      <c r="D970" s="13"/>
      <c r="E970" s="13"/>
      <c r="F970" s="13"/>
      <c r="G970" s="13"/>
      <c r="H970" s="13"/>
      <c r="I970" s="13"/>
      <c r="J970" s="14"/>
      <c r="K970" s="14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8" customHeight="1">
      <c r="A971" s="14"/>
      <c r="B971" s="13"/>
      <c r="C971" s="13"/>
      <c r="D971" s="13"/>
      <c r="E971" s="13"/>
      <c r="F971" s="13"/>
      <c r="G971" s="13"/>
      <c r="H971" s="13"/>
      <c r="I971" s="13"/>
      <c r="J971" s="14"/>
      <c r="K971" s="14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8" customHeight="1">
      <c r="A972" s="14"/>
      <c r="B972" s="13"/>
      <c r="C972" s="13"/>
      <c r="D972" s="13"/>
      <c r="E972" s="13"/>
      <c r="F972" s="13"/>
      <c r="G972" s="13"/>
      <c r="H972" s="13"/>
      <c r="I972" s="13"/>
      <c r="J972" s="14"/>
      <c r="K972" s="14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8" customHeight="1">
      <c r="A973" s="14"/>
      <c r="B973" s="13"/>
      <c r="C973" s="13"/>
      <c r="D973" s="13"/>
      <c r="E973" s="13"/>
      <c r="F973" s="13"/>
      <c r="G973" s="13"/>
      <c r="H973" s="13"/>
      <c r="I973" s="13"/>
      <c r="J973" s="14"/>
      <c r="K973" s="14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8" customHeight="1">
      <c r="A974" s="14"/>
      <c r="B974" s="13"/>
      <c r="C974" s="13"/>
      <c r="D974" s="13"/>
      <c r="E974" s="13"/>
      <c r="F974" s="13"/>
      <c r="G974" s="13"/>
      <c r="H974" s="13"/>
      <c r="I974" s="13"/>
      <c r="J974" s="14"/>
      <c r="K974" s="14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8" customHeight="1">
      <c r="A975" s="14"/>
      <c r="B975" s="13"/>
      <c r="C975" s="13"/>
      <c r="D975" s="13"/>
      <c r="E975" s="13"/>
      <c r="F975" s="13"/>
      <c r="G975" s="13"/>
      <c r="H975" s="13"/>
      <c r="I975" s="13"/>
      <c r="J975" s="14"/>
      <c r="K975" s="14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8" customHeight="1">
      <c r="A976" s="14"/>
      <c r="B976" s="13"/>
      <c r="C976" s="13"/>
      <c r="D976" s="13"/>
      <c r="E976" s="13"/>
      <c r="F976" s="13"/>
      <c r="G976" s="13"/>
      <c r="H976" s="13"/>
      <c r="I976" s="13"/>
      <c r="J976" s="14"/>
      <c r="K976" s="14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8" customHeight="1">
      <c r="A977" s="14"/>
      <c r="B977" s="13"/>
      <c r="C977" s="13"/>
      <c r="D977" s="13"/>
      <c r="E977" s="13"/>
      <c r="F977" s="13"/>
      <c r="G977" s="13"/>
      <c r="H977" s="13"/>
      <c r="I977" s="13"/>
      <c r="J977" s="14"/>
      <c r="K977" s="14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8" customHeight="1">
      <c r="A978" s="14"/>
      <c r="B978" s="13"/>
      <c r="C978" s="13"/>
      <c r="D978" s="13"/>
      <c r="E978" s="13"/>
      <c r="F978" s="13"/>
      <c r="G978" s="13"/>
      <c r="H978" s="13"/>
      <c r="I978" s="13"/>
      <c r="J978" s="14"/>
      <c r="K978" s="14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8" customHeight="1">
      <c r="A979" s="14"/>
      <c r="B979" s="13"/>
      <c r="C979" s="13"/>
      <c r="D979" s="13"/>
      <c r="E979" s="13"/>
      <c r="F979" s="13"/>
      <c r="G979" s="13"/>
      <c r="H979" s="13"/>
      <c r="I979" s="13"/>
      <c r="J979" s="14"/>
      <c r="K979" s="14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8" customHeight="1">
      <c r="A980" s="14"/>
      <c r="B980" s="13"/>
      <c r="C980" s="13"/>
      <c r="D980" s="13"/>
      <c r="E980" s="13"/>
      <c r="F980" s="13"/>
      <c r="G980" s="13"/>
      <c r="H980" s="13"/>
      <c r="I980" s="13"/>
      <c r="J980" s="14"/>
      <c r="K980" s="14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8" customHeight="1">
      <c r="A981" s="14"/>
      <c r="B981" s="13"/>
      <c r="C981" s="13"/>
      <c r="D981" s="13"/>
      <c r="E981" s="13"/>
      <c r="F981" s="13"/>
      <c r="G981" s="13"/>
      <c r="H981" s="13"/>
      <c r="I981" s="13"/>
      <c r="J981" s="14"/>
      <c r="K981" s="14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8" customHeight="1">
      <c r="A982" s="14"/>
      <c r="B982" s="13"/>
      <c r="C982" s="13"/>
      <c r="D982" s="13"/>
      <c r="E982" s="13"/>
      <c r="F982" s="13"/>
      <c r="G982" s="13"/>
      <c r="H982" s="13"/>
      <c r="I982" s="13"/>
      <c r="J982" s="14"/>
      <c r="K982" s="14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8" customHeight="1">
      <c r="A983" s="14"/>
      <c r="B983" s="13"/>
      <c r="C983" s="13"/>
      <c r="D983" s="13"/>
      <c r="E983" s="13"/>
      <c r="F983" s="13"/>
      <c r="G983" s="13"/>
      <c r="H983" s="13"/>
      <c r="I983" s="13"/>
      <c r="J983" s="14"/>
      <c r="K983" s="14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8" customHeight="1">
      <c r="A984" s="14"/>
      <c r="B984" s="13"/>
      <c r="C984" s="13"/>
      <c r="D984" s="13"/>
      <c r="E984" s="13"/>
      <c r="F984" s="13"/>
      <c r="G984" s="13"/>
      <c r="H984" s="13"/>
      <c r="I984" s="13"/>
      <c r="J984" s="14"/>
      <c r="K984" s="14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8" customHeight="1">
      <c r="A985" s="14"/>
      <c r="B985" s="13"/>
      <c r="C985" s="13"/>
      <c r="D985" s="13"/>
      <c r="E985" s="13"/>
      <c r="F985" s="13"/>
      <c r="G985" s="13"/>
      <c r="H985" s="13"/>
      <c r="I985" s="13"/>
      <c r="J985" s="14"/>
      <c r="K985" s="14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8" customHeight="1">
      <c r="A986" s="14"/>
      <c r="B986" s="13"/>
      <c r="C986" s="13"/>
      <c r="D986" s="13"/>
      <c r="E986" s="13"/>
      <c r="F986" s="13"/>
      <c r="G986" s="13"/>
      <c r="H986" s="13"/>
      <c r="I986" s="13"/>
      <c r="J986" s="14"/>
      <c r="K986" s="14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8" customHeight="1">
      <c r="A987" s="14"/>
      <c r="B987" s="13"/>
      <c r="C987" s="13"/>
      <c r="D987" s="13"/>
      <c r="E987" s="13"/>
      <c r="F987" s="13"/>
      <c r="G987" s="13"/>
      <c r="H987" s="13"/>
      <c r="I987" s="13"/>
      <c r="J987" s="14"/>
      <c r="K987" s="14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8" customHeight="1">
      <c r="A988" s="14"/>
      <c r="B988" s="13"/>
      <c r="C988" s="13"/>
      <c r="D988" s="13"/>
      <c r="E988" s="13"/>
      <c r="F988" s="13"/>
      <c r="G988" s="13"/>
      <c r="H988" s="13"/>
      <c r="I988" s="13"/>
      <c r="J988" s="14"/>
      <c r="K988" s="14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8" customHeight="1">
      <c r="A989" s="14"/>
      <c r="B989" s="13"/>
      <c r="C989" s="13"/>
      <c r="D989" s="13"/>
      <c r="E989" s="13"/>
      <c r="F989" s="13"/>
      <c r="G989" s="13"/>
      <c r="H989" s="13"/>
      <c r="I989" s="13"/>
      <c r="J989" s="14"/>
      <c r="K989" s="14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8" customHeight="1">
      <c r="A990" s="14"/>
      <c r="B990" s="13"/>
      <c r="C990" s="13"/>
      <c r="D990" s="13"/>
      <c r="E990" s="13"/>
      <c r="F990" s="13"/>
      <c r="G990" s="13"/>
      <c r="H990" s="13"/>
      <c r="I990" s="13"/>
      <c r="J990" s="14"/>
      <c r="K990" s="14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8" customHeight="1">
      <c r="A991" s="14"/>
      <c r="B991" s="13"/>
      <c r="C991" s="13"/>
      <c r="D991" s="13"/>
      <c r="E991" s="13"/>
      <c r="F991" s="13"/>
      <c r="G991" s="13"/>
      <c r="H991" s="13"/>
      <c r="I991" s="13"/>
      <c r="J991" s="14"/>
      <c r="K991" s="14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8" customHeight="1">
      <c r="A992" s="14"/>
      <c r="B992" s="13"/>
      <c r="C992" s="13"/>
      <c r="D992" s="13"/>
      <c r="E992" s="13"/>
      <c r="F992" s="13"/>
      <c r="G992" s="13"/>
      <c r="H992" s="13"/>
      <c r="I992" s="13"/>
      <c r="J992" s="14"/>
      <c r="K992" s="14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8" customHeight="1">
      <c r="A993" s="14"/>
      <c r="B993" s="13"/>
      <c r="C993" s="13"/>
      <c r="D993" s="13"/>
      <c r="E993" s="13"/>
      <c r="F993" s="13"/>
      <c r="G993" s="13"/>
      <c r="H993" s="13"/>
      <c r="I993" s="13"/>
      <c r="J993" s="14"/>
      <c r="K993" s="14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8" customHeight="1">
      <c r="A994" s="14"/>
      <c r="B994" s="13"/>
      <c r="C994" s="13"/>
      <c r="D994" s="13"/>
      <c r="E994" s="13"/>
      <c r="F994" s="13"/>
      <c r="G994" s="13"/>
      <c r="H994" s="13"/>
      <c r="I994" s="13"/>
      <c r="J994" s="14"/>
      <c r="K994" s="14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8" customHeight="1">
      <c r="A995" s="14"/>
      <c r="B995" s="13"/>
      <c r="C995" s="13"/>
      <c r="D995" s="13"/>
      <c r="E995" s="13"/>
      <c r="F995" s="13"/>
      <c r="G995" s="13"/>
      <c r="H995" s="13"/>
      <c r="I995" s="13"/>
      <c r="J995" s="14"/>
      <c r="K995" s="14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8" customHeight="1">
      <c r="A996" s="14"/>
      <c r="B996" s="13"/>
      <c r="C996" s="13"/>
      <c r="D996" s="13"/>
      <c r="E996" s="13"/>
      <c r="F996" s="13"/>
      <c r="G996" s="13"/>
      <c r="H996" s="13"/>
      <c r="I996" s="13"/>
      <c r="J996" s="14"/>
      <c r="K996" s="14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8" customHeight="1">
      <c r="A997" s="14"/>
      <c r="B997" s="13"/>
      <c r="C997" s="13"/>
      <c r="D997" s="13"/>
      <c r="E997" s="13"/>
      <c r="F997" s="13"/>
      <c r="G997" s="13"/>
      <c r="H997" s="13"/>
      <c r="I997" s="13"/>
      <c r="J997" s="14"/>
      <c r="K997" s="14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8" customHeight="1">
      <c r="A998" s="14"/>
      <c r="B998" s="13"/>
      <c r="C998" s="13"/>
      <c r="D998" s="13"/>
      <c r="E998" s="13"/>
      <c r="F998" s="13"/>
      <c r="G998" s="13"/>
      <c r="H998" s="13"/>
      <c r="I998" s="13"/>
      <c r="J998" s="14"/>
      <c r="K998" s="14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8" customHeight="1">
      <c r="A999" s="14"/>
      <c r="B999" s="13"/>
      <c r="C999" s="13"/>
      <c r="D999" s="13"/>
      <c r="E999" s="13"/>
      <c r="F999" s="13"/>
      <c r="G999" s="13"/>
      <c r="H999" s="13"/>
      <c r="I999" s="13"/>
      <c r="J999" s="14"/>
      <c r="K999" s="14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8" customHeight="1">
      <c r="A1000" s="14"/>
      <c r="B1000" s="13"/>
      <c r="C1000" s="13"/>
      <c r="D1000" s="13"/>
      <c r="E1000" s="13"/>
      <c r="F1000" s="13"/>
      <c r="G1000" s="13"/>
      <c r="H1000" s="13"/>
      <c r="I1000" s="13"/>
      <c r="J1000" s="14"/>
      <c r="K1000" s="14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14">
    <mergeCell ref="F1:F2"/>
    <mergeCell ref="G1:G2"/>
    <mergeCell ref="H1:H2"/>
    <mergeCell ref="I1:I2"/>
    <mergeCell ref="A1:A2"/>
    <mergeCell ref="B1:B2"/>
    <mergeCell ref="C1:C2"/>
    <mergeCell ref="D1:D2"/>
    <mergeCell ref="E1:E2"/>
    <mergeCell ref="J1:K1"/>
    <mergeCell ref="L1:L2"/>
    <mergeCell ref="H168:I168"/>
    <mergeCell ref="H169:I169"/>
    <mergeCell ref="H170:I170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  <sheetView workbookViewId="1"/>
  </sheetViews>
  <sheetFormatPr defaultColWidth="14.42578125" defaultRowHeight="15" customHeight="1"/>
  <cols>
    <col min="1" max="1" width="5.85546875" customWidth="1"/>
    <col min="2" max="2" width="18.5703125" customWidth="1"/>
    <col min="3" max="3" width="10.7109375" customWidth="1"/>
    <col min="4" max="4" width="17.7109375" customWidth="1"/>
    <col min="5" max="5" width="17.5703125" customWidth="1"/>
    <col min="6" max="6" width="8.85546875" customWidth="1"/>
    <col min="7" max="7" width="27.140625" customWidth="1"/>
    <col min="8" max="8" width="27.28515625" customWidth="1"/>
    <col min="9" max="9" width="27.140625" customWidth="1"/>
    <col min="10" max="10" width="8.85546875" customWidth="1"/>
    <col min="11" max="12" width="11.7109375" customWidth="1"/>
    <col min="13" max="13" width="17.42578125" customWidth="1"/>
    <col min="14" max="26" width="8.7109375" customWidth="1"/>
  </cols>
  <sheetData>
    <row r="1" spans="1:26" ht="18" customHeight="1">
      <c r="A1" s="3" t="s">
        <v>0</v>
      </c>
      <c r="B1" s="3" t="s">
        <v>1715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3711</v>
      </c>
      <c r="H1" s="3" t="s">
        <v>5</v>
      </c>
      <c r="I1" s="3" t="s">
        <v>6</v>
      </c>
      <c r="J1" s="3" t="s">
        <v>7</v>
      </c>
      <c r="K1" s="103" t="s">
        <v>9</v>
      </c>
      <c r="L1" s="110"/>
      <c r="M1" s="91" t="s">
        <v>10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8" customHeight="1">
      <c r="A2" s="3">
        <v>1</v>
      </c>
      <c r="B2" s="3">
        <v>6410633204</v>
      </c>
      <c r="C2" s="4" t="s">
        <v>22</v>
      </c>
      <c r="D2" s="4" t="s">
        <v>3712</v>
      </c>
      <c r="E2" s="4" t="s">
        <v>522</v>
      </c>
      <c r="F2" s="4" t="s">
        <v>401</v>
      </c>
      <c r="G2" s="4" t="s">
        <v>3713</v>
      </c>
      <c r="H2" s="4" t="s">
        <v>287</v>
      </c>
      <c r="I2" s="4" t="s">
        <v>384</v>
      </c>
      <c r="J2" s="3">
        <v>3</v>
      </c>
      <c r="K2" s="2" t="s">
        <v>18</v>
      </c>
      <c r="L2" s="2" t="s">
        <v>19</v>
      </c>
      <c r="M2" s="111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8" customHeight="1">
      <c r="A3" s="3">
        <v>2</v>
      </c>
      <c r="B3" s="3">
        <v>6410633203</v>
      </c>
      <c r="C3" s="4" t="s">
        <v>22</v>
      </c>
      <c r="D3" s="4" t="s">
        <v>519</v>
      </c>
      <c r="E3" s="4" t="s">
        <v>520</v>
      </c>
      <c r="F3" s="4" t="s">
        <v>479</v>
      </c>
      <c r="G3" s="4" t="s">
        <v>3714</v>
      </c>
      <c r="H3" s="4" t="s">
        <v>287</v>
      </c>
      <c r="I3" s="4" t="s">
        <v>384</v>
      </c>
      <c r="J3" s="3">
        <v>3</v>
      </c>
      <c r="K3" s="3"/>
      <c r="L3" s="3" t="str">
        <f t="shared" ref="L3:L26" si="0">IF(K3&gt;=2,"ผ่าน",IF(K3&lt;2,"ไม่ผ่าน"))</f>
        <v>ไม่ผ่าน</v>
      </c>
      <c r="M3" s="3" t="s">
        <v>28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8" customHeight="1">
      <c r="A4" s="3">
        <v>3</v>
      </c>
      <c r="B4" s="3">
        <v>6410633106</v>
      </c>
      <c r="C4" s="4" t="s">
        <v>22</v>
      </c>
      <c r="D4" s="4" t="s">
        <v>3715</v>
      </c>
      <c r="E4" s="4" t="s">
        <v>494</v>
      </c>
      <c r="F4" s="4" t="s">
        <v>850</v>
      </c>
      <c r="G4" s="4" t="s">
        <v>3716</v>
      </c>
      <c r="H4" s="4" t="s">
        <v>287</v>
      </c>
      <c r="I4" s="4" t="s">
        <v>384</v>
      </c>
      <c r="J4" s="3">
        <v>3</v>
      </c>
      <c r="K4" s="3"/>
      <c r="L4" s="3" t="str">
        <f t="shared" si="0"/>
        <v>ไม่ผ่าน</v>
      </c>
      <c r="M4" s="3" t="s">
        <v>28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8" customHeight="1">
      <c r="A5" s="3">
        <v>4</v>
      </c>
      <c r="B5" s="3">
        <v>6410633209</v>
      </c>
      <c r="C5" s="4" t="s">
        <v>22</v>
      </c>
      <c r="D5" s="4" t="s">
        <v>529</v>
      </c>
      <c r="E5" s="4" t="s">
        <v>586</v>
      </c>
      <c r="F5" s="4" t="s">
        <v>530</v>
      </c>
      <c r="G5" s="4" t="s">
        <v>3717</v>
      </c>
      <c r="H5" s="4" t="s">
        <v>287</v>
      </c>
      <c r="I5" s="4" t="s">
        <v>384</v>
      </c>
      <c r="J5" s="3">
        <v>3</v>
      </c>
      <c r="K5" s="3"/>
      <c r="L5" s="3" t="str">
        <f t="shared" si="0"/>
        <v>ไม่ผ่าน</v>
      </c>
      <c r="M5" s="3" t="s">
        <v>28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8" customHeight="1">
      <c r="A6" s="3">
        <v>5</v>
      </c>
      <c r="B6" s="3">
        <v>6410633211</v>
      </c>
      <c r="C6" s="4" t="s">
        <v>22</v>
      </c>
      <c r="D6" s="4" t="s">
        <v>531</v>
      </c>
      <c r="E6" s="4" t="s">
        <v>532</v>
      </c>
      <c r="F6" s="4" t="s">
        <v>270</v>
      </c>
      <c r="G6" s="4" t="s">
        <v>3718</v>
      </c>
      <c r="H6" s="4" t="s">
        <v>287</v>
      </c>
      <c r="I6" s="4" t="s">
        <v>384</v>
      </c>
      <c r="J6" s="3">
        <v>3</v>
      </c>
      <c r="K6" s="3"/>
      <c r="L6" s="3" t="str">
        <f t="shared" si="0"/>
        <v>ไม่ผ่าน</v>
      </c>
      <c r="M6" s="3" t="s">
        <v>28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8" customHeight="1">
      <c r="A7" s="3">
        <v>6</v>
      </c>
      <c r="B7" s="3">
        <v>6410633101</v>
      </c>
      <c r="C7" s="4" t="s">
        <v>22</v>
      </c>
      <c r="D7" s="4" t="s">
        <v>3719</v>
      </c>
      <c r="E7" s="4" t="s">
        <v>482</v>
      </c>
      <c r="F7" s="4" t="s">
        <v>483</v>
      </c>
      <c r="G7" s="4" t="s">
        <v>3720</v>
      </c>
      <c r="H7" s="4" t="s">
        <v>287</v>
      </c>
      <c r="I7" s="4" t="s">
        <v>384</v>
      </c>
      <c r="J7" s="3">
        <v>3</v>
      </c>
      <c r="K7" s="3"/>
      <c r="L7" s="3" t="str">
        <f t="shared" si="0"/>
        <v>ไม่ผ่าน</v>
      </c>
      <c r="M7" s="3" t="s">
        <v>28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8" customHeight="1">
      <c r="A8" s="3">
        <v>7</v>
      </c>
      <c r="B8" s="3">
        <v>6410633201</v>
      </c>
      <c r="C8" s="4" t="s">
        <v>22</v>
      </c>
      <c r="D8" s="4" t="s">
        <v>516</v>
      </c>
      <c r="E8" s="4" t="s">
        <v>517</v>
      </c>
      <c r="F8" s="4" t="s">
        <v>518</v>
      </c>
      <c r="G8" s="4" t="s">
        <v>3721</v>
      </c>
      <c r="H8" s="4" t="s">
        <v>287</v>
      </c>
      <c r="I8" s="4" t="s">
        <v>384</v>
      </c>
      <c r="J8" s="3">
        <v>3</v>
      </c>
      <c r="K8" s="3"/>
      <c r="L8" s="3" t="str">
        <f t="shared" si="0"/>
        <v>ไม่ผ่าน</v>
      </c>
      <c r="M8" s="3" t="s">
        <v>28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8" customHeight="1">
      <c r="A9" s="3">
        <v>8</v>
      </c>
      <c r="B9" s="3">
        <v>6410633108</v>
      </c>
      <c r="C9" s="4" t="s">
        <v>22</v>
      </c>
      <c r="D9" s="4" t="s">
        <v>3722</v>
      </c>
      <c r="E9" s="4" t="s">
        <v>497</v>
      </c>
      <c r="F9" s="4" t="s">
        <v>498</v>
      </c>
      <c r="G9" s="4" t="s">
        <v>3723</v>
      </c>
      <c r="H9" s="4" t="s">
        <v>287</v>
      </c>
      <c r="I9" s="4" t="s">
        <v>384</v>
      </c>
      <c r="J9" s="3">
        <v>3</v>
      </c>
      <c r="K9" s="3"/>
      <c r="L9" s="3" t="str">
        <f t="shared" si="0"/>
        <v>ไม่ผ่าน</v>
      </c>
      <c r="M9" s="3" t="s">
        <v>28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8" customHeight="1">
      <c r="A10" s="3">
        <v>9</v>
      </c>
      <c r="B10" s="3">
        <v>6410633119</v>
      </c>
      <c r="C10" s="4" t="s">
        <v>29</v>
      </c>
      <c r="D10" s="4" t="s">
        <v>508</v>
      </c>
      <c r="E10" s="4" t="s">
        <v>509</v>
      </c>
      <c r="F10" s="4" t="s">
        <v>510</v>
      </c>
      <c r="G10" s="4" t="s">
        <v>3724</v>
      </c>
      <c r="H10" s="4" t="s">
        <v>287</v>
      </c>
      <c r="I10" s="4" t="s">
        <v>384</v>
      </c>
      <c r="J10" s="3">
        <v>3</v>
      </c>
      <c r="K10" s="3"/>
      <c r="L10" s="3" t="str">
        <f t="shared" si="0"/>
        <v>ไม่ผ่าน</v>
      </c>
      <c r="M10" s="3" t="s">
        <v>28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8" customHeight="1">
      <c r="A11" s="3">
        <v>10</v>
      </c>
      <c r="B11" s="3">
        <v>6410633207</v>
      </c>
      <c r="C11" s="4" t="s">
        <v>22</v>
      </c>
      <c r="D11" s="4" t="s">
        <v>523</v>
      </c>
      <c r="E11" s="4" t="s">
        <v>524</v>
      </c>
      <c r="F11" s="4" t="s">
        <v>525</v>
      </c>
      <c r="G11" s="4" t="s">
        <v>3725</v>
      </c>
      <c r="H11" s="4" t="s">
        <v>287</v>
      </c>
      <c r="I11" s="4" t="s">
        <v>384</v>
      </c>
      <c r="J11" s="3">
        <v>3</v>
      </c>
      <c r="K11" s="3"/>
      <c r="L11" s="3" t="str">
        <f t="shared" si="0"/>
        <v>ไม่ผ่าน</v>
      </c>
      <c r="M11" s="3" t="s">
        <v>28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8" customHeight="1">
      <c r="A12" s="3">
        <v>11</v>
      </c>
      <c r="B12" s="3">
        <v>6410633104</v>
      </c>
      <c r="C12" s="4" t="s">
        <v>22</v>
      </c>
      <c r="D12" s="4" t="s">
        <v>487</v>
      </c>
      <c r="E12" s="4" t="s">
        <v>488</v>
      </c>
      <c r="F12" s="4" t="s">
        <v>489</v>
      </c>
      <c r="G12" s="4" t="s">
        <v>3726</v>
      </c>
      <c r="H12" s="4" t="s">
        <v>287</v>
      </c>
      <c r="I12" s="4" t="s">
        <v>384</v>
      </c>
      <c r="J12" s="3">
        <v>3</v>
      </c>
      <c r="K12" s="3"/>
      <c r="L12" s="3" t="str">
        <f t="shared" si="0"/>
        <v>ไม่ผ่าน</v>
      </c>
      <c r="M12" s="3" t="s">
        <v>28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8" customHeight="1">
      <c r="A13" s="3">
        <v>12</v>
      </c>
      <c r="B13" s="3">
        <v>6410633105</v>
      </c>
      <c r="C13" s="4" t="s">
        <v>22</v>
      </c>
      <c r="D13" s="4" t="s">
        <v>490</v>
      </c>
      <c r="E13" s="4" t="s">
        <v>3727</v>
      </c>
      <c r="F13" s="4" t="s">
        <v>492</v>
      </c>
      <c r="G13" s="4" t="s">
        <v>3728</v>
      </c>
      <c r="H13" s="4" t="s">
        <v>287</v>
      </c>
      <c r="I13" s="4" t="s">
        <v>384</v>
      </c>
      <c r="J13" s="3">
        <v>3</v>
      </c>
      <c r="K13" s="3"/>
      <c r="L13" s="3" t="str">
        <f t="shared" si="0"/>
        <v>ไม่ผ่าน</v>
      </c>
      <c r="M13" s="3" t="s">
        <v>28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8" customHeight="1">
      <c r="A14" s="3">
        <v>13</v>
      </c>
      <c r="B14" s="3">
        <v>6410633231</v>
      </c>
      <c r="C14" s="4" t="s">
        <v>29</v>
      </c>
      <c r="D14" s="4" t="s">
        <v>539</v>
      </c>
      <c r="E14" s="4" t="s">
        <v>540</v>
      </c>
      <c r="F14" s="4" t="s">
        <v>391</v>
      </c>
      <c r="G14" s="4" t="s">
        <v>3729</v>
      </c>
      <c r="H14" s="4" t="s">
        <v>287</v>
      </c>
      <c r="I14" s="4" t="s">
        <v>384</v>
      </c>
      <c r="J14" s="3">
        <v>3</v>
      </c>
      <c r="K14" s="3"/>
      <c r="L14" s="3" t="str">
        <f t="shared" si="0"/>
        <v>ไม่ผ่าน</v>
      </c>
      <c r="M14" s="3" t="s">
        <v>28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8" customHeight="1">
      <c r="A15" s="3">
        <v>14</v>
      </c>
      <c r="B15" s="3">
        <v>6410633208</v>
      </c>
      <c r="C15" s="4" t="s">
        <v>22</v>
      </c>
      <c r="D15" s="4" t="s">
        <v>526</v>
      </c>
      <c r="E15" s="4" t="s">
        <v>527</v>
      </c>
      <c r="F15" s="4" t="s">
        <v>528</v>
      </c>
      <c r="G15" s="4" t="s">
        <v>3730</v>
      </c>
      <c r="H15" s="4" t="s">
        <v>287</v>
      </c>
      <c r="I15" s="4" t="s">
        <v>384</v>
      </c>
      <c r="J15" s="3">
        <v>3</v>
      </c>
      <c r="K15" s="3"/>
      <c r="L15" s="3" t="str">
        <f t="shared" si="0"/>
        <v>ไม่ผ่าน</v>
      </c>
      <c r="M15" s="3" t="s">
        <v>28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8" customHeight="1">
      <c r="A16" s="3">
        <v>15</v>
      </c>
      <c r="B16" s="3">
        <v>6510633107</v>
      </c>
      <c r="C16" s="4" t="s">
        <v>22</v>
      </c>
      <c r="D16" s="4" t="s">
        <v>435</v>
      </c>
      <c r="E16" s="4" t="s">
        <v>436</v>
      </c>
      <c r="F16" s="4" t="s">
        <v>418</v>
      </c>
      <c r="G16" s="4" t="s">
        <v>3731</v>
      </c>
      <c r="H16" s="4" t="s">
        <v>287</v>
      </c>
      <c r="I16" s="4" t="s">
        <v>384</v>
      </c>
      <c r="J16" s="3">
        <v>2</v>
      </c>
      <c r="K16" s="3"/>
      <c r="L16" s="3" t="str">
        <f t="shared" si="0"/>
        <v>ไม่ผ่าน</v>
      </c>
      <c r="M16" s="3" t="s">
        <v>28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8" customHeight="1">
      <c r="A17" s="3">
        <v>16</v>
      </c>
      <c r="B17" s="3">
        <v>6310633210</v>
      </c>
      <c r="C17" s="4" t="s">
        <v>22</v>
      </c>
      <c r="D17" s="4" t="s">
        <v>589</v>
      </c>
      <c r="E17" s="4" t="s">
        <v>590</v>
      </c>
      <c r="F17" s="4" t="s">
        <v>591</v>
      </c>
      <c r="G17" s="4" t="s">
        <v>3732</v>
      </c>
      <c r="H17" s="4" t="s">
        <v>287</v>
      </c>
      <c r="I17" s="4" t="s">
        <v>384</v>
      </c>
      <c r="J17" s="3">
        <v>4</v>
      </c>
      <c r="K17" s="3"/>
      <c r="L17" s="3" t="str">
        <f t="shared" si="0"/>
        <v>ไม่ผ่าน</v>
      </c>
      <c r="M17" s="3" t="s">
        <v>28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8" customHeight="1">
      <c r="A18" s="3">
        <v>17</v>
      </c>
      <c r="B18" s="3">
        <v>6310633122</v>
      </c>
      <c r="C18" s="4" t="s">
        <v>29</v>
      </c>
      <c r="D18" s="4" t="s">
        <v>557</v>
      </c>
      <c r="E18" s="4" t="s">
        <v>558</v>
      </c>
      <c r="F18" s="4" t="s">
        <v>559</v>
      </c>
      <c r="G18" s="4" t="s">
        <v>3732</v>
      </c>
      <c r="H18" s="4" t="s">
        <v>287</v>
      </c>
      <c r="I18" s="4" t="s">
        <v>384</v>
      </c>
      <c r="J18" s="3">
        <v>4</v>
      </c>
      <c r="K18" s="3"/>
      <c r="L18" s="3" t="str">
        <f t="shared" si="0"/>
        <v>ไม่ผ่าน</v>
      </c>
      <c r="M18" s="3" t="s">
        <v>28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8" customHeight="1">
      <c r="A19" s="3">
        <v>18</v>
      </c>
      <c r="B19" s="3">
        <v>6410048143</v>
      </c>
      <c r="C19" s="4" t="s">
        <v>22</v>
      </c>
      <c r="D19" s="4" t="s">
        <v>3733</v>
      </c>
      <c r="E19" s="4" t="s">
        <v>1547</v>
      </c>
      <c r="F19" s="4" t="s">
        <v>3734</v>
      </c>
      <c r="G19" s="4" t="s">
        <v>3735</v>
      </c>
      <c r="H19" s="4" t="s">
        <v>1334</v>
      </c>
      <c r="I19" s="4" t="s">
        <v>1515</v>
      </c>
      <c r="J19" s="3">
        <v>3</v>
      </c>
      <c r="K19" s="3"/>
      <c r="L19" s="3" t="str">
        <f t="shared" si="0"/>
        <v>ไม่ผ่าน</v>
      </c>
      <c r="M19" s="3" t="s">
        <v>28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8" customHeight="1">
      <c r="A20" s="3">
        <v>19</v>
      </c>
      <c r="B20" s="3">
        <v>6410633102</v>
      </c>
      <c r="C20" s="4" t="s">
        <v>22</v>
      </c>
      <c r="D20" s="4" t="s">
        <v>484</v>
      </c>
      <c r="E20" s="4" t="s">
        <v>485</v>
      </c>
      <c r="F20" s="4" t="s">
        <v>486</v>
      </c>
      <c r="G20" s="4" t="s">
        <v>3735</v>
      </c>
      <c r="H20" s="4" t="s">
        <v>287</v>
      </c>
      <c r="I20" s="4" t="s">
        <v>384</v>
      </c>
      <c r="J20" s="3">
        <v>3</v>
      </c>
      <c r="K20" s="3"/>
      <c r="L20" s="3" t="str">
        <f t="shared" si="0"/>
        <v>ไม่ผ่าน</v>
      </c>
      <c r="M20" s="3" t="s">
        <v>28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8" customHeight="1">
      <c r="A21" s="3">
        <v>20</v>
      </c>
      <c r="B21" s="3">
        <v>6410633119</v>
      </c>
      <c r="C21" s="4" t="s">
        <v>29</v>
      </c>
      <c r="D21" s="4" t="s">
        <v>295</v>
      </c>
      <c r="E21" s="4" t="s">
        <v>538</v>
      </c>
      <c r="F21" s="4" t="s">
        <v>38</v>
      </c>
      <c r="G21" s="4" t="s">
        <v>3735</v>
      </c>
      <c r="H21" s="4" t="s">
        <v>287</v>
      </c>
      <c r="I21" s="4" t="s">
        <v>384</v>
      </c>
      <c r="J21" s="3">
        <v>3</v>
      </c>
      <c r="K21" s="3"/>
      <c r="L21" s="3" t="str">
        <f t="shared" si="0"/>
        <v>ไม่ผ่าน</v>
      </c>
      <c r="M21" s="3" t="s">
        <v>28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8" customHeight="1">
      <c r="A22" s="3">
        <v>21</v>
      </c>
      <c r="B22" s="3">
        <v>6510633103</v>
      </c>
      <c r="C22" s="4" t="s">
        <v>22</v>
      </c>
      <c r="D22" s="4" t="s">
        <v>429</v>
      </c>
      <c r="E22" s="4" t="s">
        <v>430</v>
      </c>
      <c r="F22" s="4" t="s">
        <v>431</v>
      </c>
      <c r="G22" s="4" t="s">
        <v>3735</v>
      </c>
      <c r="H22" s="4" t="s">
        <v>287</v>
      </c>
      <c r="I22" s="4" t="s">
        <v>384</v>
      </c>
      <c r="J22" s="3">
        <v>2</v>
      </c>
      <c r="K22" s="3"/>
      <c r="L22" s="3" t="str">
        <f t="shared" si="0"/>
        <v>ไม่ผ่าน</v>
      </c>
      <c r="M22" s="3" t="s">
        <v>28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8" customHeight="1">
      <c r="A23" s="3">
        <v>22</v>
      </c>
      <c r="B23" s="3">
        <v>6510633108</v>
      </c>
      <c r="C23" s="4" t="s">
        <v>29</v>
      </c>
      <c r="D23" s="4" t="s">
        <v>437</v>
      </c>
      <c r="E23" s="4" t="s">
        <v>438</v>
      </c>
      <c r="F23" s="4" t="s">
        <v>179</v>
      </c>
      <c r="G23" s="4" t="s">
        <v>3735</v>
      </c>
      <c r="H23" s="4" t="s">
        <v>287</v>
      </c>
      <c r="I23" s="4" t="s">
        <v>384</v>
      </c>
      <c r="J23" s="3">
        <v>2</v>
      </c>
      <c r="K23" s="3"/>
      <c r="L23" s="3" t="str">
        <f t="shared" si="0"/>
        <v>ไม่ผ่าน</v>
      </c>
      <c r="M23" s="3" t="s">
        <v>28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8" customHeight="1">
      <c r="A24" s="3">
        <v>23</v>
      </c>
      <c r="B24" s="3">
        <v>6512732111</v>
      </c>
      <c r="C24" s="4" t="s">
        <v>22</v>
      </c>
      <c r="D24" s="4" t="s">
        <v>280</v>
      </c>
      <c r="E24" s="4" t="s">
        <v>1510</v>
      </c>
      <c r="F24" s="4" t="s">
        <v>1511</v>
      </c>
      <c r="G24" s="4" t="s">
        <v>3735</v>
      </c>
      <c r="H24" s="4" t="s">
        <v>1334</v>
      </c>
      <c r="I24" s="4" t="s">
        <v>1502</v>
      </c>
      <c r="J24" s="3">
        <v>2</v>
      </c>
      <c r="K24" s="3"/>
      <c r="L24" s="3" t="str">
        <f t="shared" si="0"/>
        <v>ไม่ผ่าน</v>
      </c>
      <c r="M24" s="3" t="s">
        <v>28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8" customHeight="1">
      <c r="A25" s="3">
        <v>24</v>
      </c>
      <c r="B25" s="3">
        <v>6510633205</v>
      </c>
      <c r="C25" s="4" t="s">
        <v>22</v>
      </c>
      <c r="D25" s="4" t="s">
        <v>463</v>
      </c>
      <c r="E25" s="4" t="s">
        <v>464</v>
      </c>
      <c r="F25" s="4" t="s">
        <v>465</v>
      </c>
      <c r="G25" s="4" t="s">
        <v>3735</v>
      </c>
      <c r="H25" s="4" t="s">
        <v>287</v>
      </c>
      <c r="I25" s="4" t="s">
        <v>384</v>
      </c>
      <c r="J25" s="3">
        <v>2</v>
      </c>
      <c r="K25" s="3"/>
      <c r="L25" s="3" t="str">
        <f t="shared" si="0"/>
        <v>ไม่ผ่าน</v>
      </c>
      <c r="M25" s="3" t="s">
        <v>28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8" customHeight="1">
      <c r="A26" s="3">
        <v>25</v>
      </c>
      <c r="B26" s="3">
        <v>6510633207</v>
      </c>
      <c r="C26" s="4" t="s">
        <v>22</v>
      </c>
      <c r="D26" s="4" t="s">
        <v>3736</v>
      </c>
      <c r="E26" s="4" t="s">
        <v>467</v>
      </c>
      <c r="F26" s="4" t="s">
        <v>680</v>
      </c>
      <c r="G26" s="4" t="s">
        <v>3735</v>
      </c>
      <c r="H26" s="4" t="s">
        <v>287</v>
      </c>
      <c r="I26" s="4" t="s">
        <v>384</v>
      </c>
      <c r="J26" s="3">
        <v>2</v>
      </c>
      <c r="K26" s="3"/>
      <c r="L26" s="3" t="str">
        <f t="shared" si="0"/>
        <v>ไม่ผ่าน</v>
      </c>
      <c r="M26" s="3" t="s">
        <v>28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8" customHeight="1">
      <c r="A27" s="8"/>
      <c r="B27" s="8"/>
      <c r="C27" s="7"/>
      <c r="D27" s="7"/>
      <c r="E27" s="7"/>
      <c r="F27" s="7"/>
      <c r="G27" s="7"/>
      <c r="H27" s="7"/>
      <c r="I27" s="92" t="s">
        <v>1711</v>
      </c>
      <c r="J27" s="110"/>
      <c r="K27" s="3">
        <f>COUNT(A2:A26)</f>
        <v>25</v>
      </c>
      <c r="L27" s="9" t="s">
        <v>1712</v>
      </c>
      <c r="M27" s="8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8" customHeight="1">
      <c r="A28" s="8"/>
      <c r="B28" s="8"/>
      <c r="C28" s="7"/>
      <c r="D28" s="7"/>
      <c r="E28" s="7"/>
      <c r="F28" s="7"/>
      <c r="G28" s="7"/>
      <c r="H28" s="7"/>
      <c r="I28" s="93" t="s">
        <v>1713</v>
      </c>
      <c r="J28" s="110"/>
      <c r="K28" s="3"/>
      <c r="L28" s="10" t="s">
        <v>1712</v>
      </c>
      <c r="M28" s="8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8" customHeight="1">
      <c r="A29" s="8"/>
      <c r="B29" s="8"/>
      <c r="C29" s="7"/>
      <c r="D29" s="7"/>
      <c r="E29" s="7"/>
      <c r="F29" s="7"/>
      <c r="G29" s="7"/>
      <c r="H29" s="7"/>
      <c r="I29" s="94" t="s">
        <v>1714</v>
      </c>
      <c r="J29" s="110"/>
      <c r="K29" s="3"/>
      <c r="L29" s="11" t="s">
        <v>1712</v>
      </c>
      <c r="M29" s="8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8" customHeight="1">
      <c r="A30" s="8"/>
      <c r="B30" s="8"/>
      <c r="C30" s="7"/>
      <c r="D30" s="7"/>
      <c r="E30" s="7"/>
      <c r="F30" s="7"/>
      <c r="G30" s="7"/>
      <c r="H30" s="7"/>
      <c r="I30" s="7"/>
      <c r="J30" s="8"/>
      <c r="K30" s="8"/>
      <c r="L30" s="8"/>
      <c r="M30" s="8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8" customHeight="1">
      <c r="A31" s="8"/>
      <c r="B31" s="8"/>
      <c r="C31" s="7"/>
      <c r="D31" s="7"/>
      <c r="E31" s="7"/>
      <c r="F31" s="7"/>
      <c r="G31" s="7"/>
      <c r="H31" s="7"/>
      <c r="I31" s="7"/>
      <c r="J31" s="8"/>
      <c r="K31" s="8"/>
      <c r="L31" s="8"/>
      <c r="M31" s="8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8" customHeight="1">
      <c r="A32" s="8"/>
      <c r="B32" s="8"/>
      <c r="C32" s="7"/>
      <c r="D32" s="7"/>
      <c r="E32" s="7"/>
      <c r="F32" s="7"/>
      <c r="G32" s="7"/>
      <c r="H32" s="7"/>
      <c r="I32" s="7"/>
      <c r="J32" s="8"/>
      <c r="K32" s="8"/>
      <c r="L32" s="8"/>
      <c r="M32" s="8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8" customHeight="1">
      <c r="A33" s="8"/>
      <c r="B33" s="8"/>
      <c r="C33" s="7"/>
      <c r="D33" s="7"/>
      <c r="E33" s="7"/>
      <c r="F33" s="7"/>
      <c r="G33" s="7"/>
      <c r="H33" s="7"/>
      <c r="I33" s="7"/>
      <c r="J33" s="8"/>
      <c r="K33" s="8"/>
      <c r="L33" s="8"/>
      <c r="M33" s="8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8" customHeight="1">
      <c r="A34" s="8"/>
      <c r="B34" s="8"/>
      <c r="C34" s="7"/>
      <c r="D34" s="7"/>
      <c r="E34" s="7"/>
      <c r="F34" s="7"/>
      <c r="G34" s="7"/>
      <c r="H34" s="7"/>
      <c r="I34" s="7"/>
      <c r="J34" s="8"/>
      <c r="K34" s="8"/>
      <c r="L34" s="8"/>
      <c r="M34" s="8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8" customHeight="1">
      <c r="A35" s="8"/>
      <c r="B35" s="8"/>
      <c r="C35" s="7"/>
      <c r="D35" s="7"/>
      <c r="E35" s="7"/>
      <c r="F35" s="7"/>
      <c r="G35" s="7"/>
      <c r="H35" s="7"/>
      <c r="I35" s="7"/>
      <c r="J35" s="8"/>
      <c r="K35" s="8"/>
      <c r="L35" s="8"/>
      <c r="M35" s="8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8" customHeight="1">
      <c r="A36" s="8"/>
      <c r="B36" s="8"/>
      <c r="C36" s="7"/>
      <c r="D36" s="7"/>
      <c r="E36" s="7"/>
      <c r="F36" s="7"/>
      <c r="G36" s="7"/>
      <c r="H36" s="7"/>
      <c r="I36" s="7"/>
      <c r="J36" s="8"/>
      <c r="K36" s="8"/>
      <c r="L36" s="8"/>
      <c r="M36" s="8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8" customHeight="1">
      <c r="A37" s="8"/>
      <c r="B37" s="8"/>
      <c r="C37" s="7"/>
      <c r="D37" s="7"/>
      <c r="E37" s="7"/>
      <c r="F37" s="7"/>
      <c r="G37" s="7"/>
      <c r="H37" s="7"/>
      <c r="I37" s="7"/>
      <c r="J37" s="8"/>
      <c r="K37" s="8"/>
      <c r="L37" s="8"/>
      <c r="M37" s="8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8" customHeight="1">
      <c r="A38" s="8"/>
      <c r="B38" s="8"/>
      <c r="C38" s="7"/>
      <c r="D38" s="7"/>
      <c r="E38" s="7"/>
      <c r="F38" s="7"/>
      <c r="G38" s="7"/>
      <c r="H38" s="7"/>
      <c r="I38" s="7"/>
      <c r="J38" s="8"/>
      <c r="K38" s="8"/>
      <c r="L38" s="8"/>
      <c r="M38" s="8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8" customHeight="1">
      <c r="A39" s="8"/>
      <c r="B39" s="8"/>
      <c r="C39" s="7"/>
      <c r="D39" s="7"/>
      <c r="E39" s="7"/>
      <c r="F39" s="7"/>
      <c r="G39" s="7"/>
      <c r="H39" s="7"/>
      <c r="I39" s="7"/>
      <c r="J39" s="8"/>
      <c r="K39" s="8"/>
      <c r="L39" s="8"/>
      <c r="M39" s="8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8" customHeight="1">
      <c r="A40" s="8"/>
      <c r="B40" s="8"/>
      <c r="C40" s="7"/>
      <c r="D40" s="7"/>
      <c r="E40" s="7"/>
      <c r="F40" s="7"/>
      <c r="G40" s="7"/>
      <c r="H40" s="7"/>
      <c r="I40" s="7"/>
      <c r="J40" s="8"/>
      <c r="K40" s="8"/>
      <c r="L40" s="8"/>
      <c r="M40" s="8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8" customHeight="1">
      <c r="A41" s="8"/>
      <c r="B41" s="8"/>
      <c r="C41" s="7"/>
      <c r="D41" s="7"/>
      <c r="E41" s="7"/>
      <c r="F41" s="7"/>
      <c r="G41" s="7"/>
      <c r="H41" s="7"/>
      <c r="I41" s="7"/>
      <c r="J41" s="8"/>
      <c r="K41" s="8"/>
      <c r="L41" s="8"/>
      <c r="M41" s="8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8" customHeight="1">
      <c r="A42" s="8"/>
      <c r="B42" s="8"/>
      <c r="C42" s="7"/>
      <c r="D42" s="7"/>
      <c r="E42" s="7"/>
      <c r="F42" s="7"/>
      <c r="G42" s="7"/>
      <c r="H42" s="7"/>
      <c r="I42" s="7"/>
      <c r="J42" s="8"/>
      <c r="K42" s="8"/>
      <c r="L42" s="8"/>
      <c r="M42" s="8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8" customHeight="1">
      <c r="A43" s="8"/>
      <c r="B43" s="8"/>
      <c r="C43" s="7"/>
      <c r="D43" s="7"/>
      <c r="E43" s="7"/>
      <c r="F43" s="7"/>
      <c r="G43" s="7"/>
      <c r="H43" s="7"/>
      <c r="I43" s="7"/>
      <c r="J43" s="8"/>
      <c r="K43" s="8"/>
      <c r="L43" s="8"/>
      <c r="M43" s="8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8" customHeight="1">
      <c r="A44" s="8"/>
      <c r="B44" s="8"/>
      <c r="C44" s="7"/>
      <c r="D44" s="7"/>
      <c r="E44" s="7"/>
      <c r="F44" s="7"/>
      <c r="G44" s="7"/>
      <c r="H44" s="7"/>
      <c r="I44" s="7"/>
      <c r="J44" s="8"/>
      <c r="K44" s="8"/>
      <c r="L44" s="8"/>
      <c r="M44" s="8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8" customHeight="1">
      <c r="A45" s="8"/>
      <c r="B45" s="8"/>
      <c r="C45" s="7"/>
      <c r="D45" s="7"/>
      <c r="E45" s="7"/>
      <c r="F45" s="7"/>
      <c r="G45" s="7"/>
      <c r="H45" s="7"/>
      <c r="I45" s="7"/>
      <c r="J45" s="8"/>
      <c r="K45" s="8"/>
      <c r="L45" s="8"/>
      <c r="M45" s="8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8" customHeight="1">
      <c r="A46" s="8"/>
      <c r="B46" s="8"/>
      <c r="C46" s="7"/>
      <c r="D46" s="7"/>
      <c r="E46" s="7"/>
      <c r="F46" s="7"/>
      <c r="G46" s="7"/>
      <c r="H46" s="7"/>
      <c r="I46" s="7"/>
      <c r="J46" s="8"/>
      <c r="K46" s="8"/>
      <c r="L46" s="8"/>
      <c r="M46" s="8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8" customHeight="1">
      <c r="A47" s="8"/>
      <c r="B47" s="8"/>
      <c r="C47" s="7"/>
      <c r="D47" s="7"/>
      <c r="E47" s="7"/>
      <c r="F47" s="7"/>
      <c r="G47" s="7"/>
      <c r="H47" s="7"/>
      <c r="I47" s="7"/>
      <c r="J47" s="8"/>
      <c r="K47" s="8"/>
      <c r="L47" s="8"/>
      <c r="M47" s="8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8" customHeight="1">
      <c r="A48" s="8"/>
      <c r="B48" s="8"/>
      <c r="C48" s="7"/>
      <c r="D48" s="7"/>
      <c r="E48" s="7"/>
      <c r="F48" s="7"/>
      <c r="G48" s="7"/>
      <c r="H48" s="7"/>
      <c r="I48" s="7"/>
      <c r="J48" s="8"/>
      <c r="K48" s="8"/>
      <c r="L48" s="8"/>
      <c r="M48" s="8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8" customHeight="1">
      <c r="A49" s="8"/>
      <c r="B49" s="8"/>
      <c r="C49" s="7"/>
      <c r="D49" s="7"/>
      <c r="E49" s="7"/>
      <c r="F49" s="7"/>
      <c r="G49" s="7"/>
      <c r="H49" s="7"/>
      <c r="I49" s="7"/>
      <c r="J49" s="8"/>
      <c r="K49" s="8"/>
      <c r="L49" s="8"/>
      <c r="M49" s="8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8" customHeight="1">
      <c r="A50" s="8"/>
      <c r="B50" s="8"/>
      <c r="C50" s="7"/>
      <c r="D50" s="7"/>
      <c r="E50" s="7"/>
      <c r="F50" s="7"/>
      <c r="G50" s="7"/>
      <c r="H50" s="7"/>
      <c r="I50" s="7"/>
      <c r="J50" s="8"/>
      <c r="K50" s="8"/>
      <c r="L50" s="8"/>
      <c r="M50" s="8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8" customHeight="1">
      <c r="A51" s="8"/>
      <c r="B51" s="8"/>
      <c r="C51" s="7"/>
      <c r="D51" s="7"/>
      <c r="E51" s="7"/>
      <c r="F51" s="7"/>
      <c r="G51" s="7"/>
      <c r="H51" s="7"/>
      <c r="I51" s="7"/>
      <c r="J51" s="8"/>
      <c r="K51" s="8"/>
      <c r="L51" s="8"/>
      <c r="M51" s="8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8" customHeight="1">
      <c r="A52" s="8"/>
      <c r="B52" s="8"/>
      <c r="C52" s="7"/>
      <c r="D52" s="7"/>
      <c r="E52" s="7"/>
      <c r="F52" s="7"/>
      <c r="G52" s="7"/>
      <c r="H52" s="7"/>
      <c r="I52" s="7"/>
      <c r="J52" s="8"/>
      <c r="K52" s="8"/>
      <c r="L52" s="8"/>
      <c r="M52" s="8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8" customHeight="1">
      <c r="A53" s="8"/>
      <c r="B53" s="8"/>
      <c r="C53" s="7"/>
      <c r="D53" s="7"/>
      <c r="E53" s="7"/>
      <c r="F53" s="7"/>
      <c r="G53" s="7"/>
      <c r="H53" s="7"/>
      <c r="I53" s="7"/>
      <c r="J53" s="8"/>
      <c r="K53" s="8"/>
      <c r="L53" s="8"/>
      <c r="M53" s="8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8" customHeight="1">
      <c r="A54" s="8"/>
      <c r="B54" s="8"/>
      <c r="C54" s="7"/>
      <c r="D54" s="7"/>
      <c r="E54" s="7"/>
      <c r="F54" s="7"/>
      <c r="G54" s="7"/>
      <c r="H54" s="7"/>
      <c r="I54" s="7"/>
      <c r="J54" s="8"/>
      <c r="K54" s="8"/>
      <c r="L54" s="8"/>
      <c r="M54" s="8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8" customHeight="1">
      <c r="A55" s="8"/>
      <c r="B55" s="8"/>
      <c r="C55" s="7"/>
      <c r="D55" s="7"/>
      <c r="E55" s="7"/>
      <c r="F55" s="7"/>
      <c r="G55" s="7"/>
      <c r="H55" s="7"/>
      <c r="I55" s="7"/>
      <c r="J55" s="8"/>
      <c r="K55" s="8"/>
      <c r="L55" s="8"/>
      <c r="M55" s="8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8" customHeight="1">
      <c r="A56" s="8"/>
      <c r="B56" s="8"/>
      <c r="C56" s="7"/>
      <c r="D56" s="7"/>
      <c r="E56" s="7"/>
      <c r="F56" s="7"/>
      <c r="G56" s="7"/>
      <c r="H56" s="7"/>
      <c r="I56" s="7"/>
      <c r="J56" s="8"/>
      <c r="K56" s="8"/>
      <c r="L56" s="8"/>
      <c r="M56" s="8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8" customHeight="1">
      <c r="A57" s="8"/>
      <c r="B57" s="8"/>
      <c r="C57" s="7"/>
      <c r="D57" s="7"/>
      <c r="E57" s="7"/>
      <c r="F57" s="7"/>
      <c r="G57" s="7"/>
      <c r="H57" s="7"/>
      <c r="I57" s="7"/>
      <c r="J57" s="8"/>
      <c r="K57" s="8"/>
      <c r="L57" s="8"/>
      <c r="M57" s="8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8" customHeight="1">
      <c r="A58" s="8"/>
      <c r="B58" s="8"/>
      <c r="C58" s="7"/>
      <c r="D58" s="7"/>
      <c r="E58" s="7"/>
      <c r="F58" s="7"/>
      <c r="G58" s="7"/>
      <c r="H58" s="7"/>
      <c r="I58" s="7"/>
      <c r="J58" s="8"/>
      <c r="K58" s="8"/>
      <c r="L58" s="8"/>
      <c r="M58" s="8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8" customHeight="1">
      <c r="A59" s="8"/>
      <c r="B59" s="8"/>
      <c r="C59" s="7"/>
      <c r="D59" s="7"/>
      <c r="E59" s="7"/>
      <c r="F59" s="7"/>
      <c r="G59" s="7"/>
      <c r="H59" s="7"/>
      <c r="I59" s="7"/>
      <c r="J59" s="8"/>
      <c r="K59" s="8"/>
      <c r="L59" s="8"/>
      <c r="M59" s="8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8" customHeight="1">
      <c r="A60" s="8"/>
      <c r="B60" s="8"/>
      <c r="C60" s="7"/>
      <c r="D60" s="7"/>
      <c r="E60" s="7"/>
      <c r="F60" s="7"/>
      <c r="G60" s="7"/>
      <c r="H60" s="7"/>
      <c r="I60" s="7"/>
      <c r="J60" s="8"/>
      <c r="K60" s="8"/>
      <c r="L60" s="8"/>
      <c r="M60" s="8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8" customHeight="1">
      <c r="A61" s="8"/>
      <c r="B61" s="8"/>
      <c r="C61" s="7"/>
      <c r="D61" s="7"/>
      <c r="E61" s="7"/>
      <c r="F61" s="7"/>
      <c r="G61" s="7"/>
      <c r="H61" s="7"/>
      <c r="I61" s="7"/>
      <c r="J61" s="8"/>
      <c r="K61" s="8"/>
      <c r="L61" s="8"/>
      <c r="M61" s="8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8" customHeight="1">
      <c r="A62" s="8"/>
      <c r="B62" s="8"/>
      <c r="C62" s="7"/>
      <c r="D62" s="7"/>
      <c r="E62" s="7"/>
      <c r="F62" s="7"/>
      <c r="G62" s="7"/>
      <c r="H62" s="7"/>
      <c r="I62" s="7"/>
      <c r="J62" s="8"/>
      <c r="K62" s="8"/>
      <c r="L62" s="8"/>
      <c r="M62" s="8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8" customHeight="1">
      <c r="A63" s="8"/>
      <c r="B63" s="8"/>
      <c r="C63" s="7"/>
      <c r="D63" s="7"/>
      <c r="E63" s="7"/>
      <c r="F63" s="7"/>
      <c r="G63" s="7"/>
      <c r="H63" s="7"/>
      <c r="I63" s="7"/>
      <c r="J63" s="8"/>
      <c r="K63" s="8"/>
      <c r="L63" s="8"/>
      <c r="M63" s="8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8" customHeight="1">
      <c r="A64" s="8"/>
      <c r="B64" s="8"/>
      <c r="C64" s="7"/>
      <c r="D64" s="7"/>
      <c r="E64" s="7"/>
      <c r="F64" s="7"/>
      <c r="G64" s="7"/>
      <c r="H64" s="7"/>
      <c r="I64" s="7"/>
      <c r="J64" s="8"/>
      <c r="K64" s="8"/>
      <c r="L64" s="8"/>
      <c r="M64" s="8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8" customHeight="1">
      <c r="A65" s="8"/>
      <c r="B65" s="8"/>
      <c r="C65" s="7"/>
      <c r="D65" s="7"/>
      <c r="E65" s="7"/>
      <c r="F65" s="7"/>
      <c r="G65" s="7"/>
      <c r="H65" s="7"/>
      <c r="I65" s="7"/>
      <c r="J65" s="8"/>
      <c r="K65" s="8"/>
      <c r="L65" s="8"/>
      <c r="M65" s="8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8" customHeight="1">
      <c r="A66" s="8"/>
      <c r="B66" s="8"/>
      <c r="C66" s="7"/>
      <c r="D66" s="7"/>
      <c r="E66" s="7"/>
      <c r="F66" s="7"/>
      <c r="G66" s="7"/>
      <c r="H66" s="7"/>
      <c r="I66" s="7"/>
      <c r="J66" s="8"/>
      <c r="K66" s="8"/>
      <c r="L66" s="8"/>
      <c r="M66" s="8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8" customHeight="1">
      <c r="A67" s="8"/>
      <c r="B67" s="8"/>
      <c r="C67" s="7"/>
      <c r="D67" s="7"/>
      <c r="E67" s="7"/>
      <c r="F67" s="7"/>
      <c r="G67" s="7"/>
      <c r="H67" s="7"/>
      <c r="I67" s="7"/>
      <c r="J67" s="8"/>
      <c r="K67" s="8"/>
      <c r="L67" s="8"/>
      <c r="M67" s="8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8" customHeight="1">
      <c r="A68" s="8"/>
      <c r="B68" s="8"/>
      <c r="C68" s="7"/>
      <c r="D68" s="7"/>
      <c r="E68" s="7"/>
      <c r="F68" s="7"/>
      <c r="G68" s="7"/>
      <c r="H68" s="7"/>
      <c r="I68" s="7"/>
      <c r="J68" s="8"/>
      <c r="K68" s="8"/>
      <c r="L68" s="8"/>
      <c r="M68" s="8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8" customHeight="1">
      <c r="A69" s="8"/>
      <c r="B69" s="8"/>
      <c r="C69" s="7"/>
      <c r="D69" s="7"/>
      <c r="E69" s="7"/>
      <c r="F69" s="7"/>
      <c r="G69" s="7"/>
      <c r="H69" s="7"/>
      <c r="I69" s="7"/>
      <c r="J69" s="8"/>
      <c r="K69" s="8"/>
      <c r="L69" s="8"/>
      <c r="M69" s="8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8" customHeight="1">
      <c r="A70" s="8"/>
      <c r="B70" s="8"/>
      <c r="C70" s="7"/>
      <c r="D70" s="7"/>
      <c r="E70" s="7"/>
      <c r="F70" s="7"/>
      <c r="G70" s="7"/>
      <c r="H70" s="7"/>
      <c r="I70" s="7"/>
      <c r="J70" s="8"/>
      <c r="K70" s="8"/>
      <c r="L70" s="8"/>
      <c r="M70" s="8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8" customHeight="1">
      <c r="A71" s="8"/>
      <c r="B71" s="8"/>
      <c r="C71" s="7"/>
      <c r="D71" s="7"/>
      <c r="E71" s="7"/>
      <c r="F71" s="7"/>
      <c r="G71" s="7"/>
      <c r="H71" s="7"/>
      <c r="I71" s="7"/>
      <c r="J71" s="8"/>
      <c r="K71" s="8"/>
      <c r="L71" s="8"/>
      <c r="M71" s="8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8" customHeight="1">
      <c r="A72" s="8"/>
      <c r="B72" s="8"/>
      <c r="C72" s="7"/>
      <c r="D72" s="7"/>
      <c r="E72" s="7"/>
      <c r="F72" s="7"/>
      <c r="G72" s="7"/>
      <c r="H72" s="7"/>
      <c r="I72" s="7"/>
      <c r="J72" s="8"/>
      <c r="K72" s="8"/>
      <c r="L72" s="8"/>
      <c r="M72" s="8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8" customHeight="1">
      <c r="A73" s="8"/>
      <c r="B73" s="8"/>
      <c r="C73" s="7"/>
      <c r="D73" s="7"/>
      <c r="E73" s="7"/>
      <c r="F73" s="7"/>
      <c r="G73" s="7"/>
      <c r="H73" s="7"/>
      <c r="I73" s="7"/>
      <c r="J73" s="8"/>
      <c r="K73" s="8"/>
      <c r="L73" s="8"/>
      <c r="M73" s="8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8" customHeight="1">
      <c r="A74" s="8"/>
      <c r="B74" s="8"/>
      <c r="C74" s="7"/>
      <c r="D74" s="7"/>
      <c r="E74" s="7"/>
      <c r="F74" s="7"/>
      <c r="G74" s="7"/>
      <c r="H74" s="7"/>
      <c r="I74" s="7"/>
      <c r="J74" s="8"/>
      <c r="K74" s="8"/>
      <c r="L74" s="8"/>
      <c r="M74" s="8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8" customHeight="1">
      <c r="A75" s="8"/>
      <c r="B75" s="8"/>
      <c r="C75" s="7"/>
      <c r="D75" s="7"/>
      <c r="E75" s="7"/>
      <c r="F75" s="7"/>
      <c r="G75" s="7"/>
      <c r="H75" s="7"/>
      <c r="I75" s="7"/>
      <c r="J75" s="8"/>
      <c r="K75" s="8"/>
      <c r="L75" s="8"/>
      <c r="M75" s="8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8" customHeight="1">
      <c r="A76" s="8"/>
      <c r="B76" s="8"/>
      <c r="C76" s="7"/>
      <c r="D76" s="7"/>
      <c r="E76" s="7"/>
      <c r="F76" s="7"/>
      <c r="G76" s="7"/>
      <c r="H76" s="7"/>
      <c r="I76" s="7"/>
      <c r="J76" s="8"/>
      <c r="K76" s="8"/>
      <c r="L76" s="8"/>
      <c r="M76" s="8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8" customHeight="1">
      <c r="A77" s="8"/>
      <c r="B77" s="8"/>
      <c r="C77" s="7"/>
      <c r="D77" s="7"/>
      <c r="E77" s="7"/>
      <c r="F77" s="7"/>
      <c r="G77" s="7"/>
      <c r="H77" s="7"/>
      <c r="I77" s="7"/>
      <c r="J77" s="8"/>
      <c r="K77" s="8"/>
      <c r="L77" s="8"/>
      <c r="M77" s="8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8" customHeight="1">
      <c r="A78" s="8"/>
      <c r="B78" s="8"/>
      <c r="C78" s="7"/>
      <c r="D78" s="7"/>
      <c r="E78" s="7"/>
      <c r="F78" s="7"/>
      <c r="G78" s="7"/>
      <c r="H78" s="7"/>
      <c r="I78" s="7"/>
      <c r="J78" s="8"/>
      <c r="K78" s="8"/>
      <c r="L78" s="8"/>
      <c r="M78" s="8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8" customHeight="1">
      <c r="A79" s="8"/>
      <c r="B79" s="8"/>
      <c r="C79" s="7"/>
      <c r="D79" s="7"/>
      <c r="E79" s="7"/>
      <c r="F79" s="7"/>
      <c r="G79" s="7"/>
      <c r="H79" s="7"/>
      <c r="I79" s="7"/>
      <c r="J79" s="8"/>
      <c r="K79" s="8"/>
      <c r="L79" s="8"/>
      <c r="M79" s="8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8" customHeight="1">
      <c r="A80" s="8"/>
      <c r="B80" s="8"/>
      <c r="C80" s="7"/>
      <c r="D80" s="7"/>
      <c r="E80" s="7"/>
      <c r="F80" s="7"/>
      <c r="G80" s="7"/>
      <c r="H80" s="7"/>
      <c r="I80" s="7"/>
      <c r="J80" s="8"/>
      <c r="K80" s="8"/>
      <c r="L80" s="8"/>
      <c r="M80" s="8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8" customHeight="1">
      <c r="A81" s="8"/>
      <c r="B81" s="8"/>
      <c r="C81" s="7"/>
      <c r="D81" s="7"/>
      <c r="E81" s="7"/>
      <c r="F81" s="7"/>
      <c r="G81" s="7"/>
      <c r="H81" s="7"/>
      <c r="I81" s="7"/>
      <c r="J81" s="8"/>
      <c r="K81" s="8"/>
      <c r="L81" s="8"/>
      <c r="M81" s="8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8" customHeight="1">
      <c r="A82" s="8"/>
      <c r="B82" s="8"/>
      <c r="C82" s="7"/>
      <c r="D82" s="7"/>
      <c r="E82" s="7"/>
      <c r="F82" s="7"/>
      <c r="G82" s="7"/>
      <c r="H82" s="7"/>
      <c r="I82" s="7"/>
      <c r="J82" s="8"/>
      <c r="K82" s="8"/>
      <c r="L82" s="8"/>
      <c r="M82" s="8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8" customHeight="1">
      <c r="A83" s="8"/>
      <c r="B83" s="8"/>
      <c r="C83" s="7"/>
      <c r="D83" s="7"/>
      <c r="E83" s="7"/>
      <c r="F83" s="7"/>
      <c r="G83" s="7"/>
      <c r="H83" s="7"/>
      <c r="I83" s="7"/>
      <c r="J83" s="8"/>
      <c r="K83" s="8"/>
      <c r="L83" s="8"/>
      <c r="M83" s="8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8" customHeight="1">
      <c r="A84" s="8"/>
      <c r="B84" s="8"/>
      <c r="C84" s="7"/>
      <c r="D84" s="7"/>
      <c r="E84" s="7"/>
      <c r="F84" s="7"/>
      <c r="G84" s="7"/>
      <c r="H84" s="7"/>
      <c r="I84" s="7"/>
      <c r="J84" s="8"/>
      <c r="K84" s="8"/>
      <c r="L84" s="8"/>
      <c r="M84" s="8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8" customHeight="1">
      <c r="A85" s="8"/>
      <c r="B85" s="8"/>
      <c r="C85" s="7"/>
      <c r="D85" s="7"/>
      <c r="E85" s="7"/>
      <c r="F85" s="7"/>
      <c r="G85" s="7"/>
      <c r="H85" s="7"/>
      <c r="I85" s="7"/>
      <c r="J85" s="8"/>
      <c r="K85" s="8"/>
      <c r="L85" s="8"/>
      <c r="M85" s="8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8" customHeight="1">
      <c r="A86" s="8"/>
      <c r="B86" s="8"/>
      <c r="C86" s="7"/>
      <c r="D86" s="7"/>
      <c r="E86" s="7"/>
      <c r="F86" s="7"/>
      <c r="G86" s="7"/>
      <c r="H86" s="7"/>
      <c r="I86" s="7"/>
      <c r="J86" s="8"/>
      <c r="K86" s="8"/>
      <c r="L86" s="8"/>
      <c r="M86" s="8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8" customHeight="1">
      <c r="A87" s="8"/>
      <c r="B87" s="8"/>
      <c r="C87" s="7"/>
      <c r="D87" s="7"/>
      <c r="E87" s="7"/>
      <c r="F87" s="7"/>
      <c r="G87" s="7"/>
      <c r="H87" s="7"/>
      <c r="I87" s="7"/>
      <c r="J87" s="8"/>
      <c r="K87" s="8"/>
      <c r="L87" s="8"/>
      <c r="M87" s="8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8" customHeight="1">
      <c r="A88" s="8"/>
      <c r="B88" s="8"/>
      <c r="C88" s="7"/>
      <c r="D88" s="7"/>
      <c r="E88" s="7"/>
      <c r="F88" s="7"/>
      <c r="G88" s="7"/>
      <c r="H88" s="7"/>
      <c r="I88" s="7"/>
      <c r="J88" s="8"/>
      <c r="K88" s="8"/>
      <c r="L88" s="8"/>
      <c r="M88" s="8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8" customHeight="1">
      <c r="A89" s="8"/>
      <c r="B89" s="8"/>
      <c r="C89" s="7"/>
      <c r="D89" s="7"/>
      <c r="E89" s="7"/>
      <c r="F89" s="7"/>
      <c r="G89" s="7"/>
      <c r="H89" s="7"/>
      <c r="I89" s="7"/>
      <c r="J89" s="8"/>
      <c r="K89" s="8"/>
      <c r="L89" s="8"/>
      <c r="M89" s="8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8" customHeight="1">
      <c r="A90" s="8"/>
      <c r="B90" s="8"/>
      <c r="C90" s="7"/>
      <c r="D90" s="7"/>
      <c r="E90" s="7"/>
      <c r="F90" s="7"/>
      <c r="G90" s="7"/>
      <c r="H90" s="7"/>
      <c r="I90" s="7"/>
      <c r="J90" s="8"/>
      <c r="K90" s="8"/>
      <c r="L90" s="8"/>
      <c r="M90" s="8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8" customHeight="1">
      <c r="A91" s="8"/>
      <c r="B91" s="8"/>
      <c r="C91" s="7"/>
      <c r="D91" s="7"/>
      <c r="E91" s="7"/>
      <c r="F91" s="7"/>
      <c r="G91" s="7"/>
      <c r="H91" s="7"/>
      <c r="I91" s="7"/>
      <c r="J91" s="8"/>
      <c r="K91" s="8"/>
      <c r="L91" s="25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8" customHeight="1">
      <c r="A92" s="8"/>
      <c r="B92" s="8"/>
      <c r="C92" s="7"/>
      <c r="D92" s="7"/>
      <c r="E92" s="7"/>
      <c r="F92" s="7"/>
      <c r="G92" s="7"/>
      <c r="H92" s="7"/>
      <c r="I92" s="7"/>
      <c r="J92" s="8"/>
      <c r="K92" s="8"/>
      <c r="L92" s="26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8" customHeight="1">
      <c r="A93" s="8"/>
      <c r="B93" s="8"/>
      <c r="C93" s="7"/>
      <c r="D93" s="7"/>
      <c r="E93" s="7"/>
      <c r="F93" s="7"/>
      <c r="G93" s="7"/>
      <c r="H93" s="7"/>
      <c r="I93" s="7"/>
      <c r="J93" s="8"/>
      <c r="K93" s="8"/>
      <c r="L93" s="2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8" customHeight="1">
      <c r="A94" s="8"/>
      <c r="B94" s="8"/>
      <c r="C94" s="7"/>
      <c r="D94" s="7"/>
      <c r="E94" s="7"/>
      <c r="F94" s="7"/>
      <c r="G94" s="7"/>
      <c r="H94" s="7"/>
      <c r="I94" s="7"/>
      <c r="J94" s="8"/>
      <c r="K94" s="8"/>
      <c r="L94" s="8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8" customHeight="1">
      <c r="A95" s="8"/>
      <c r="B95" s="8"/>
      <c r="C95" s="7"/>
      <c r="D95" s="7"/>
      <c r="E95" s="7"/>
      <c r="F95" s="7"/>
      <c r="G95" s="7"/>
      <c r="H95" s="7"/>
      <c r="I95" s="7"/>
      <c r="J95" s="8"/>
      <c r="K95" s="8"/>
      <c r="L95" s="8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8" customHeight="1">
      <c r="A96" s="8"/>
      <c r="B96" s="8"/>
      <c r="C96" s="7"/>
      <c r="D96" s="7"/>
      <c r="E96" s="7"/>
      <c r="F96" s="7"/>
      <c r="G96" s="7"/>
      <c r="H96" s="7"/>
      <c r="I96" s="7"/>
      <c r="J96" s="8"/>
      <c r="K96" s="8"/>
      <c r="L96" s="8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8" customHeight="1">
      <c r="A97" s="8"/>
      <c r="B97" s="8"/>
      <c r="C97" s="7"/>
      <c r="D97" s="7"/>
      <c r="E97" s="7"/>
      <c r="F97" s="7"/>
      <c r="G97" s="7"/>
      <c r="H97" s="7"/>
      <c r="I97" s="7"/>
      <c r="J97" s="8"/>
      <c r="K97" s="8"/>
      <c r="L97" s="8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8" customHeight="1">
      <c r="A98" s="8"/>
      <c r="B98" s="8"/>
      <c r="C98" s="7"/>
      <c r="D98" s="7"/>
      <c r="E98" s="7"/>
      <c r="F98" s="7"/>
      <c r="G98" s="7"/>
      <c r="H98" s="7"/>
      <c r="I98" s="7"/>
      <c r="J98" s="8"/>
      <c r="K98" s="8"/>
      <c r="L98" s="8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8" customHeight="1">
      <c r="A99" s="8"/>
      <c r="B99" s="8"/>
      <c r="C99" s="7"/>
      <c r="D99" s="7"/>
      <c r="E99" s="7"/>
      <c r="F99" s="7"/>
      <c r="G99" s="7"/>
      <c r="H99" s="7"/>
      <c r="I99" s="7"/>
      <c r="J99" s="8"/>
      <c r="K99" s="8"/>
      <c r="L99" s="8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8" customHeight="1">
      <c r="A100" s="8"/>
      <c r="B100" s="8"/>
      <c r="C100" s="7"/>
      <c r="D100" s="7"/>
      <c r="E100" s="7"/>
      <c r="F100" s="7"/>
      <c r="G100" s="7"/>
      <c r="H100" s="7"/>
      <c r="I100" s="7"/>
      <c r="J100" s="8"/>
      <c r="K100" s="8"/>
      <c r="L100" s="8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8" customHeight="1">
      <c r="A101" s="8"/>
      <c r="B101" s="8"/>
      <c r="C101" s="7"/>
      <c r="D101" s="7"/>
      <c r="E101" s="7"/>
      <c r="F101" s="7"/>
      <c r="G101" s="7"/>
      <c r="H101" s="7"/>
      <c r="I101" s="7"/>
      <c r="J101" s="8"/>
      <c r="K101" s="8"/>
      <c r="L101" s="8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8" customHeight="1">
      <c r="A102" s="8"/>
      <c r="B102" s="8"/>
      <c r="C102" s="7"/>
      <c r="D102" s="7"/>
      <c r="E102" s="7"/>
      <c r="F102" s="7"/>
      <c r="G102" s="7"/>
      <c r="H102" s="7"/>
      <c r="I102" s="7"/>
      <c r="J102" s="8"/>
      <c r="K102" s="8"/>
      <c r="L102" s="8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8" customHeight="1">
      <c r="A103" s="8"/>
      <c r="B103" s="8"/>
      <c r="C103" s="7"/>
      <c r="D103" s="7"/>
      <c r="E103" s="7"/>
      <c r="F103" s="7"/>
      <c r="G103" s="7"/>
      <c r="H103" s="7"/>
      <c r="I103" s="7"/>
      <c r="J103" s="8"/>
      <c r="K103" s="8"/>
      <c r="L103" s="8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8" customHeight="1">
      <c r="A104" s="8"/>
      <c r="B104" s="8"/>
      <c r="C104" s="7"/>
      <c r="D104" s="7"/>
      <c r="E104" s="7"/>
      <c r="F104" s="7"/>
      <c r="G104" s="7"/>
      <c r="H104" s="7"/>
      <c r="I104" s="7"/>
      <c r="J104" s="8"/>
      <c r="K104" s="8"/>
      <c r="L104" s="8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8" customHeight="1">
      <c r="A105" s="8"/>
      <c r="B105" s="8"/>
      <c r="C105" s="7"/>
      <c r="D105" s="7"/>
      <c r="E105" s="7"/>
      <c r="F105" s="7"/>
      <c r="G105" s="7"/>
      <c r="H105" s="7"/>
      <c r="I105" s="7"/>
      <c r="J105" s="8"/>
      <c r="K105" s="8"/>
      <c r="L105" s="8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8" customHeight="1">
      <c r="A106" s="8"/>
      <c r="B106" s="8"/>
      <c r="C106" s="7"/>
      <c r="D106" s="7"/>
      <c r="E106" s="7"/>
      <c r="F106" s="7"/>
      <c r="G106" s="7"/>
      <c r="H106" s="7"/>
      <c r="I106" s="7"/>
      <c r="J106" s="8"/>
      <c r="K106" s="8"/>
      <c r="L106" s="8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8" customHeight="1">
      <c r="A107" s="8"/>
      <c r="B107" s="8"/>
      <c r="C107" s="7"/>
      <c r="D107" s="7"/>
      <c r="E107" s="7"/>
      <c r="F107" s="7"/>
      <c r="G107" s="7"/>
      <c r="H107" s="7"/>
      <c r="I107" s="7"/>
      <c r="J107" s="8"/>
      <c r="K107" s="8"/>
      <c r="L107" s="8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8" customHeight="1">
      <c r="A108" s="8"/>
      <c r="B108" s="8"/>
      <c r="C108" s="7"/>
      <c r="D108" s="7"/>
      <c r="E108" s="7"/>
      <c r="F108" s="7"/>
      <c r="G108" s="7"/>
      <c r="H108" s="7"/>
      <c r="I108" s="7"/>
      <c r="J108" s="8"/>
      <c r="K108" s="8"/>
      <c r="L108" s="8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8" customHeight="1">
      <c r="A109" s="8"/>
      <c r="B109" s="8"/>
      <c r="C109" s="7"/>
      <c r="D109" s="7"/>
      <c r="E109" s="7"/>
      <c r="F109" s="7"/>
      <c r="G109" s="7"/>
      <c r="H109" s="7"/>
      <c r="I109" s="7"/>
      <c r="J109" s="8"/>
      <c r="K109" s="8"/>
      <c r="L109" s="8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8" customHeight="1">
      <c r="A110" s="8"/>
      <c r="B110" s="8"/>
      <c r="C110" s="7"/>
      <c r="D110" s="7"/>
      <c r="E110" s="7"/>
      <c r="F110" s="7"/>
      <c r="G110" s="7"/>
      <c r="H110" s="7"/>
      <c r="I110" s="7"/>
      <c r="J110" s="8"/>
      <c r="K110" s="8"/>
      <c r="L110" s="8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8" customHeight="1">
      <c r="A111" s="8"/>
      <c r="B111" s="8"/>
      <c r="C111" s="7"/>
      <c r="D111" s="7"/>
      <c r="E111" s="7"/>
      <c r="F111" s="7"/>
      <c r="G111" s="7"/>
      <c r="H111" s="7"/>
      <c r="I111" s="7"/>
      <c r="J111" s="8"/>
      <c r="K111" s="8"/>
      <c r="L111" s="8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8" customHeight="1">
      <c r="A112" s="8"/>
      <c r="B112" s="8"/>
      <c r="C112" s="7"/>
      <c r="D112" s="7"/>
      <c r="E112" s="7"/>
      <c r="F112" s="7"/>
      <c r="G112" s="7"/>
      <c r="H112" s="7"/>
      <c r="I112" s="7"/>
      <c r="J112" s="8"/>
      <c r="K112" s="8"/>
      <c r="L112" s="8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8" customHeight="1">
      <c r="A113" s="8"/>
      <c r="B113" s="8"/>
      <c r="C113" s="7"/>
      <c r="D113" s="7"/>
      <c r="E113" s="7"/>
      <c r="F113" s="7"/>
      <c r="G113" s="7"/>
      <c r="H113" s="7"/>
      <c r="I113" s="7"/>
      <c r="J113" s="8"/>
      <c r="K113" s="8"/>
      <c r="L113" s="8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8" customHeight="1">
      <c r="A114" s="8"/>
      <c r="B114" s="8"/>
      <c r="C114" s="7"/>
      <c r="D114" s="7"/>
      <c r="E114" s="7"/>
      <c r="F114" s="7"/>
      <c r="G114" s="7"/>
      <c r="H114" s="7"/>
      <c r="I114" s="7"/>
      <c r="J114" s="8"/>
      <c r="K114" s="8"/>
      <c r="L114" s="8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8" customHeight="1">
      <c r="A115" s="8"/>
      <c r="B115" s="8"/>
      <c r="C115" s="7"/>
      <c r="D115" s="7"/>
      <c r="E115" s="7"/>
      <c r="F115" s="7"/>
      <c r="G115" s="7"/>
      <c r="H115" s="7"/>
      <c r="I115" s="7"/>
      <c r="J115" s="8"/>
      <c r="K115" s="8"/>
      <c r="L115" s="8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8" customHeight="1">
      <c r="A116" s="8"/>
      <c r="B116" s="8"/>
      <c r="C116" s="7"/>
      <c r="D116" s="7"/>
      <c r="E116" s="7"/>
      <c r="F116" s="7"/>
      <c r="G116" s="7"/>
      <c r="H116" s="7"/>
      <c r="I116" s="7"/>
      <c r="J116" s="8"/>
      <c r="K116" s="8"/>
      <c r="L116" s="8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8" customHeight="1">
      <c r="A117" s="8"/>
      <c r="B117" s="8"/>
      <c r="C117" s="7"/>
      <c r="D117" s="7"/>
      <c r="E117" s="7"/>
      <c r="F117" s="7"/>
      <c r="G117" s="7"/>
      <c r="H117" s="7"/>
      <c r="I117" s="7"/>
      <c r="J117" s="8"/>
      <c r="K117" s="8"/>
      <c r="L117" s="8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8" customHeight="1">
      <c r="A118" s="8"/>
      <c r="B118" s="8"/>
      <c r="C118" s="7"/>
      <c r="D118" s="7"/>
      <c r="E118" s="7"/>
      <c r="F118" s="7"/>
      <c r="G118" s="7"/>
      <c r="H118" s="7"/>
      <c r="I118" s="7"/>
      <c r="J118" s="8"/>
      <c r="K118" s="8"/>
      <c r="L118" s="8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8" customHeight="1">
      <c r="A119" s="8"/>
      <c r="B119" s="8"/>
      <c r="C119" s="7"/>
      <c r="D119" s="7"/>
      <c r="E119" s="7"/>
      <c r="F119" s="7"/>
      <c r="G119" s="7"/>
      <c r="H119" s="7"/>
      <c r="I119" s="7"/>
      <c r="J119" s="8"/>
      <c r="K119" s="8"/>
      <c r="L119" s="8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8" customHeight="1">
      <c r="A120" s="8"/>
      <c r="B120" s="8"/>
      <c r="C120" s="7"/>
      <c r="D120" s="7"/>
      <c r="E120" s="7"/>
      <c r="F120" s="7"/>
      <c r="G120" s="7"/>
      <c r="H120" s="7"/>
      <c r="I120" s="7"/>
      <c r="J120" s="8"/>
      <c r="K120" s="8"/>
      <c r="L120" s="8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8" customHeight="1">
      <c r="A121" s="8"/>
      <c r="B121" s="8"/>
      <c r="C121" s="7"/>
      <c r="D121" s="7"/>
      <c r="E121" s="7"/>
      <c r="F121" s="7"/>
      <c r="G121" s="7"/>
      <c r="H121" s="7"/>
      <c r="I121" s="7"/>
      <c r="J121" s="8"/>
      <c r="K121" s="8"/>
      <c r="L121" s="8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8" customHeight="1">
      <c r="A122" s="8"/>
      <c r="B122" s="8"/>
      <c r="C122" s="7"/>
      <c r="D122" s="7"/>
      <c r="E122" s="7"/>
      <c r="F122" s="7"/>
      <c r="G122" s="7"/>
      <c r="H122" s="7"/>
      <c r="I122" s="7"/>
      <c r="J122" s="8"/>
      <c r="K122" s="8"/>
      <c r="L122" s="8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8" customHeight="1">
      <c r="A123" s="8"/>
      <c r="B123" s="8"/>
      <c r="C123" s="7"/>
      <c r="D123" s="7"/>
      <c r="E123" s="7"/>
      <c r="F123" s="7"/>
      <c r="G123" s="7"/>
      <c r="H123" s="7"/>
      <c r="I123" s="7"/>
      <c r="J123" s="8"/>
      <c r="K123" s="8"/>
      <c r="L123" s="8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8" customHeight="1">
      <c r="A124" s="8"/>
      <c r="B124" s="8"/>
      <c r="C124" s="7"/>
      <c r="D124" s="7"/>
      <c r="E124" s="7"/>
      <c r="F124" s="7"/>
      <c r="G124" s="7"/>
      <c r="H124" s="7"/>
      <c r="I124" s="7"/>
      <c r="J124" s="8"/>
      <c r="K124" s="8"/>
      <c r="L124" s="8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8" customHeight="1">
      <c r="A125" s="8"/>
      <c r="B125" s="8"/>
      <c r="C125" s="7"/>
      <c r="D125" s="7"/>
      <c r="E125" s="7"/>
      <c r="F125" s="7"/>
      <c r="G125" s="7"/>
      <c r="H125" s="7"/>
      <c r="I125" s="7"/>
      <c r="J125" s="8"/>
      <c r="K125" s="8"/>
      <c r="L125" s="8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8" customHeight="1">
      <c r="A126" s="8"/>
      <c r="B126" s="8"/>
      <c r="C126" s="7"/>
      <c r="D126" s="7"/>
      <c r="E126" s="7"/>
      <c r="F126" s="7"/>
      <c r="G126" s="7"/>
      <c r="H126" s="7"/>
      <c r="I126" s="7"/>
      <c r="J126" s="8"/>
      <c r="K126" s="8"/>
      <c r="L126" s="8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8" customHeight="1">
      <c r="A127" s="8"/>
      <c r="B127" s="8"/>
      <c r="C127" s="7"/>
      <c r="D127" s="7"/>
      <c r="E127" s="7"/>
      <c r="F127" s="7"/>
      <c r="G127" s="7"/>
      <c r="H127" s="7"/>
      <c r="I127" s="7"/>
      <c r="J127" s="8"/>
      <c r="K127" s="8"/>
      <c r="L127" s="8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8" customHeight="1">
      <c r="A128" s="8"/>
      <c r="B128" s="8"/>
      <c r="C128" s="7"/>
      <c r="D128" s="7"/>
      <c r="E128" s="7"/>
      <c r="F128" s="7"/>
      <c r="G128" s="7"/>
      <c r="H128" s="7"/>
      <c r="I128" s="7"/>
      <c r="J128" s="8"/>
      <c r="K128" s="8"/>
      <c r="L128" s="8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8" customHeight="1">
      <c r="A129" s="8"/>
      <c r="B129" s="8"/>
      <c r="C129" s="7"/>
      <c r="D129" s="7"/>
      <c r="E129" s="7"/>
      <c r="F129" s="7"/>
      <c r="G129" s="7"/>
      <c r="H129" s="7"/>
      <c r="I129" s="7"/>
      <c r="J129" s="8"/>
      <c r="K129" s="8"/>
      <c r="L129" s="8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8" customHeight="1">
      <c r="A130" s="8"/>
      <c r="B130" s="8"/>
      <c r="C130" s="7"/>
      <c r="D130" s="7"/>
      <c r="E130" s="7"/>
      <c r="F130" s="7"/>
      <c r="G130" s="7"/>
      <c r="H130" s="7"/>
      <c r="I130" s="7"/>
      <c r="J130" s="8"/>
      <c r="K130" s="8"/>
      <c r="L130" s="8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8" customHeight="1">
      <c r="A131" s="8"/>
      <c r="B131" s="8"/>
      <c r="C131" s="7"/>
      <c r="D131" s="7"/>
      <c r="E131" s="7"/>
      <c r="F131" s="7"/>
      <c r="G131" s="7"/>
      <c r="H131" s="7"/>
      <c r="I131" s="7"/>
      <c r="J131" s="8"/>
      <c r="K131" s="8"/>
      <c r="L131" s="8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8" customHeight="1">
      <c r="A132" s="8"/>
      <c r="B132" s="8"/>
      <c r="C132" s="7"/>
      <c r="D132" s="7"/>
      <c r="E132" s="7"/>
      <c r="F132" s="7"/>
      <c r="G132" s="7"/>
      <c r="H132" s="7"/>
      <c r="I132" s="7"/>
      <c r="J132" s="8"/>
      <c r="K132" s="8"/>
      <c r="L132" s="8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8" customHeight="1">
      <c r="A133" s="8"/>
      <c r="B133" s="8"/>
      <c r="C133" s="7"/>
      <c r="D133" s="7"/>
      <c r="E133" s="7"/>
      <c r="F133" s="7"/>
      <c r="G133" s="7"/>
      <c r="H133" s="7"/>
      <c r="I133" s="7"/>
      <c r="J133" s="8"/>
      <c r="K133" s="8"/>
      <c r="L133" s="8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8" customHeight="1">
      <c r="A134" s="8"/>
      <c r="B134" s="8"/>
      <c r="C134" s="7"/>
      <c r="D134" s="7"/>
      <c r="E134" s="7"/>
      <c r="F134" s="7"/>
      <c r="G134" s="7"/>
      <c r="H134" s="7"/>
      <c r="I134" s="7"/>
      <c r="J134" s="8"/>
      <c r="K134" s="8"/>
      <c r="L134" s="8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8" customHeight="1">
      <c r="A135" s="8"/>
      <c r="B135" s="8"/>
      <c r="C135" s="7"/>
      <c r="D135" s="7"/>
      <c r="E135" s="7"/>
      <c r="F135" s="7"/>
      <c r="G135" s="7"/>
      <c r="H135" s="7"/>
      <c r="I135" s="7"/>
      <c r="J135" s="8"/>
      <c r="K135" s="8"/>
      <c r="L135" s="8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8" customHeight="1">
      <c r="A136" s="8"/>
      <c r="B136" s="8"/>
      <c r="C136" s="7"/>
      <c r="D136" s="7"/>
      <c r="E136" s="7"/>
      <c r="F136" s="7"/>
      <c r="G136" s="7"/>
      <c r="H136" s="7"/>
      <c r="I136" s="7"/>
      <c r="J136" s="8"/>
      <c r="K136" s="8"/>
      <c r="L136" s="8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8" customHeight="1">
      <c r="A137" s="8"/>
      <c r="B137" s="8"/>
      <c r="C137" s="7"/>
      <c r="D137" s="7"/>
      <c r="E137" s="7"/>
      <c r="F137" s="7"/>
      <c r="G137" s="7"/>
      <c r="H137" s="7"/>
      <c r="I137" s="7"/>
      <c r="J137" s="8"/>
      <c r="K137" s="8"/>
      <c r="L137" s="8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8" customHeight="1">
      <c r="A138" s="8"/>
      <c r="B138" s="8"/>
      <c r="C138" s="7"/>
      <c r="D138" s="7"/>
      <c r="E138" s="7"/>
      <c r="F138" s="7"/>
      <c r="G138" s="7"/>
      <c r="H138" s="7"/>
      <c r="I138" s="7"/>
      <c r="J138" s="8"/>
      <c r="K138" s="8"/>
      <c r="L138" s="8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8" customHeight="1">
      <c r="A139" s="8"/>
      <c r="B139" s="8"/>
      <c r="C139" s="7"/>
      <c r="D139" s="7"/>
      <c r="E139" s="7"/>
      <c r="F139" s="7"/>
      <c r="G139" s="7"/>
      <c r="H139" s="7"/>
      <c r="I139" s="7"/>
      <c r="J139" s="8"/>
      <c r="K139" s="8"/>
      <c r="L139" s="8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8" customHeight="1">
      <c r="A140" s="8"/>
      <c r="B140" s="8"/>
      <c r="C140" s="7"/>
      <c r="D140" s="7"/>
      <c r="E140" s="7"/>
      <c r="F140" s="7"/>
      <c r="G140" s="7"/>
      <c r="H140" s="7"/>
      <c r="I140" s="7"/>
      <c r="J140" s="8"/>
      <c r="K140" s="8"/>
      <c r="L140" s="8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8" customHeight="1">
      <c r="A141" s="8"/>
      <c r="B141" s="8"/>
      <c r="C141" s="7"/>
      <c r="D141" s="7"/>
      <c r="E141" s="7"/>
      <c r="F141" s="7"/>
      <c r="G141" s="7"/>
      <c r="H141" s="7"/>
      <c r="I141" s="7"/>
      <c r="J141" s="8"/>
      <c r="K141" s="8"/>
      <c r="L141" s="8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8" customHeight="1">
      <c r="A142" s="8"/>
      <c r="B142" s="8"/>
      <c r="C142" s="7"/>
      <c r="D142" s="7"/>
      <c r="E142" s="7"/>
      <c r="F142" s="7"/>
      <c r="G142" s="7"/>
      <c r="H142" s="7"/>
      <c r="I142" s="7"/>
      <c r="J142" s="8"/>
      <c r="K142" s="8"/>
      <c r="L142" s="8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8" customHeight="1">
      <c r="A143" s="8"/>
      <c r="B143" s="8"/>
      <c r="C143" s="7"/>
      <c r="D143" s="7"/>
      <c r="E143" s="7"/>
      <c r="F143" s="7"/>
      <c r="G143" s="7"/>
      <c r="H143" s="7"/>
      <c r="I143" s="7"/>
      <c r="J143" s="8"/>
      <c r="K143" s="8"/>
      <c r="L143" s="8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8" customHeight="1">
      <c r="A144" s="8"/>
      <c r="B144" s="8"/>
      <c r="C144" s="7"/>
      <c r="D144" s="7"/>
      <c r="E144" s="7"/>
      <c r="F144" s="7"/>
      <c r="G144" s="7"/>
      <c r="H144" s="7"/>
      <c r="I144" s="7"/>
      <c r="J144" s="8"/>
      <c r="K144" s="8"/>
      <c r="L144" s="8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8" customHeight="1">
      <c r="A145" s="8"/>
      <c r="B145" s="8"/>
      <c r="C145" s="7"/>
      <c r="D145" s="7"/>
      <c r="E145" s="7"/>
      <c r="F145" s="7"/>
      <c r="G145" s="7"/>
      <c r="H145" s="7"/>
      <c r="I145" s="7"/>
      <c r="J145" s="8"/>
      <c r="K145" s="8"/>
      <c r="L145" s="8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8" customHeight="1">
      <c r="A146" s="8"/>
      <c r="B146" s="8"/>
      <c r="C146" s="7"/>
      <c r="D146" s="7"/>
      <c r="E146" s="7"/>
      <c r="F146" s="7"/>
      <c r="G146" s="7"/>
      <c r="H146" s="7"/>
      <c r="I146" s="7"/>
      <c r="J146" s="8"/>
      <c r="K146" s="8"/>
      <c r="L146" s="8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8" customHeight="1">
      <c r="A147" s="8"/>
      <c r="B147" s="8"/>
      <c r="C147" s="7"/>
      <c r="D147" s="7"/>
      <c r="E147" s="7"/>
      <c r="F147" s="7"/>
      <c r="G147" s="7"/>
      <c r="H147" s="7"/>
      <c r="I147" s="7"/>
      <c r="J147" s="8"/>
      <c r="K147" s="8"/>
      <c r="L147" s="8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8" customHeight="1">
      <c r="A148" s="8"/>
      <c r="B148" s="8"/>
      <c r="C148" s="7"/>
      <c r="D148" s="7"/>
      <c r="E148" s="7"/>
      <c r="F148" s="7"/>
      <c r="G148" s="7"/>
      <c r="H148" s="7"/>
      <c r="I148" s="7"/>
      <c r="J148" s="8"/>
      <c r="K148" s="8"/>
      <c r="L148" s="8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8" customHeight="1">
      <c r="A149" s="8"/>
      <c r="B149" s="8"/>
      <c r="C149" s="7"/>
      <c r="D149" s="7"/>
      <c r="E149" s="7"/>
      <c r="F149" s="7"/>
      <c r="G149" s="7"/>
      <c r="H149" s="7"/>
      <c r="I149" s="7"/>
      <c r="J149" s="8"/>
      <c r="K149" s="8"/>
      <c r="L149" s="8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8" customHeight="1">
      <c r="A150" s="8"/>
      <c r="B150" s="8"/>
      <c r="C150" s="7"/>
      <c r="D150" s="7"/>
      <c r="E150" s="7"/>
      <c r="F150" s="7"/>
      <c r="G150" s="7"/>
      <c r="H150" s="7"/>
      <c r="I150" s="7"/>
      <c r="J150" s="8"/>
      <c r="K150" s="8"/>
      <c r="L150" s="8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8" customHeight="1">
      <c r="A151" s="8"/>
      <c r="B151" s="8"/>
      <c r="C151" s="7"/>
      <c r="D151" s="7"/>
      <c r="E151" s="7"/>
      <c r="F151" s="7"/>
      <c r="G151" s="7"/>
      <c r="H151" s="7"/>
      <c r="I151" s="7"/>
      <c r="J151" s="8"/>
      <c r="K151" s="8"/>
      <c r="L151" s="8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8" customHeight="1">
      <c r="A152" s="8"/>
      <c r="B152" s="8"/>
      <c r="C152" s="7"/>
      <c r="D152" s="7"/>
      <c r="E152" s="7"/>
      <c r="F152" s="7"/>
      <c r="G152" s="7"/>
      <c r="H152" s="7"/>
      <c r="I152" s="7"/>
      <c r="J152" s="8"/>
      <c r="K152" s="8"/>
      <c r="L152" s="8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8" customHeight="1">
      <c r="A153" s="8"/>
      <c r="B153" s="8"/>
      <c r="C153" s="7"/>
      <c r="D153" s="7"/>
      <c r="E153" s="7"/>
      <c r="F153" s="7"/>
      <c r="G153" s="7"/>
      <c r="H153" s="7"/>
      <c r="I153" s="7"/>
      <c r="J153" s="8"/>
      <c r="K153" s="8"/>
      <c r="L153" s="8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8" customHeight="1">
      <c r="A154" s="8"/>
      <c r="B154" s="8"/>
      <c r="C154" s="7"/>
      <c r="D154" s="7"/>
      <c r="E154" s="7"/>
      <c r="F154" s="7"/>
      <c r="G154" s="7"/>
      <c r="H154" s="7"/>
      <c r="I154" s="7"/>
      <c r="J154" s="8"/>
      <c r="K154" s="8"/>
      <c r="L154" s="8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8" customHeight="1">
      <c r="A155" s="8"/>
      <c r="B155" s="8"/>
      <c r="C155" s="7"/>
      <c r="D155" s="7"/>
      <c r="E155" s="7"/>
      <c r="F155" s="7"/>
      <c r="G155" s="7"/>
      <c r="H155" s="7"/>
      <c r="I155" s="7"/>
      <c r="J155" s="8"/>
      <c r="K155" s="8"/>
      <c r="L155" s="8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8" customHeight="1">
      <c r="A156" s="8"/>
      <c r="B156" s="8"/>
      <c r="C156" s="7"/>
      <c r="D156" s="7"/>
      <c r="E156" s="7"/>
      <c r="F156" s="7"/>
      <c r="G156" s="7"/>
      <c r="H156" s="7"/>
      <c r="I156" s="7"/>
      <c r="J156" s="8"/>
      <c r="K156" s="8"/>
      <c r="L156" s="8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8" customHeight="1">
      <c r="A157" s="8"/>
      <c r="B157" s="8"/>
      <c r="C157" s="7"/>
      <c r="D157" s="7"/>
      <c r="E157" s="7"/>
      <c r="F157" s="7"/>
      <c r="G157" s="7"/>
      <c r="H157" s="7"/>
      <c r="I157" s="7"/>
      <c r="J157" s="8"/>
      <c r="K157" s="8"/>
      <c r="L157" s="8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8" customHeight="1">
      <c r="A158" s="8"/>
      <c r="B158" s="8"/>
      <c r="C158" s="7"/>
      <c r="D158" s="7"/>
      <c r="E158" s="7"/>
      <c r="F158" s="7"/>
      <c r="G158" s="7"/>
      <c r="H158" s="7"/>
      <c r="I158" s="7"/>
      <c r="J158" s="8"/>
      <c r="K158" s="8"/>
      <c r="L158" s="8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8" customHeight="1">
      <c r="A159" s="8"/>
      <c r="B159" s="8"/>
      <c r="C159" s="7"/>
      <c r="D159" s="7"/>
      <c r="E159" s="7"/>
      <c r="F159" s="7"/>
      <c r="G159" s="7"/>
      <c r="H159" s="7"/>
      <c r="I159" s="7"/>
      <c r="J159" s="8"/>
      <c r="K159" s="8"/>
      <c r="L159" s="8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8" customHeight="1">
      <c r="A160" s="8"/>
      <c r="B160" s="8"/>
      <c r="C160" s="7"/>
      <c r="D160" s="7"/>
      <c r="E160" s="7"/>
      <c r="F160" s="7"/>
      <c r="G160" s="7"/>
      <c r="H160" s="7"/>
      <c r="I160" s="7"/>
      <c r="J160" s="8"/>
      <c r="K160" s="8"/>
      <c r="L160" s="8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8" customHeight="1">
      <c r="A161" s="8"/>
      <c r="B161" s="8"/>
      <c r="C161" s="7"/>
      <c r="D161" s="7"/>
      <c r="E161" s="7"/>
      <c r="F161" s="7"/>
      <c r="G161" s="7"/>
      <c r="H161" s="7"/>
      <c r="I161" s="7"/>
      <c r="J161" s="8"/>
      <c r="K161" s="8"/>
      <c r="L161" s="8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8" customHeight="1">
      <c r="A162" s="8"/>
      <c r="B162" s="8"/>
      <c r="C162" s="7"/>
      <c r="D162" s="7"/>
      <c r="E162" s="7"/>
      <c r="F162" s="7"/>
      <c r="G162" s="7"/>
      <c r="H162" s="7"/>
      <c r="I162" s="7"/>
      <c r="J162" s="8"/>
      <c r="K162" s="8"/>
      <c r="L162" s="8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8" customHeight="1">
      <c r="A163" s="8"/>
      <c r="B163" s="8"/>
      <c r="C163" s="7"/>
      <c r="D163" s="7"/>
      <c r="E163" s="7"/>
      <c r="F163" s="7"/>
      <c r="G163" s="7"/>
      <c r="H163" s="7"/>
      <c r="I163" s="7"/>
      <c r="J163" s="8"/>
      <c r="K163" s="8"/>
      <c r="L163" s="8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8" customHeight="1">
      <c r="A164" s="8"/>
      <c r="B164" s="8"/>
      <c r="C164" s="7"/>
      <c r="D164" s="7"/>
      <c r="E164" s="7"/>
      <c r="F164" s="7"/>
      <c r="G164" s="7"/>
      <c r="H164" s="7"/>
      <c r="I164" s="7"/>
      <c r="J164" s="8"/>
      <c r="K164" s="8"/>
      <c r="L164" s="8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8" customHeight="1">
      <c r="A165" s="8"/>
      <c r="B165" s="8"/>
      <c r="C165" s="7"/>
      <c r="D165" s="7"/>
      <c r="E165" s="7"/>
      <c r="F165" s="7"/>
      <c r="G165" s="7"/>
      <c r="H165" s="7"/>
      <c r="I165" s="7"/>
      <c r="J165" s="8"/>
      <c r="K165" s="8"/>
      <c r="L165" s="8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8" customHeight="1">
      <c r="A166" s="8"/>
      <c r="B166" s="8"/>
      <c r="C166" s="7"/>
      <c r="D166" s="7"/>
      <c r="E166" s="7"/>
      <c r="F166" s="7"/>
      <c r="G166" s="7"/>
      <c r="H166" s="7"/>
      <c r="I166" s="7"/>
      <c r="J166" s="8"/>
      <c r="K166" s="8"/>
      <c r="L166" s="8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8" customHeight="1">
      <c r="A167" s="8"/>
      <c r="B167" s="8"/>
      <c r="C167" s="7"/>
      <c r="D167" s="7"/>
      <c r="E167" s="7"/>
      <c r="F167" s="7"/>
      <c r="G167" s="7"/>
      <c r="H167" s="7"/>
      <c r="I167" s="7"/>
      <c r="J167" s="8"/>
      <c r="K167" s="8"/>
      <c r="L167" s="8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8" customHeight="1">
      <c r="A168" s="8"/>
      <c r="B168" s="8"/>
      <c r="C168" s="7"/>
      <c r="D168" s="7"/>
      <c r="E168" s="7"/>
      <c r="F168" s="7"/>
      <c r="G168" s="7"/>
      <c r="H168" s="7"/>
      <c r="I168" s="7"/>
      <c r="J168" s="8"/>
      <c r="K168" s="8"/>
      <c r="L168" s="8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8" customHeight="1">
      <c r="A169" s="8"/>
      <c r="B169" s="8"/>
      <c r="C169" s="7"/>
      <c r="D169" s="7"/>
      <c r="E169" s="7"/>
      <c r="F169" s="7"/>
      <c r="G169" s="7"/>
      <c r="H169" s="7"/>
      <c r="I169" s="7"/>
      <c r="J169" s="8"/>
      <c r="K169" s="8"/>
      <c r="L169" s="8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8" customHeight="1">
      <c r="A170" s="8"/>
      <c r="B170" s="8"/>
      <c r="C170" s="7"/>
      <c r="D170" s="7"/>
      <c r="E170" s="7"/>
      <c r="F170" s="7"/>
      <c r="G170" s="7"/>
      <c r="H170" s="7"/>
      <c r="I170" s="7"/>
      <c r="J170" s="8"/>
      <c r="K170" s="8"/>
      <c r="L170" s="8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8" customHeight="1">
      <c r="A171" s="8"/>
      <c r="B171" s="8"/>
      <c r="C171" s="7"/>
      <c r="D171" s="7"/>
      <c r="E171" s="7"/>
      <c r="F171" s="7"/>
      <c r="G171" s="7"/>
      <c r="H171" s="7"/>
      <c r="I171" s="7"/>
      <c r="J171" s="8"/>
      <c r="K171" s="8"/>
      <c r="L171" s="8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8" customHeight="1">
      <c r="A172" s="8"/>
      <c r="B172" s="8"/>
      <c r="C172" s="7"/>
      <c r="D172" s="7"/>
      <c r="E172" s="7"/>
      <c r="F172" s="7"/>
      <c r="G172" s="7"/>
      <c r="H172" s="7"/>
      <c r="I172" s="7"/>
      <c r="J172" s="8"/>
      <c r="K172" s="8"/>
      <c r="L172" s="8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8" customHeight="1">
      <c r="A173" s="8"/>
      <c r="B173" s="8"/>
      <c r="C173" s="7"/>
      <c r="D173" s="7"/>
      <c r="E173" s="7"/>
      <c r="F173" s="7"/>
      <c r="G173" s="7"/>
      <c r="H173" s="7"/>
      <c r="I173" s="7"/>
      <c r="J173" s="8"/>
      <c r="K173" s="8"/>
      <c r="L173" s="8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8" customHeight="1">
      <c r="A174" s="8"/>
      <c r="B174" s="8"/>
      <c r="C174" s="7"/>
      <c r="D174" s="7"/>
      <c r="E174" s="7"/>
      <c r="F174" s="7"/>
      <c r="G174" s="7"/>
      <c r="H174" s="7"/>
      <c r="I174" s="7"/>
      <c r="J174" s="8"/>
      <c r="K174" s="8"/>
      <c r="L174" s="8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8" customHeight="1">
      <c r="A175" s="8"/>
      <c r="B175" s="8"/>
      <c r="C175" s="7"/>
      <c r="D175" s="7"/>
      <c r="E175" s="7"/>
      <c r="F175" s="7"/>
      <c r="G175" s="7"/>
      <c r="H175" s="7"/>
      <c r="I175" s="7"/>
      <c r="J175" s="8"/>
      <c r="K175" s="8"/>
      <c r="L175" s="8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8" customHeight="1">
      <c r="A176" s="8"/>
      <c r="B176" s="8"/>
      <c r="C176" s="7"/>
      <c r="D176" s="7"/>
      <c r="E176" s="7"/>
      <c r="F176" s="7"/>
      <c r="G176" s="7"/>
      <c r="H176" s="7"/>
      <c r="I176" s="7"/>
      <c r="J176" s="8"/>
      <c r="K176" s="8"/>
      <c r="L176" s="8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8" customHeight="1">
      <c r="A177" s="8"/>
      <c r="B177" s="8"/>
      <c r="C177" s="7"/>
      <c r="D177" s="7"/>
      <c r="E177" s="7"/>
      <c r="F177" s="7"/>
      <c r="G177" s="7"/>
      <c r="H177" s="7"/>
      <c r="I177" s="7"/>
      <c r="J177" s="8"/>
      <c r="K177" s="8"/>
      <c r="L177" s="8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8" customHeight="1">
      <c r="A178" s="8"/>
      <c r="B178" s="8"/>
      <c r="C178" s="7"/>
      <c r="D178" s="7"/>
      <c r="E178" s="7"/>
      <c r="F178" s="7"/>
      <c r="G178" s="7"/>
      <c r="H178" s="7"/>
      <c r="I178" s="7"/>
      <c r="J178" s="8"/>
      <c r="K178" s="8"/>
      <c r="L178" s="8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8" customHeight="1">
      <c r="A179" s="8"/>
      <c r="B179" s="8"/>
      <c r="C179" s="7"/>
      <c r="D179" s="7"/>
      <c r="E179" s="7"/>
      <c r="F179" s="7"/>
      <c r="G179" s="7"/>
      <c r="H179" s="7"/>
      <c r="I179" s="7"/>
      <c r="J179" s="8"/>
      <c r="K179" s="8"/>
      <c r="L179" s="8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8" customHeight="1">
      <c r="A180" s="8"/>
      <c r="B180" s="8"/>
      <c r="C180" s="7"/>
      <c r="D180" s="7"/>
      <c r="E180" s="7"/>
      <c r="F180" s="7"/>
      <c r="G180" s="7"/>
      <c r="H180" s="7"/>
      <c r="I180" s="7"/>
      <c r="J180" s="8"/>
      <c r="K180" s="8"/>
      <c r="L180" s="8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8" customHeight="1">
      <c r="A181" s="8"/>
      <c r="B181" s="8"/>
      <c r="C181" s="7"/>
      <c r="D181" s="7"/>
      <c r="E181" s="7"/>
      <c r="F181" s="7"/>
      <c r="G181" s="7"/>
      <c r="H181" s="7"/>
      <c r="I181" s="7"/>
      <c r="J181" s="8"/>
      <c r="K181" s="8"/>
      <c r="L181" s="8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8" customHeight="1">
      <c r="A182" s="8"/>
      <c r="B182" s="8"/>
      <c r="C182" s="7"/>
      <c r="D182" s="7"/>
      <c r="E182" s="7"/>
      <c r="F182" s="7"/>
      <c r="G182" s="7"/>
      <c r="H182" s="7"/>
      <c r="I182" s="7"/>
      <c r="J182" s="8"/>
      <c r="K182" s="8"/>
      <c r="L182" s="8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8" customHeight="1">
      <c r="A183" s="8"/>
      <c r="B183" s="8"/>
      <c r="C183" s="7"/>
      <c r="D183" s="7"/>
      <c r="E183" s="7"/>
      <c r="F183" s="7"/>
      <c r="G183" s="7"/>
      <c r="H183" s="7"/>
      <c r="I183" s="7"/>
      <c r="J183" s="8"/>
      <c r="K183" s="8"/>
      <c r="L183" s="8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8" customHeight="1">
      <c r="A184" s="8"/>
      <c r="B184" s="8"/>
      <c r="C184" s="7"/>
      <c r="D184" s="7"/>
      <c r="E184" s="7"/>
      <c r="F184" s="7"/>
      <c r="G184" s="7"/>
      <c r="H184" s="7"/>
      <c r="I184" s="7"/>
      <c r="J184" s="8"/>
      <c r="K184" s="8"/>
      <c r="L184" s="8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8" customHeight="1">
      <c r="A185" s="8"/>
      <c r="B185" s="8"/>
      <c r="C185" s="7"/>
      <c r="D185" s="7"/>
      <c r="E185" s="7"/>
      <c r="F185" s="7"/>
      <c r="G185" s="7"/>
      <c r="H185" s="7"/>
      <c r="I185" s="7"/>
      <c r="J185" s="8"/>
      <c r="K185" s="8"/>
      <c r="L185" s="8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8" customHeight="1">
      <c r="A186" s="8"/>
      <c r="B186" s="8"/>
      <c r="C186" s="7"/>
      <c r="D186" s="7"/>
      <c r="E186" s="7"/>
      <c r="F186" s="7"/>
      <c r="G186" s="7"/>
      <c r="H186" s="7"/>
      <c r="I186" s="7"/>
      <c r="J186" s="8"/>
      <c r="K186" s="8"/>
      <c r="L186" s="8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8" customHeight="1">
      <c r="A187" s="8"/>
      <c r="B187" s="8"/>
      <c r="C187" s="7"/>
      <c r="D187" s="7"/>
      <c r="E187" s="7"/>
      <c r="F187" s="7"/>
      <c r="G187" s="7"/>
      <c r="H187" s="7"/>
      <c r="I187" s="7"/>
      <c r="J187" s="8"/>
      <c r="K187" s="8"/>
      <c r="L187" s="8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8" customHeight="1">
      <c r="A188" s="8"/>
      <c r="B188" s="8"/>
      <c r="C188" s="7"/>
      <c r="D188" s="7"/>
      <c r="E188" s="7"/>
      <c r="F188" s="7"/>
      <c r="G188" s="7"/>
      <c r="H188" s="7"/>
      <c r="I188" s="7"/>
      <c r="J188" s="8"/>
      <c r="K188" s="8"/>
      <c r="L188" s="8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8" customHeight="1">
      <c r="A189" s="8"/>
      <c r="B189" s="8"/>
      <c r="C189" s="7"/>
      <c r="D189" s="7"/>
      <c r="E189" s="7"/>
      <c r="F189" s="7"/>
      <c r="G189" s="7"/>
      <c r="H189" s="7"/>
      <c r="I189" s="7"/>
      <c r="J189" s="8"/>
      <c r="K189" s="8"/>
      <c r="L189" s="8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8" customHeight="1">
      <c r="A190" s="8"/>
      <c r="B190" s="8"/>
      <c r="C190" s="7"/>
      <c r="D190" s="7"/>
      <c r="E190" s="7"/>
      <c r="F190" s="7"/>
      <c r="G190" s="7"/>
      <c r="H190" s="7"/>
      <c r="I190" s="7"/>
      <c r="J190" s="8"/>
      <c r="K190" s="8"/>
      <c r="L190" s="8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8" customHeight="1">
      <c r="A191" s="8"/>
      <c r="B191" s="8"/>
      <c r="C191" s="7"/>
      <c r="D191" s="7"/>
      <c r="E191" s="7"/>
      <c r="F191" s="7"/>
      <c r="G191" s="7"/>
      <c r="H191" s="7"/>
      <c r="I191" s="7"/>
      <c r="J191" s="8"/>
      <c r="K191" s="8"/>
      <c r="L191" s="8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8" customHeight="1">
      <c r="A192" s="8"/>
      <c r="B192" s="8"/>
      <c r="C192" s="7"/>
      <c r="D192" s="7"/>
      <c r="E192" s="7"/>
      <c r="F192" s="7"/>
      <c r="G192" s="7"/>
      <c r="H192" s="7"/>
      <c r="I192" s="7"/>
      <c r="J192" s="8"/>
      <c r="K192" s="8"/>
      <c r="L192" s="8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8" customHeight="1">
      <c r="A193" s="8"/>
      <c r="B193" s="8"/>
      <c r="C193" s="7"/>
      <c r="D193" s="7"/>
      <c r="E193" s="7"/>
      <c r="F193" s="7"/>
      <c r="G193" s="7"/>
      <c r="H193" s="7"/>
      <c r="I193" s="7"/>
      <c r="J193" s="8"/>
      <c r="K193" s="8"/>
      <c r="L193" s="8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8" customHeight="1">
      <c r="A194" s="8"/>
      <c r="B194" s="8"/>
      <c r="C194" s="7"/>
      <c r="D194" s="7"/>
      <c r="E194" s="7"/>
      <c r="F194" s="7"/>
      <c r="G194" s="7"/>
      <c r="H194" s="7"/>
      <c r="I194" s="7"/>
      <c r="J194" s="8"/>
      <c r="K194" s="8"/>
      <c r="L194" s="8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8" customHeight="1">
      <c r="A195" s="8"/>
      <c r="B195" s="8"/>
      <c r="C195" s="7"/>
      <c r="D195" s="7"/>
      <c r="E195" s="7"/>
      <c r="F195" s="7"/>
      <c r="G195" s="7"/>
      <c r="H195" s="7"/>
      <c r="I195" s="7"/>
      <c r="J195" s="8"/>
      <c r="K195" s="8"/>
      <c r="L195" s="8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8" customHeight="1">
      <c r="A196" s="8"/>
      <c r="B196" s="8"/>
      <c r="C196" s="7"/>
      <c r="D196" s="7"/>
      <c r="E196" s="7"/>
      <c r="F196" s="7"/>
      <c r="G196" s="7"/>
      <c r="H196" s="7"/>
      <c r="I196" s="7"/>
      <c r="J196" s="8"/>
      <c r="K196" s="8"/>
      <c r="L196" s="8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8" customHeight="1">
      <c r="A197" s="8"/>
      <c r="B197" s="8"/>
      <c r="C197" s="7"/>
      <c r="D197" s="7"/>
      <c r="E197" s="7"/>
      <c r="F197" s="7"/>
      <c r="G197" s="7"/>
      <c r="H197" s="7"/>
      <c r="I197" s="7"/>
      <c r="J197" s="8"/>
      <c r="K197" s="8"/>
      <c r="L197" s="8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8" customHeight="1">
      <c r="A198" s="8"/>
      <c r="B198" s="8"/>
      <c r="C198" s="7"/>
      <c r="D198" s="7"/>
      <c r="E198" s="7"/>
      <c r="F198" s="7"/>
      <c r="G198" s="7"/>
      <c r="H198" s="7"/>
      <c r="I198" s="7"/>
      <c r="J198" s="8"/>
      <c r="K198" s="8"/>
      <c r="L198" s="8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8" customHeight="1">
      <c r="A199" s="8"/>
      <c r="B199" s="8"/>
      <c r="C199" s="7"/>
      <c r="D199" s="7"/>
      <c r="E199" s="7"/>
      <c r="F199" s="7"/>
      <c r="G199" s="7"/>
      <c r="H199" s="7"/>
      <c r="I199" s="7"/>
      <c r="J199" s="8"/>
      <c r="K199" s="8"/>
      <c r="L199" s="8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8" customHeight="1">
      <c r="A200" s="8"/>
      <c r="B200" s="8"/>
      <c r="C200" s="7"/>
      <c r="D200" s="7"/>
      <c r="E200" s="7"/>
      <c r="F200" s="7"/>
      <c r="G200" s="7"/>
      <c r="H200" s="7"/>
      <c r="I200" s="7"/>
      <c r="J200" s="8"/>
      <c r="K200" s="8"/>
      <c r="L200" s="8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8" customHeight="1">
      <c r="A201" s="8"/>
      <c r="B201" s="8"/>
      <c r="C201" s="7"/>
      <c r="D201" s="7"/>
      <c r="E201" s="7"/>
      <c r="F201" s="7"/>
      <c r="G201" s="7"/>
      <c r="H201" s="7"/>
      <c r="I201" s="7"/>
      <c r="J201" s="8"/>
      <c r="K201" s="8"/>
      <c r="L201" s="8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8" customHeight="1">
      <c r="A202" s="8"/>
      <c r="B202" s="8"/>
      <c r="C202" s="7"/>
      <c r="D202" s="7"/>
      <c r="E202" s="7"/>
      <c r="F202" s="7"/>
      <c r="G202" s="7"/>
      <c r="H202" s="7"/>
      <c r="I202" s="7"/>
      <c r="J202" s="8"/>
      <c r="K202" s="8"/>
      <c r="L202" s="8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8" customHeight="1">
      <c r="A203" s="8"/>
      <c r="B203" s="8"/>
      <c r="C203" s="7"/>
      <c r="D203" s="7"/>
      <c r="E203" s="7"/>
      <c r="F203" s="7"/>
      <c r="G203" s="7"/>
      <c r="H203" s="7"/>
      <c r="I203" s="7"/>
      <c r="J203" s="8"/>
      <c r="K203" s="8"/>
      <c r="L203" s="8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8" customHeight="1">
      <c r="A204" s="8"/>
      <c r="B204" s="8"/>
      <c r="C204" s="7"/>
      <c r="D204" s="7"/>
      <c r="E204" s="7"/>
      <c r="F204" s="7"/>
      <c r="G204" s="7"/>
      <c r="H204" s="7"/>
      <c r="I204" s="7"/>
      <c r="J204" s="8"/>
      <c r="K204" s="8"/>
      <c r="L204" s="8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8" customHeight="1">
      <c r="A205" s="8"/>
      <c r="B205" s="8"/>
      <c r="C205" s="7"/>
      <c r="D205" s="7"/>
      <c r="E205" s="7"/>
      <c r="F205" s="7"/>
      <c r="G205" s="7"/>
      <c r="H205" s="7"/>
      <c r="I205" s="7"/>
      <c r="J205" s="8"/>
      <c r="K205" s="8"/>
      <c r="L205" s="8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8" customHeight="1">
      <c r="A206" s="8"/>
      <c r="B206" s="8"/>
      <c r="C206" s="7"/>
      <c r="D206" s="7"/>
      <c r="E206" s="7"/>
      <c r="F206" s="7"/>
      <c r="G206" s="7"/>
      <c r="H206" s="7"/>
      <c r="I206" s="7"/>
      <c r="J206" s="8"/>
      <c r="K206" s="8"/>
      <c r="L206" s="8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8" customHeight="1">
      <c r="A207" s="8"/>
      <c r="B207" s="8"/>
      <c r="C207" s="7"/>
      <c r="D207" s="7"/>
      <c r="E207" s="7"/>
      <c r="F207" s="7"/>
      <c r="G207" s="7"/>
      <c r="H207" s="7"/>
      <c r="I207" s="7"/>
      <c r="J207" s="8"/>
      <c r="K207" s="8"/>
      <c r="L207" s="8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8" customHeight="1">
      <c r="A208" s="8"/>
      <c r="B208" s="8"/>
      <c r="C208" s="7"/>
      <c r="D208" s="7"/>
      <c r="E208" s="7"/>
      <c r="F208" s="7"/>
      <c r="G208" s="7"/>
      <c r="H208" s="7"/>
      <c r="I208" s="7"/>
      <c r="J208" s="8"/>
      <c r="K208" s="8"/>
      <c r="L208" s="8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8" customHeight="1">
      <c r="A209" s="8"/>
      <c r="B209" s="8"/>
      <c r="C209" s="7"/>
      <c r="D209" s="7"/>
      <c r="E209" s="7"/>
      <c r="F209" s="7"/>
      <c r="G209" s="7"/>
      <c r="H209" s="7"/>
      <c r="I209" s="7"/>
      <c r="J209" s="8"/>
      <c r="K209" s="8"/>
      <c r="L209" s="8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8" customHeight="1">
      <c r="A210" s="8"/>
      <c r="B210" s="8"/>
      <c r="C210" s="7"/>
      <c r="D210" s="7"/>
      <c r="E210" s="7"/>
      <c r="F210" s="7"/>
      <c r="G210" s="7"/>
      <c r="H210" s="7"/>
      <c r="I210" s="7"/>
      <c r="J210" s="8"/>
      <c r="K210" s="8"/>
      <c r="L210" s="8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8" customHeight="1">
      <c r="A211" s="8"/>
      <c r="B211" s="8"/>
      <c r="C211" s="7"/>
      <c r="D211" s="7"/>
      <c r="E211" s="7"/>
      <c r="F211" s="7"/>
      <c r="G211" s="7"/>
      <c r="H211" s="7"/>
      <c r="I211" s="7"/>
      <c r="J211" s="8"/>
      <c r="K211" s="8"/>
      <c r="L211" s="8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8" customHeight="1">
      <c r="A212" s="8"/>
      <c r="B212" s="8"/>
      <c r="C212" s="7"/>
      <c r="D212" s="7"/>
      <c r="E212" s="7"/>
      <c r="F212" s="7"/>
      <c r="G212" s="7"/>
      <c r="H212" s="7"/>
      <c r="I212" s="7"/>
      <c r="J212" s="8"/>
      <c r="K212" s="8"/>
      <c r="L212" s="8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8" customHeight="1">
      <c r="A213" s="8"/>
      <c r="B213" s="8"/>
      <c r="C213" s="7"/>
      <c r="D213" s="7"/>
      <c r="E213" s="7"/>
      <c r="F213" s="7"/>
      <c r="G213" s="7"/>
      <c r="H213" s="7"/>
      <c r="I213" s="7"/>
      <c r="J213" s="8"/>
      <c r="K213" s="8"/>
      <c r="L213" s="8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8" customHeight="1">
      <c r="A214" s="8"/>
      <c r="B214" s="8"/>
      <c r="C214" s="7"/>
      <c r="D214" s="7"/>
      <c r="E214" s="7"/>
      <c r="F214" s="7"/>
      <c r="G214" s="7"/>
      <c r="H214" s="7"/>
      <c r="I214" s="7"/>
      <c r="J214" s="8"/>
      <c r="K214" s="8"/>
      <c r="L214" s="8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8" customHeight="1">
      <c r="A215" s="8"/>
      <c r="B215" s="8"/>
      <c r="C215" s="7"/>
      <c r="D215" s="7"/>
      <c r="E215" s="7"/>
      <c r="F215" s="7"/>
      <c r="G215" s="7"/>
      <c r="H215" s="7"/>
      <c r="I215" s="7"/>
      <c r="J215" s="8"/>
      <c r="K215" s="8"/>
      <c r="L215" s="8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8" customHeight="1">
      <c r="A216" s="8"/>
      <c r="B216" s="8"/>
      <c r="C216" s="7"/>
      <c r="D216" s="7"/>
      <c r="E216" s="7"/>
      <c r="F216" s="7"/>
      <c r="G216" s="7"/>
      <c r="H216" s="7"/>
      <c r="I216" s="7"/>
      <c r="J216" s="8"/>
      <c r="K216" s="8"/>
      <c r="L216" s="8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8" customHeight="1">
      <c r="A217" s="8"/>
      <c r="B217" s="8"/>
      <c r="C217" s="7"/>
      <c r="D217" s="7"/>
      <c r="E217" s="7"/>
      <c r="F217" s="7"/>
      <c r="G217" s="7"/>
      <c r="H217" s="7"/>
      <c r="I217" s="7"/>
      <c r="J217" s="8"/>
      <c r="K217" s="8"/>
      <c r="L217" s="8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8" customHeight="1">
      <c r="A218" s="8"/>
      <c r="B218" s="8"/>
      <c r="C218" s="7"/>
      <c r="D218" s="7"/>
      <c r="E218" s="7"/>
      <c r="F218" s="7"/>
      <c r="G218" s="7"/>
      <c r="H218" s="7"/>
      <c r="I218" s="7"/>
      <c r="J218" s="8"/>
      <c r="K218" s="8"/>
      <c r="L218" s="8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8" customHeight="1">
      <c r="A219" s="8"/>
      <c r="B219" s="8"/>
      <c r="C219" s="7"/>
      <c r="D219" s="7"/>
      <c r="E219" s="7"/>
      <c r="F219" s="7"/>
      <c r="G219" s="7"/>
      <c r="H219" s="7"/>
      <c r="I219" s="7"/>
      <c r="J219" s="8"/>
      <c r="K219" s="8"/>
      <c r="L219" s="8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8" customHeight="1">
      <c r="A220" s="8"/>
      <c r="B220" s="8"/>
      <c r="C220" s="7"/>
      <c r="D220" s="7"/>
      <c r="E220" s="7"/>
      <c r="F220" s="7"/>
      <c r="G220" s="7"/>
      <c r="H220" s="7"/>
      <c r="I220" s="7"/>
      <c r="J220" s="8"/>
      <c r="K220" s="8"/>
      <c r="L220" s="8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8" customHeight="1">
      <c r="A221" s="8"/>
      <c r="B221" s="8"/>
      <c r="C221" s="7"/>
      <c r="D221" s="7"/>
      <c r="E221" s="7"/>
      <c r="F221" s="7"/>
      <c r="G221" s="7"/>
      <c r="H221" s="7"/>
      <c r="I221" s="7"/>
      <c r="J221" s="8"/>
      <c r="K221" s="8"/>
      <c r="L221" s="8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8" customHeight="1">
      <c r="A222" s="8"/>
      <c r="B222" s="8"/>
      <c r="C222" s="7"/>
      <c r="D222" s="7"/>
      <c r="E222" s="7"/>
      <c r="F222" s="7"/>
      <c r="G222" s="7"/>
      <c r="H222" s="7"/>
      <c r="I222" s="7"/>
      <c r="J222" s="8"/>
      <c r="K222" s="8"/>
      <c r="L222" s="8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8" customHeight="1">
      <c r="A223" s="8"/>
      <c r="B223" s="8"/>
      <c r="C223" s="7"/>
      <c r="D223" s="7"/>
      <c r="E223" s="7"/>
      <c r="F223" s="7"/>
      <c r="G223" s="7"/>
      <c r="H223" s="7"/>
      <c r="I223" s="7"/>
      <c r="J223" s="8"/>
      <c r="K223" s="8"/>
      <c r="L223" s="8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8" customHeight="1">
      <c r="A224" s="8"/>
      <c r="B224" s="8"/>
      <c r="C224" s="7"/>
      <c r="D224" s="7"/>
      <c r="E224" s="7"/>
      <c r="F224" s="7"/>
      <c r="G224" s="7"/>
      <c r="H224" s="7"/>
      <c r="I224" s="7"/>
      <c r="J224" s="8"/>
      <c r="K224" s="8"/>
      <c r="L224" s="8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8" customHeight="1">
      <c r="A225" s="8"/>
      <c r="B225" s="8"/>
      <c r="C225" s="7"/>
      <c r="D225" s="7"/>
      <c r="E225" s="7"/>
      <c r="F225" s="7"/>
      <c r="G225" s="7"/>
      <c r="H225" s="7"/>
      <c r="I225" s="7"/>
      <c r="J225" s="8"/>
      <c r="K225" s="8"/>
      <c r="L225" s="8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8" customHeight="1">
      <c r="A226" s="8"/>
      <c r="B226" s="8"/>
      <c r="C226" s="7"/>
      <c r="D226" s="7"/>
      <c r="E226" s="7"/>
      <c r="F226" s="7"/>
      <c r="G226" s="7"/>
      <c r="H226" s="7"/>
      <c r="I226" s="7"/>
      <c r="J226" s="8"/>
      <c r="K226" s="8"/>
      <c r="L226" s="8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8" customHeight="1">
      <c r="A227" s="8"/>
      <c r="B227" s="8"/>
      <c r="C227" s="7"/>
      <c r="D227" s="7"/>
      <c r="E227" s="7"/>
      <c r="F227" s="7"/>
      <c r="G227" s="7"/>
      <c r="H227" s="7"/>
      <c r="I227" s="7"/>
      <c r="J227" s="8"/>
      <c r="K227" s="8"/>
      <c r="L227" s="8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8" customHeight="1">
      <c r="A228" s="8"/>
      <c r="B228" s="8"/>
      <c r="C228" s="7"/>
      <c r="D228" s="7"/>
      <c r="E228" s="7"/>
      <c r="F228" s="7"/>
      <c r="G228" s="7"/>
      <c r="H228" s="7"/>
      <c r="I228" s="7"/>
      <c r="J228" s="8"/>
      <c r="K228" s="8"/>
      <c r="L228" s="8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8" customHeight="1">
      <c r="A229" s="8"/>
      <c r="B229" s="8"/>
      <c r="C229" s="7"/>
      <c r="D229" s="7"/>
      <c r="E229" s="7"/>
      <c r="F229" s="7"/>
      <c r="G229" s="7"/>
      <c r="H229" s="7"/>
      <c r="I229" s="7"/>
      <c r="J229" s="8"/>
      <c r="K229" s="8"/>
      <c r="L229" s="8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8" customHeight="1">
      <c r="A230" s="8"/>
      <c r="B230" s="8"/>
      <c r="C230" s="7"/>
      <c r="D230" s="7"/>
      <c r="E230" s="7"/>
      <c r="F230" s="7"/>
      <c r="G230" s="7"/>
      <c r="H230" s="7"/>
      <c r="I230" s="7"/>
      <c r="J230" s="8"/>
      <c r="K230" s="8"/>
      <c r="L230" s="8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8" customHeight="1">
      <c r="A231" s="8"/>
      <c r="B231" s="8"/>
      <c r="C231" s="7"/>
      <c r="D231" s="7"/>
      <c r="E231" s="7"/>
      <c r="F231" s="7"/>
      <c r="G231" s="7"/>
      <c r="H231" s="7"/>
      <c r="I231" s="7"/>
      <c r="J231" s="8"/>
      <c r="K231" s="8"/>
      <c r="L231" s="8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8" customHeight="1">
      <c r="A232" s="8"/>
      <c r="B232" s="8"/>
      <c r="C232" s="7"/>
      <c r="D232" s="7"/>
      <c r="E232" s="7"/>
      <c r="F232" s="7"/>
      <c r="G232" s="7"/>
      <c r="H232" s="7"/>
      <c r="I232" s="7"/>
      <c r="J232" s="8"/>
      <c r="K232" s="8"/>
      <c r="L232" s="8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8" customHeight="1">
      <c r="A233" s="8"/>
      <c r="B233" s="8"/>
      <c r="C233" s="7"/>
      <c r="D233" s="7"/>
      <c r="E233" s="7"/>
      <c r="F233" s="7"/>
      <c r="G233" s="7"/>
      <c r="H233" s="7"/>
      <c r="I233" s="7"/>
      <c r="J233" s="8"/>
      <c r="K233" s="8"/>
      <c r="L233" s="8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8" customHeight="1">
      <c r="A234" s="8"/>
      <c r="B234" s="8"/>
      <c r="C234" s="7"/>
      <c r="D234" s="7"/>
      <c r="E234" s="7"/>
      <c r="F234" s="7"/>
      <c r="G234" s="7"/>
      <c r="H234" s="7"/>
      <c r="I234" s="7"/>
      <c r="J234" s="8"/>
      <c r="K234" s="8"/>
      <c r="L234" s="8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8" customHeight="1">
      <c r="A235" s="8"/>
      <c r="B235" s="8"/>
      <c r="C235" s="7"/>
      <c r="D235" s="7"/>
      <c r="E235" s="7"/>
      <c r="F235" s="7"/>
      <c r="G235" s="7"/>
      <c r="H235" s="7"/>
      <c r="I235" s="7"/>
      <c r="J235" s="8"/>
      <c r="K235" s="8"/>
      <c r="L235" s="8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8" customHeight="1">
      <c r="A236" s="8"/>
      <c r="B236" s="8"/>
      <c r="C236" s="7"/>
      <c r="D236" s="7"/>
      <c r="E236" s="7"/>
      <c r="F236" s="7"/>
      <c r="G236" s="7"/>
      <c r="H236" s="7"/>
      <c r="I236" s="7"/>
      <c r="J236" s="8"/>
      <c r="K236" s="8"/>
      <c r="L236" s="8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8" customHeight="1">
      <c r="A237" s="8"/>
      <c r="B237" s="8"/>
      <c r="C237" s="7"/>
      <c r="D237" s="7"/>
      <c r="E237" s="7"/>
      <c r="F237" s="7"/>
      <c r="G237" s="7"/>
      <c r="H237" s="7"/>
      <c r="I237" s="7"/>
      <c r="J237" s="8"/>
      <c r="K237" s="8"/>
      <c r="L237" s="8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8" customHeight="1">
      <c r="A238" s="8"/>
      <c r="B238" s="8"/>
      <c r="C238" s="7"/>
      <c r="D238" s="7"/>
      <c r="E238" s="7"/>
      <c r="F238" s="7"/>
      <c r="G238" s="7"/>
      <c r="H238" s="7"/>
      <c r="I238" s="7"/>
      <c r="J238" s="8"/>
      <c r="K238" s="8"/>
      <c r="L238" s="8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8" customHeight="1">
      <c r="A239" s="8"/>
      <c r="B239" s="8"/>
      <c r="C239" s="7"/>
      <c r="D239" s="7"/>
      <c r="E239" s="7"/>
      <c r="F239" s="7"/>
      <c r="G239" s="7"/>
      <c r="H239" s="7"/>
      <c r="I239" s="7"/>
      <c r="J239" s="8"/>
      <c r="K239" s="8"/>
      <c r="L239" s="8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8" customHeight="1">
      <c r="A240" s="8"/>
      <c r="B240" s="8"/>
      <c r="C240" s="7"/>
      <c r="D240" s="7"/>
      <c r="E240" s="7"/>
      <c r="F240" s="7"/>
      <c r="G240" s="7"/>
      <c r="H240" s="7"/>
      <c r="I240" s="7"/>
      <c r="J240" s="8"/>
      <c r="K240" s="8"/>
      <c r="L240" s="8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8" customHeight="1">
      <c r="A241" s="8"/>
      <c r="B241" s="8"/>
      <c r="C241" s="7"/>
      <c r="D241" s="7"/>
      <c r="E241" s="7"/>
      <c r="F241" s="7"/>
      <c r="G241" s="7"/>
      <c r="H241" s="7"/>
      <c r="I241" s="7"/>
      <c r="J241" s="8"/>
      <c r="K241" s="8"/>
      <c r="L241" s="8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8" customHeight="1">
      <c r="A242" s="8"/>
      <c r="B242" s="8"/>
      <c r="C242" s="7"/>
      <c r="D242" s="7"/>
      <c r="E242" s="7"/>
      <c r="F242" s="7"/>
      <c r="G242" s="7"/>
      <c r="H242" s="7"/>
      <c r="I242" s="7"/>
      <c r="J242" s="8"/>
      <c r="K242" s="8"/>
      <c r="L242" s="8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8" customHeight="1">
      <c r="A243" s="8"/>
      <c r="B243" s="8"/>
      <c r="C243" s="7"/>
      <c r="D243" s="7"/>
      <c r="E243" s="7"/>
      <c r="F243" s="7"/>
      <c r="G243" s="7"/>
      <c r="H243" s="7"/>
      <c r="I243" s="7"/>
      <c r="J243" s="8"/>
      <c r="K243" s="8"/>
      <c r="L243" s="8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8" customHeight="1">
      <c r="A244" s="8"/>
      <c r="B244" s="8"/>
      <c r="C244" s="7"/>
      <c r="D244" s="7"/>
      <c r="E244" s="7"/>
      <c r="F244" s="7"/>
      <c r="G244" s="7"/>
      <c r="H244" s="7"/>
      <c r="I244" s="7"/>
      <c r="J244" s="8"/>
      <c r="K244" s="8"/>
      <c r="L244" s="8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8" customHeight="1">
      <c r="A245" s="8"/>
      <c r="B245" s="8"/>
      <c r="C245" s="7"/>
      <c r="D245" s="7"/>
      <c r="E245" s="7"/>
      <c r="F245" s="7"/>
      <c r="G245" s="7"/>
      <c r="H245" s="7"/>
      <c r="I245" s="7"/>
      <c r="J245" s="8"/>
      <c r="K245" s="8"/>
      <c r="L245" s="8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8" customHeight="1">
      <c r="A246" s="8"/>
      <c r="B246" s="8"/>
      <c r="C246" s="7"/>
      <c r="D246" s="7"/>
      <c r="E246" s="7"/>
      <c r="F246" s="7"/>
      <c r="G246" s="7"/>
      <c r="H246" s="7"/>
      <c r="I246" s="7"/>
      <c r="J246" s="8"/>
      <c r="K246" s="8"/>
      <c r="L246" s="8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8" customHeight="1">
      <c r="A247" s="8"/>
      <c r="B247" s="8"/>
      <c r="C247" s="7"/>
      <c r="D247" s="7"/>
      <c r="E247" s="7"/>
      <c r="F247" s="7"/>
      <c r="G247" s="7"/>
      <c r="H247" s="7"/>
      <c r="I247" s="7"/>
      <c r="J247" s="8"/>
      <c r="K247" s="8"/>
      <c r="L247" s="8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8" customHeight="1">
      <c r="A248" s="8"/>
      <c r="B248" s="8"/>
      <c r="C248" s="7"/>
      <c r="D248" s="7"/>
      <c r="E248" s="7"/>
      <c r="F248" s="7"/>
      <c r="G248" s="7"/>
      <c r="H248" s="7"/>
      <c r="I248" s="7"/>
      <c r="J248" s="8"/>
      <c r="K248" s="8"/>
      <c r="L248" s="8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8" customHeight="1">
      <c r="A249" s="8"/>
      <c r="B249" s="8"/>
      <c r="C249" s="7"/>
      <c r="D249" s="7"/>
      <c r="E249" s="7"/>
      <c r="F249" s="7"/>
      <c r="G249" s="7"/>
      <c r="H249" s="7"/>
      <c r="I249" s="7"/>
      <c r="J249" s="8"/>
      <c r="K249" s="8"/>
      <c r="L249" s="8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8" customHeight="1">
      <c r="A250" s="8"/>
      <c r="B250" s="8"/>
      <c r="C250" s="7"/>
      <c r="D250" s="7"/>
      <c r="E250" s="7"/>
      <c r="F250" s="7"/>
      <c r="G250" s="7"/>
      <c r="H250" s="7"/>
      <c r="I250" s="7"/>
      <c r="J250" s="8"/>
      <c r="K250" s="8"/>
      <c r="L250" s="8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8" customHeight="1">
      <c r="A251" s="8"/>
      <c r="B251" s="8"/>
      <c r="C251" s="7"/>
      <c r="D251" s="7"/>
      <c r="E251" s="7"/>
      <c r="F251" s="7"/>
      <c r="G251" s="7"/>
      <c r="H251" s="7"/>
      <c r="I251" s="7"/>
      <c r="J251" s="8"/>
      <c r="K251" s="8"/>
      <c r="L251" s="8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8" customHeight="1">
      <c r="A252" s="8"/>
      <c r="B252" s="8"/>
      <c r="C252" s="7"/>
      <c r="D252" s="7"/>
      <c r="E252" s="7"/>
      <c r="F252" s="7"/>
      <c r="G252" s="7"/>
      <c r="H252" s="7"/>
      <c r="I252" s="7"/>
      <c r="J252" s="8"/>
      <c r="K252" s="8"/>
      <c r="L252" s="8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8" customHeight="1">
      <c r="A253" s="8"/>
      <c r="B253" s="8"/>
      <c r="C253" s="7"/>
      <c r="D253" s="7"/>
      <c r="E253" s="7"/>
      <c r="F253" s="7"/>
      <c r="G253" s="7"/>
      <c r="H253" s="7"/>
      <c r="I253" s="7"/>
      <c r="J253" s="8"/>
      <c r="K253" s="8"/>
      <c r="L253" s="8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8" customHeight="1">
      <c r="A254" s="8"/>
      <c r="B254" s="8"/>
      <c r="C254" s="7"/>
      <c r="D254" s="7"/>
      <c r="E254" s="7"/>
      <c r="F254" s="7"/>
      <c r="G254" s="7"/>
      <c r="H254" s="7"/>
      <c r="I254" s="7"/>
      <c r="J254" s="8"/>
      <c r="K254" s="8"/>
      <c r="L254" s="8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8" customHeight="1">
      <c r="A255" s="8"/>
      <c r="B255" s="8"/>
      <c r="C255" s="7"/>
      <c r="D255" s="7"/>
      <c r="E255" s="7"/>
      <c r="F255" s="7"/>
      <c r="G255" s="7"/>
      <c r="H255" s="7"/>
      <c r="I255" s="7"/>
      <c r="J255" s="8"/>
      <c r="K255" s="8"/>
      <c r="L255" s="8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8" customHeight="1">
      <c r="A256" s="8"/>
      <c r="B256" s="8"/>
      <c r="C256" s="7"/>
      <c r="D256" s="7"/>
      <c r="E256" s="7"/>
      <c r="F256" s="7"/>
      <c r="G256" s="7"/>
      <c r="H256" s="7"/>
      <c r="I256" s="7"/>
      <c r="J256" s="8"/>
      <c r="K256" s="8"/>
      <c r="L256" s="8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8" customHeight="1">
      <c r="A257" s="8"/>
      <c r="B257" s="8"/>
      <c r="C257" s="7"/>
      <c r="D257" s="7"/>
      <c r="E257" s="7"/>
      <c r="F257" s="7"/>
      <c r="G257" s="7"/>
      <c r="H257" s="7"/>
      <c r="I257" s="7"/>
      <c r="J257" s="8"/>
      <c r="K257" s="8"/>
      <c r="L257" s="8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8" customHeight="1">
      <c r="A258" s="8"/>
      <c r="B258" s="8"/>
      <c r="C258" s="7"/>
      <c r="D258" s="7"/>
      <c r="E258" s="7"/>
      <c r="F258" s="7"/>
      <c r="G258" s="7"/>
      <c r="H258" s="7"/>
      <c r="I258" s="7"/>
      <c r="J258" s="8"/>
      <c r="K258" s="8"/>
      <c r="L258" s="8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8" customHeight="1">
      <c r="A259" s="8"/>
      <c r="B259" s="8"/>
      <c r="C259" s="7"/>
      <c r="D259" s="7"/>
      <c r="E259" s="7"/>
      <c r="F259" s="7"/>
      <c r="G259" s="7"/>
      <c r="H259" s="7"/>
      <c r="I259" s="7"/>
      <c r="J259" s="8"/>
      <c r="K259" s="8"/>
      <c r="L259" s="8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8" customHeight="1">
      <c r="A260" s="8"/>
      <c r="B260" s="8"/>
      <c r="C260" s="7"/>
      <c r="D260" s="7"/>
      <c r="E260" s="7"/>
      <c r="F260" s="7"/>
      <c r="G260" s="7"/>
      <c r="H260" s="7"/>
      <c r="I260" s="7"/>
      <c r="J260" s="8"/>
      <c r="K260" s="8"/>
      <c r="L260" s="8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8" customHeight="1">
      <c r="A261" s="8"/>
      <c r="B261" s="8"/>
      <c r="C261" s="7"/>
      <c r="D261" s="7"/>
      <c r="E261" s="7"/>
      <c r="F261" s="7"/>
      <c r="G261" s="7"/>
      <c r="H261" s="7"/>
      <c r="I261" s="7"/>
      <c r="J261" s="8"/>
      <c r="K261" s="8"/>
      <c r="L261" s="8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8" customHeight="1">
      <c r="A262" s="8"/>
      <c r="B262" s="8"/>
      <c r="C262" s="7"/>
      <c r="D262" s="7"/>
      <c r="E262" s="7"/>
      <c r="F262" s="7"/>
      <c r="G262" s="7"/>
      <c r="H262" s="7"/>
      <c r="I262" s="7"/>
      <c r="J262" s="8"/>
      <c r="K262" s="8"/>
      <c r="L262" s="8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8" customHeight="1">
      <c r="A263" s="8"/>
      <c r="B263" s="8"/>
      <c r="C263" s="7"/>
      <c r="D263" s="7"/>
      <c r="E263" s="7"/>
      <c r="F263" s="7"/>
      <c r="G263" s="7"/>
      <c r="H263" s="7"/>
      <c r="I263" s="7"/>
      <c r="J263" s="8"/>
      <c r="K263" s="8"/>
      <c r="L263" s="8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8" customHeight="1">
      <c r="A264" s="8"/>
      <c r="B264" s="8"/>
      <c r="C264" s="7"/>
      <c r="D264" s="7"/>
      <c r="E264" s="7"/>
      <c r="F264" s="7"/>
      <c r="G264" s="7"/>
      <c r="H264" s="7"/>
      <c r="I264" s="7"/>
      <c r="J264" s="8"/>
      <c r="K264" s="8"/>
      <c r="L264" s="8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8" customHeight="1">
      <c r="A265" s="8"/>
      <c r="B265" s="8"/>
      <c r="C265" s="7"/>
      <c r="D265" s="7"/>
      <c r="E265" s="7"/>
      <c r="F265" s="7"/>
      <c r="G265" s="7"/>
      <c r="H265" s="7"/>
      <c r="I265" s="7"/>
      <c r="J265" s="8"/>
      <c r="K265" s="8"/>
      <c r="L265" s="8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8" customHeight="1">
      <c r="A266" s="8"/>
      <c r="B266" s="8"/>
      <c r="C266" s="7"/>
      <c r="D266" s="7"/>
      <c r="E266" s="7"/>
      <c r="F266" s="7"/>
      <c r="G266" s="7"/>
      <c r="H266" s="7"/>
      <c r="I266" s="7"/>
      <c r="J266" s="8"/>
      <c r="K266" s="8"/>
      <c r="L266" s="8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8" customHeight="1">
      <c r="A267" s="8"/>
      <c r="B267" s="8"/>
      <c r="C267" s="7"/>
      <c r="D267" s="7"/>
      <c r="E267" s="7"/>
      <c r="F267" s="7"/>
      <c r="G267" s="7"/>
      <c r="H267" s="7"/>
      <c r="I267" s="7"/>
      <c r="J267" s="8"/>
      <c r="K267" s="8"/>
      <c r="L267" s="8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8" customHeight="1">
      <c r="A268" s="8"/>
      <c r="B268" s="8"/>
      <c r="C268" s="7"/>
      <c r="D268" s="7"/>
      <c r="E268" s="7"/>
      <c r="F268" s="7"/>
      <c r="G268" s="7"/>
      <c r="H268" s="7"/>
      <c r="I268" s="7"/>
      <c r="J268" s="8"/>
      <c r="K268" s="8"/>
      <c r="L268" s="8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8" customHeight="1">
      <c r="A269" s="8"/>
      <c r="B269" s="8"/>
      <c r="C269" s="7"/>
      <c r="D269" s="7"/>
      <c r="E269" s="7"/>
      <c r="F269" s="7"/>
      <c r="G269" s="7"/>
      <c r="H269" s="7"/>
      <c r="I269" s="7"/>
      <c r="J269" s="8"/>
      <c r="K269" s="8"/>
      <c r="L269" s="8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8" customHeight="1">
      <c r="A270" s="8"/>
      <c r="B270" s="8"/>
      <c r="C270" s="7"/>
      <c r="D270" s="7"/>
      <c r="E270" s="7"/>
      <c r="F270" s="7"/>
      <c r="G270" s="7"/>
      <c r="H270" s="7"/>
      <c r="I270" s="7"/>
      <c r="J270" s="8"/>
      <c r="K270" s="8"/>
      <c r="L270" s="8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8" customHeight="1">
      <c r="A271" s="8"/>
      <c r="B271" s="8"/>
      <c r="C271" s="7"/>
      <c r="D271" s="7"/>
      <c r="E271" s="7"/>
      <c r="F271" s="7"/>
      <c r="G271" s="7"/>
      <c r="H271" s="7"/>
      <c r="I271" s="7"/>
      <c r="J271" s="8"/>
      <c r="K271" s="8"/>
      <c r="L271" s="8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8" customHeight="1">
      <c r="A272" s="8"/>
      <c r="B272" s="8"/>
      <c r="C272" s="7"/>
      <c r="D272" s="7"/>
      <c r="E272" s="7"/>
      <c r="F272" s="7"/>
      <c r="G272" s="7"/>
      <c r="H272" s="7"/>
      <c r="I272" s="7"/>
      <c r="J272" s="8"/>
      <c r="K272" s="8"/>
      <c r="L272" s="8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8" customHeight="1">
      <c r="A273" s="8"/>
      <c r="B273" s="8"/>
      <c r="C273" s="7"/>
      <c r="D273" s="7"/>
      <c r="E273" s="7"/>
      <c r="F273" s="7"/>
      <c r="G273" s="7"/>
      <c r="H273" s="7"/>
      <c r="I273" s="7"/>
      <c r="J273" s="8"/>
      <c r="K273" s="8"/>
      <c r="L273" s="8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8" customHeight="1">
      <c r="A274" s="8"/>
      <c r="B274" s="8"/>
      <c r="C274" s="7"/>
      <c r="D274" s="7"/>
      <c r="E274" s="7"/>
      <c r="F274" s="7"/>
      <c r="G274" s="7"/>
      <c r="H274" s="7"/>
      <c r="I274" s="7"/>
      <c r="J274" s="8"/>
      <c r="K274" s="8"/>
      <c r="L274" s="8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8" customHeight="1">
      <c r="A275" s="8"/>
      <c r="B275" s="8"/>
      <c r="C275" s="7"/>
      <c r="D275" s="7"/>
      <c r="E275" s="7"/>
      <c r="F275" s="7"/>
      <c r="G275" s="7"/>
      <c r="H275" s="7"/>
      <c r="I275" s="7"/>
      <c r="J275" s="8"/>
      <c r="K275" s="8"/>
      <c r="L275" s="8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8" customHeight="1">
      <c r="A276" s="8"/>
      <c r="B276" s="8"/>
      <c r="C276" s="7"/>
      <c r="D276" s="7"/>
      <c r="E276" s="7"/>
      <c r="F276" s="7"/>
      <c r="G276" s="7"/>
      <c r="H276" s="7"/>
      <c r="I276" s="7"/>
      <c r="J276" s="8"/>
      <c r="K276" s="8"/>
      <c r="L276" s="8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8" customHeight="1">
      <c r="A277" s="8"/>
      <c r="B277" s="8"/>
      <c r="C277" s="7"/>
      <c r="D277" s="7"/>
      <c r="E277" s="7"/>
      <c r="F277" s="7"/>
      <c r="G277" s="7"/>
      <c r="H277" s="7"/>
      <c r="I277" s="7"/>
      <c r="J277" s="8"/>
      <c r="K277" s="8"/>
      <c r="L277" s="8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8" customHeight="1">
      <c r="A278" s="8"/>
      <c r="B278" s="8"/>
      <c r="C278" s="7"/>
      <c r="D278" s="7"/>
      <c r="E278" s="7"/>
      <c r="F278" s="7"/>
      <c r="G278" s="7"/>
      <c r="H278" s="7"/>
      <c r="I278" s="7"/>
      <c r="J278" s="8"/>
      <c r="K278" s="8"/>
      <c r="L278" s="8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8" customHeight="1">
      <c r="A279" s="8"/>
      <c r="B279" s="8"/>
      <c r="C279" s="7"/>
      <c r="D279" s="7"/>
      <c r="E279" s="7"/>
      <c r="F279" s="7"/>
      <c r="G279" s="7"/>
      <c r="H279" s="7"/>
      <c r="I279" s="7"/>
      <c r="J279" s="8"/>
      <c r="K279" s="8"/>
      <c r="L279" s="8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8" customHeight="1">
      <c r="A280" s="8"/>
      <c r="B280" s="8"/>
      <c r="C280" s="7"/>
      <c r="D280" s="7"/>
      <c r="E280" s="7"/>
      <c r="F280" s="7"/>
      <c r="G280" s="7"/>
      <c r="H280" s="7"/>
      <c r="I280" s="7"/>
      <c r="J280" s="8"/>
      <c r="K280" s="8"/>
      <c r="L280" s="8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8" customHeight="1">
      <c r="A281" s="8"/>
      <c r="B281" s="8"/>
      <c r="C281" s="7"/>
      <c r="D281" s="7"/>
      <c r="E281" s="7"/>
      <c r="F281" s="7"/>
      <c r="G281" s="7"/>
      <c r="H281" s="7"/>
      <c r="I281" s="7"/>
      <c r="J281" s="8"/>
      <c r="K281" s="8"/>
      <c r="L281" s="8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8" customHeight="1">
      <c r="A282" s="8"/>
      <c r="B282" s="8"/>
      <c r="C282" s="7"/>
      <c r="D282" s="7"/>
      <c r="E282" s="7"/>
      <c r="F282" s="7"/>
      <c r="G282" s="7"/>
      <c r="H282" s="7"/>
      <c r="I282" s="7"/>
      <c r="J282" s="8"/>
      <c r="K282" s="8"/>
      <c r="L282" s="8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8" customHeight="1">
      <c r="A283" s="8"/>
      <c r="B283" s="8"/>
      <c r="C283" s="7"/>
      <c r="D283" s="7"/>
      <c r="E283" s="7"/>
      <c r="F283" s="7"/>
      <c r="G283" s="7"/>
      <c r="H283" s="7"/>
      <c r="I283" s="7"/>
      <c r="J283" s="8"/>
      <c r="K283" s="8"/>
      <c r="L283" s="8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8" customHeight="1">
      <c r="A284" s="8"/>
      <c r="B284" s="8"/>
      <c r="C284" s="7"/>
      <c r="D284" s="7"/>
      <c r="E284" s="7"/>
      <c r="F284" s="7"/>
      <c r="G284" s="7"/>
      <c r="H284" s="7"/>
      <c r="I284" s="7"/>
      <c r="J284" s="8"/>
      <c r="K284" s="8"/>
      <c r="L284" s="8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8" customHeight="1">
      <c r="A285" s="8"/>
      <c r="B285" s="8"/>
      <c r="C285" s="7"/>
      <c r="D285" s="7"/>
      <c r="E285" s="7"/>
      <c r="F285" s="7"/>
      <c r="G285" s="7"/>
      <c r="H285" s="7"/>
      <c r="I285" s="7"/>
      <c r="J285" s="8"/>
      <c r="K285" s="8"/>
      <c r="L285" s="8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8" customHeight="1">
      <c r="A286" s="8"/>
      <c r="B286" s="8"/>
      <c r="C286" s="7"/>
      <c r="D286" s="7"/>
      <c r="E286" s="7"/>
      <c r="F286" s="7"/>
      <c r="G286" s="7"/>
      <c r="H286" s="7"/>
      <c r="I286" s="7"/>
      <c r="J286" s="8"/>
      <c r="K286" s="8"/>
      <c r="L286" s="8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8" customHeight="1">
      <c r="A287" s="8"/>
      <c r="B287" s="8"/>
      <c r="C287" s="7"/>
      <c r="D287" s="7"/>
      <c r="E287" s="7"/>
      <c r="F287" s="7"/>
      <c r="G287" s="7"/>
      <c r="H287" s="7"/>
      <c r="I287" s="7"/>
      <c r="J287" s="8"/>
      <c r="K287" s="8"/>
      <c r="L287" s="8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8" customHeight="1">
      <c r="A288" s="8"/>
      <c r="B288" s="8"/>
      <c r="C288" s="7"/>
      <c r="D288" s="7"/>
      <c r="E288" s="7"/>
      <c r="F288" s="7"/>
      <c r="G288" s="7"/>
      <c r="H288" s="7"/>
      <c r="I288" s="7"/>
      <c r="J288" s="8"/>
      <c r="K288" s="8"/>
      <c r="L288" s="8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8" customHeight="1">
      <c r="A289" s="8"/>
      <c r="B289" s="8"/>
      <c r="C289" s="7"/>
      <c r="D289" s="7"/>
      <c r="E289" s="7"/>
      <c r="F289" s="7"/>
      <c r="G289" s="7"/>
      <c r="H289" s="7"/>
      <c r="I289" s="7"/>
      <c r="J289" s="8"/>
      <c r="K289" s="8"/>
      <c r="L289" s="8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8" customHeight="1">
      <c r="A290" s="8"/>
      <c r="B290" s="8"/>
      <c r="C290" s="7"/>
      <c r="D290" s="7"/>
      <c r="E290" s="7"/>
      <c r="F290" s="7"/>
      <c r="G290" s="7"/>
      <c r="H290" s="7"/>
      <c r="I290" s="7"/>
      <c r="J290" s="8"/>
      <c r="K290" s="8"/>
      <c r="L290" s="8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8" customHeight="1">
      <c r="A291" s="8"/>
      <c r="B291" s="8"/>
      <c r="C291" s="7"/>
      <c r="D291" s="7"/>
      <c r="E291" s="7"/>
      <c r="F291" s="7"/>
      <c r="G291" s="7"/>
      <c r="H291" s="7"/>
      <c r="I291" s="7"/>
      <c r="J291" s="8"/>
      <c r="K291" s="8"/>
      <c r="L291" s="8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8" customHeight="1">
      <c r="A292" s="8"/>
      <c r="B292" s="8"/>
      <c r="C292" s="7"/>
      <c r="D292" s="7"/>
      <c r="E292" s="7"/>
      <c r="F292" s="7"/>
      <c r="G292" s="7"/>
      <c r="H292" s="7"/>
      <c r="I292" s="7"/>
      <c r="J292" s="8"/>
      <c r="K292" s="8"/>
      <c r="L292" s="8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8" customHeight="1">
      <c r="A293" s="8"/>
      <c r="B293" s="8"/>
      <c r="C293" s="7"/>
      <c r="D293" s="7"/>
      <c r="E293" s="7"/>
      <c r="F293" s="7"/>
      <c r="G293" s="7"/>
      <c r="H293" s="7"/>
      <c r="I293" s="7"/>
      <c r="J293" s="8"/>
      <c r="K293" s="8"/>
      <c r="L293" s="8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8" customHeight="1">
      <c r="A294" s="8"/>
      <c r="B294" s="8"/>
      <c r="C294" s="7"/>
      <c r="D294" s="7"/>
      <c r="E294" s="7"/>
      <c r="F294" s="7"/>
      <c r="G294" s="7"/>
      <c r="H294" s="7"/>
      <c r="I294" s="7"/>
      <c r="J294" s="8"/>
      <c r="K294" s="8"/>
      <c r="L294" s="8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8" customHeight="1">
      <c r="A295" s="8"/>
      <c r="B295" s="8"/>
      <c r="C295" s="7"/>
      <c r="D295" s="7"/>
      <c r="E295" s="7"/>
      <c r="F295" s="7"/>
      <c r="G295" s="7"/>
      <c r="H295" s="7"/>
      <c r="I295" s="7"/>
      <c r="J295" s="8"/>
      <c r="K295" s="8"/>
      <c r="L295" s="8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8" customHeight="1">
      <c r="A296" s="8"/>
      <c r="B296" s="8"/>
      <c r="C296" s="7"/>
      <c r="D296" s="7"/>
      <c r="E296" s="7"/>
      <c r="F296" s="7"/>
      <c r="G296" s="7"/>
      <c r="H296" s="7"/>
      <c r="I296" s="7"/>
      <c r="J296" s="8"/>
      <c r="K296" s="8"/>
      <c r="L296" s="8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8" customHeight="1">
      <c r="A297" s="8"/>
      <c r="B297" s="8"/>
      <c r="C297" s="7"/>
      <c r="D297" s="7"/>
      <c r="E297" s="7"/>
      <c r="F297" s="7"/>
      <c r="G297" s="7"/>
      <c r="H297" s="7"/>
      <c r="I297" s="7"/>
      <c r="J297" s="8"/>
      <c r="K297" s="8"/>
      <c r="L297" s="8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8" customHeight="1">
      <c r="A298" s="8"/>
      <c r="B298" s="8"/>
      <c r="C298" s="7"/>
      <c r="D298" s="7"/>
      <c r="E298" s="7"/>
      <c r="F298" s="7"/>
      <c r="G298" s="7"/>
      <c r="H298" s="7"/>
      <c r="I298" s="7"/>
      <c r="J298" s="8"/>
      <c r="K298" s="8"/>
      <c r="L298" s="8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8" customHeight="1">
      <c r="A299" s="8"/>
      <c r="B299" s="8"/>
      <c r="C299" s="7"/>
      <c r="D299" s="7"/>
      <c r="E299" s="7"/>
      <c r="F299" s="7"/>
      <c r="G299" s="7"/>
      <c r="H299" s="7"/>
      <c r="I299" s="7"/>
      <c r="J299" s="8"/>
      <c r="K299" s="8"/>
      <c r="L299" s="8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8" customHeight="1">
      <c r="A300" s="8"/>
      <c r="B300" s="8"/>
      <c r="C300" s="7"/>
      <c r="D300" s="7"/>
      <c r="E300" s="7"/>
      <c r="F300" s="7"/>
      <c r="G300" s="7"/>
      <c r="H300" s="7"/>
      <c r="I300" s="7"/>
      <c r="J300" s="8"/>
      <c r="K300" s="8"/>
      <c r="L300" s="8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8" customHeight="1">
      <c r="A301" s="8"/>
      <c r="B301" s="8"/>
      <c r="C301" s="7"/>
      <c r="D301" s="7"/>
      <c r="E301" s="7"/>
      <c r="F301" s="7"/>
      <c r="G301" s="7"/>
      <c r="H301" s="7"/>
      <c r="I301" s="7"/>
      <c r="J301" s="8"/>
      <c r="K301" s="8"/>
      <c r="L301" s="8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8" customHeight="1">
      <c r="A302" s="8"/>
      <c r="B302" s="8"/>
      <c r="C302" s="7"/>
      <c r="D302" s="7"/>
      <c r="E302" s="7"/>
      <c r="F302" s="7"/>
      <c r="G302" s="7"/>
      <c r="H302" s="7"/>
      <c r="I302" s="7"/>
      <c r="J302" s="8"/>
      <c r="K302" s="8"/>
      <c r="L302" s="8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8" customHeight="1">
      <c r="A303" s="8"/>
      <c r="B303" s="8"/>
      <c r="C303" s="7"/>
      <c r="D303" s="7"/>
      <c r="E303" s="7"/>
      <c r="F303" s="7"/>
      <c r="G303" s="7"/>
      <c r="H303" s="7"/>
      <c r="I303" s="7"/>
      <c r="J303" s="8"/>
      <c r="K303" s="8"/>
      <c r="L303" s="8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8" customHeight="1">
      <c r="A304" s="8"/>
      <c r="B304" s="8"/>
      <c r="C304" s="7"/>
      <c r="D304" s="7"/>
      <c r="E304" s="7"/>
      <c r="F304" s="7"/>
      <c r="G304" s="7"/>
      <c r="H304" s="7"/>
      <c r="I304" s="7"/>
      <c r="J304" s="8"/>
      <c r="K304" s="8"/>
      <c r="L304" s="8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8" customHeight="1">
      <c r="A305" s="8"/>
      <c r="B305" s="8"/>
      <c r="C305" s="7"/>
      <c r="D305" s="7"/>
      <c r="E305" s="7"/>
      <c r="F305" s="7"/>
      <c r="G305" s="7"/>
      <c r="H305" s="7"/>
      <c r="I305" s="7"/>
      <c r="J305" s="8"/>
      <c r="K305" s="8"/>
      <c r="L305" s="8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8" customHeight="1">
      <c r="A306" s="8"/>
      <c r="B306" s="8"/>
      <c r="C306" s="7"/>
      <c r="D306" s="7"/>
      <c r="E306" s="7"/>
      <c r="F306" s="7"/>
      <c r="G306" s="7"/>
      <c r="H306" s="7"/>
      <c r="I306" s="7"/>
      <c r="J306" s="8"/>
      <c r="K306" s="8"/>
      <c r="L306" s="8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8" customHeight="1">
      <c r="A307" s="8"/>
      <c r="B307" s="8"/>
      <c r="C307" s="7"/>
      <c r="D307" s="7"/>
      <c r="E307" s="7"/>
      <c r="F307" s="7"/>
      <c r="G307" s="7"/>
      <c r="H307" s="7"/>
      <c r="I307" s="7"/>
      <c r="J307" s="8"/>
      <c r="K307" s="8"/>
      <c r="L307" s="8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8" customHeight="1">
      <c r="A308" s="8"/>
      <c r="B308" s="8"/>
      <c r="C308" s="7"/>
      <c r="D308" s="7"/>
      <c r="E308" s="7"/>
      <c r="F308" s="7"/>
      <c r="G308" s="7"/>
      <c r="H308" s="7"/>
      <c r="I308" s="7"/>
      <c r="J308" s="8"/>
      <c r="K308" s="8"/>
      <c r="L308" s="8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8" customHeight="1">
      <c r="A309" s="8"/>
      <c r="B309" s="8"/>
      <c r="C309" s="7"/>
      <c r="D309" s="7"/>
      <c r="E309" s="7"/>
      <c r="F309" s="7"/>
      <c r="G309" s="7"/>
      <c r="H309" s="7"/>
      <c r="I309" s="7"/>
      <c r="J309" s="8"/>
      <c r="K309" s="8"/>
      <c r="L309" s="8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8" customHeight="1">
      <c r="A310" s="8"/>
      <c r="B310" s="8"/>
      <c r="C310" s="7"/>
      <c r="D310" s="7"/>
      <c r="E310" s="7"/>
      <c r="F310" s="7"/>
      <c r="G310" s="7"/>
      <c r="H310" s="7"/>
      <c r="I310" s="7"/>
      <c r="J310" s="8"/>
      <c r="K310" s="8"/>
      <c r="L310" s="8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8" customHeight="1">
      <c r="A311" s="8"/>
      <c r="B311" s="8"/>
      <c r="C311" s="7"/>
      <c r="D311" s="7"/>
      <c r="E311" s="7"/>
      <c r="F311" s="7"/>
      <c r="G311" s="7"/>
      <c r="H311" s="7"/>
      <c r="I311" s="7"/>
      <c r="J311" s="8"/>
      <c r="K311" s="8"/>
      <c r="L311" s="8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8" customHeight="1">
      <c r="A312" s="8"/>
      <c r="B312" s="8"/>
      <c r="C312" s="7"/>
      <c r="D312" s="7"/>
      <c r="E312" s="7"/>
      <c r="F312" s="7"/>
      <c r="G312" s="7"/>
      <c r="H312" s="7"/>
      <c r="I312" s="7"/>
      <c r="J312" s="8"/>
      <c r="K312" s="8"/>
      <c r="L312" s="8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8" customHeight="1">
      <c r="A313" s="8"/>
      <c r="B313" s="8"/>
      <c r="C313" s="7"/>
      <c r="D313" s="7"/>
      <c r="E313" s="7"/>
      <c r="F313" s="7"/>
      <c r="G313" s="7"/>
      <c r="H313" s="7"/>
      <c r="I313" s="7"/>
      <c r="J313" s="8"/>
      <c r="K313" s="8"/>
      <c r="L313" s="8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8" customHeight="1">
      <c r="A314" s="8"/>
      <c r="B314" s="8"/>
      <c r="C314" s="7"/>
      <c r="D314" s="7"/>
      <c r="E314" s="7"/>
      <c r="F314" s="7"/>
      <c r="G314" s="7"/>
      <c r="H314" s="7"/>
      <c r="I314" s="7"/>
      <c r="J314" s="8"/>
      <c r="K314" s="8"/>
      <c r="L314" s="8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8" customHeight="1">
      <c r="A315" s="8"/>
      <c r="B315" s="8"/>
      <c r="C315" s="7"/>
      <c r="D315" s="7"/>
      <c r="E315" s="7"/>
      <c r="F315" s="7"/>
      <c r="G315" s="7"/>
      <c r="H315" s="7"/>
      <c r="I315" s="7"/>
      <c r="J315" s="8"/>
      <c r="K315" s="8"/>
      <c r="L315" s="8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8" customHeight="1">
      <c r="A316" s="8"/>
      <c r="B316" s="8"/>
      <c r="C316" s="7"/>
      <c r="D316" s="7"/>
      <c r="E316" s="7"/>
      <c r="F316" s="7"/>
      <c r="G316" s="7"/>
      <c r="H316" s="7"/>
      <c r="I316" s="7"/>
      <c r="J316" s="8"/>
      <c r="K316" s="8"/>
      <c r="L316" s="8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8" customHeight="1">
      <c r="A317" s="8"/>
      <c r="B317" s="8"/>
      <c r="C317" s="7"/>
      <c r="D317" s="7"/>
      <c r="E317" s="7"/>
      <c r="F317" s="7"/>
      <c r="G317" s="7"/>
      <c r="H317" s="7"/>
      <c r="I317" s="7"/>
      <c r="J317" s="8"/>
      <c r="K317" s="8"/>
      <c r="L317" s="8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8" customHeight="1">
      <c r="A318" s="8"/>
      <c r="B318" s="8"/>
      <c r="C318" s="7"/>
      <c r="D318" s="7"/>
      <c r="E318" s="7"/>
      <c r="F318" s="7"/>
      <c r="G318" s="7"/>
      <c r="H318" s="7"/>
      <c r="I318" s="7"/>
      <c r="J318" s="8"/>
      <c r="K318" s="8"/>
      <c r="L318" s="8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8" customHeight="1">
      <c r="A319" s="8"/>
      <c r="B319" s="8"/>
      <c r="C319" s="7"/>
      <c r="D319" s="7"/>
      <c r="E319" s="7"/>
      <c r="F319" s="7"/>
      <c r="G319" s="7"/>
      <c r="H319" s="7"/>
      <c r="I319" s="7"/>
      <c r="J319" s="8"/>
      <c r="K319" s="8"/>
      <c r="L319" s="8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8" customHeight="1">
      <c r="A320" s="8"/>
      <c r="B320" s="8"/>
      <c r="C320" s="7"/>
      <c r="D320" s="7"/>
      <c r="E320" s="7"/>
      <c r="F320" s="7"/>
      <c r="G320" s="7"/>
      <c r="H320" s="7"/>
      <c r="I320" s="7"/>
      <c r="J320" s="8"/>
      <c r="K320" s="8"/>
      <c r="L320" s="8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8" customHeight="1">
      <c r="A321" s="8"/>
      <c r="B321" s="8"/>
      <c r="C321" s="7"/>
      <c r="D321" s="7"/>
      <c r="E321" s="7"/>
      <c r="F321" s="7"/>
      <c r="G321" s="7"/>
      <c r="H321" s="7"/>
      <c r="I321" s="7"/>
      <c r="J321" s="8"/>
      <c r="K321" s="8"/>
      <c r="L321" s="8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8" customHeight="1">
      <c r="A322" s="8"/>
      <c r="B322" s="8"/>
      <c r="C322" s="7"/>
      <c r="D322" s="7"/>
      <c r="E322" s="7"/>
      <c r="F322" s="7"/>
      <c r="G322" s="7"/>
      <c r="H322" s="7"/>
      <c r="I322" s="7"/>
      <c r="J322" s="8"/>
      <c r="K322" s="8"/>
      <c r="L322" s="8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8" customHeight="1">
      <c r="A323" s="8"/>
      <c r="B323" s="8"/>
      <c r="C323" s="7"/>
      <c r="D323" s="7"/>
      <c r="E323" s="7"/>
      <c r="F323" s="7"/>
      <c r="G323" s="7"/>
      <c r="H323" s="7"/>
      <c r="I323" s="7"/>
      <c r="J323" s="8"/>
      <c r="K323" s="8"/>
      <c r="L323" s="8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8" customHeight="1">
      <c r="A324" s="8"/>
      <c r="B324" s="8"/>
      <c r="C324" s="7"/>
      <c r="D324" s="7"/>
      <c r="E324" s="7"/>
      <c r="F324" s="7"/>
      <c r="G324" s="7"/>
      <c r="H324" s="7"/>
      <c r="I324" s="7"/>
      <c r="J324" s="8"/>
      <c r="K324" s="8"/>
      <c r="L324" s="8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8" customHeight="1">
      <c r="A325" s="8"/>
      <c r="B325" s="8"/>
      <c r="C325" s="7"/>
      <c r="D325" s="7"/>
      <c r="E325" s="7"/>
      <c r="F325" s="7"/>
      <c r="G325" s="7"/>
      <c r="H325" s="7"/>
      <c r="I325" s="7"/>
      <c r="J325" s="8"/>
      <c r="K325" s="8"/>
      <c r="L325" s="8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8" customHeight="1">
      <c r="A326" s="8"/>
      <c r="B326" s="8"/>
      <c r="C326" s="7"/>
      <c r="D326" s="7"/>
      <c r="E326" s="7"/>
      <c r="F326" s="7"/>
      <c r="G326" s="7"/>
      <c r="H326" s="7"/>
      <c r="I326" s="7"/>
      <c r="J326" s="8"/>
      <c r="K326" s="8"/>
      <c r="L326" s="8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8" customHeight="1">
      <c r="A327" s="8"/>
      <c r="B327" s="8"/>
      <c r="C327" s="7"/>
      <c r="D327" s="7"/>
      <c r="E327" s="7"/>
      <c r="F327" s="7"/>
      <c r="G327" s="7"/>
      <c r="H327" s="7"/>
      <c r="I327" s="7"/>
      <c r="J327" s="8"/>
      <c r="K327" s="8"/>
      <c r="L327" s="8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8" customHeight="1">
      <c r="A328" s="8"/>
      <c r="B328" s="8"/>
      <c r="C328" s="7"/>
      <c r="D328" s="7"/>
      <c r="E328" s="7"/>
      <c r="F328" s="7"/>
      <c r="G328" s="7"/>
      <c r="H328" s="7"/>
      <c r="I328" s="7"/>
      <c r="J328" s="8"/>
      <c r="K328" s="8"/>
      <c r="L328" s="8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8" customHeight="1">
      <c r="A329" s="8"/>
      <c r="B329" s="8"/>
      <c r="C329" s="7"/>
      <c r="D329" s="7"/>
      <c r="E329" s="7"/>
      <c r="F329" s="7"/>
      <c r="G329" s="7"/>
      <c r="H329" s="7"/>
      <c r="I329" s="7"/>
      <c r="J329" s="8"/>
      <c r="K329" s="8"/>
      <c r="L329" s="8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8" customHeight="1">
      <c r="A330" s="8"/>
      <c r="B330" s="8"/>
      <c r="C330" s="7"/>
      <c r="D330" s="7"/>
      <c r="E330" s="7"/>
      <c r="F330" s="7"/>
      <c r="G330" s="7"/>
      <c r="H330" s="7"/>
      <c r="I330" s="7"/>
      <c r="J330" s="8"/>
      <c r="K330" s="8"/>
      <c r="L330" s="8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8" customHeight="1">
      <c r="A331" s="8"/>
      <c r="B331" s="8"/>
      <c r="C331" s="7"/>
      <c r="D331" s="7"/>
      <c r="E331" s="7"/>
      <c r="F331" s="7"/>
      <c r="G331" s="7"/>
      <c r="H331" s="7"/>
      <c r="I331" s="7"/>
      <c r="J331" s="8"/>
      <c r="K331" s="8"/>
      <c r="L331" s="8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8" customHeight="1">
      <c r="A332" s="8"/>
      <c r="B332" s="8"/>
      <c r="C332" s="7"/>
      <c r="D332" s="7"/>
      <c r="E332" s="7"/>
      <c r="F332" s="7"/>
      <c r="G332" s="7"/>
      <c r="H332" s="7"/>
      <c r="I332" s="7"/>
      <c r="J332" s="8"/>
      <c r="K332" s="8"/>
      <c r="L332" s="8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8" customHeight="1">
      <c r="A333" s="8"/>
      <c r="B333" s="8"/>
      <c r="C333" s="7"/>
      <c r="D333" s="7"/>
      <c r="E333" s="7"/>
      <c r="F333" s="7"/>
      <c r="G333" s="7"/>
      <c r="H333" s="7"/>
      <c r="I333" s="7"/>
      <c r="J333" s="8"/>
      <c r="K333" s="8"/>
      <c r="L333" s="8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8" customHeight="1">
      <c r="A334" s="8"/>
      <c r="B334" s="8"/>
      <c r="C334" s="7"/>
      <c r="D334" s="7"/>
      <c r="E334" s="7"/>
      <c r="F334" s="7"/>
      <c r="G334" s="7"/>
      <c r="H334" s="7"/>
      <c r="I334" s="7"/>
      <c r="J334" s="8"/>
      <c r="K334" s="8"/>
      <c r="L334" s="8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8" customHeight="1">
      <c r="A335" s="8"/>
      <c r="B335" s="8"/>
      <c r="C335" s="7"/>
      <c r="D335" s="7"/>
      <c r="E335" s="7"/>
      <c r="F335" s="7"/>
      <c r="G335" s="7"/>
      <c r="H335" s="7"/>
      <c r="I335" s="7"/>
      <c r="J335" s="8"/>
      <c r="K335" s="8"/>
      <c r="L335" s="8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8" customHeight="1">
      <c r="A336" s="8"/>
      <c r="B336" s="8"/>
      <c r="C336" s="7"/>
      <c r="D336" s="7"/>
      <c r="E336" s="7"/>
      <c r="F336" s="7"/>
      <c r="G336" s="7"/>
      <c r="H336" s="7"/>
      <c r="I336" s="7"/>
      <c r="J336" s="8"/>
      <c r="K336" s="8"/>
      <c r="L336" s="8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8" customHeight="1">
      <c r="A337" s="8"/>
      <c r="B337" s="8"/>
      <c r="C337" s="7"/>
      <c r="D337" s="7"/>
      <c r="E337" s="7"/>
      <c r="F337" s="7"/>
      <c r="G337" s="7"/>
      <c r="H337" s="7"/>
      <c r="I337" s="7"/>
      <c r="J337" s="8"/>
      <c r="K337" s="8"/>
      <c r="L337" s="8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8" customHeight="1">
      <c r="A338" s="8"/>
      <c r="B338" s="8"/>
      <c r="C338" s="7"/>
      <c r="D338" s="7"/>
      <c r="E338" s="7"/>
      <c r="F338" s="7"/>
      <c r="G338" s="7"/>
      <c r="H338" s="7"/>
      <c r="I338" s="7"/>
      <c r="J338" s="8"/>
      <c r="K338" s="8"/>
      <c r="L338" s="8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8" customHeight="1">
      <c r="A339" s="8"/>
      <c r="B339" s="8"/>
      <c r="C339" s="7"/>
      <c r="D339" s="7"/>
      <c r="E339" s="7"/>
      <c r="F339" s="7"/>
      <c r="G339" s="7"/>
      <c r="H339" s="7"/>
      <c r="I339" s="7"/>
      <c r="J339" s="8"/>
      <c r="K339" s="8"/>
      <c r="L339" s="8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8" customHeight="1">
      <c r="A340" s="8"/>
      <c r="B340" s="8"/>
      <c r="C340" s="7"/>
      <c r="D340" s="7"/>
      <c r="E340" s="7"/>
      <c r="F340" s="7"/>
      <c r="G340" s="7"/>
      <c r="H340" s="7"/>
      <c r="I340" s="7"/>
      <c r="J340" s="8"/>
      <c r="K340" s="8"/>
      <c r="L340" s="8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8" customHeight="1">
      <c r="A341" s="8"/>
      <c r="B341" s="8"/>
      <c r="C341" s="7"/>
      <c r="D341" s="7"/>
      <c r="E341" s="7"/>
      <c r="F341" s="7"/>
      <c r="G341" s="7"/>
      <c r="H341" s="7"/>
      <c r="I341" s="7"/>
      <c r="J341" s="8"/>
      <c r="K341" s="8"/>
      <c r="L341" s="8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8" customHeight="1">
      <c r="A342" s="8"/>
      <c r="B342" s="8"/>
      <c r="C342" s="7"/>
      <c r="D342" s="7"/>
      <c r="E342" s="7"/>
      <c r="F342" s="7"/>
      <c r="G342" s="7"/>
      <c r="H342" s="7"/>
      <c r="I342" s="7"/>
      <c r="J342" s="8"/>
      <c r="K342" s="8"/>
      <c r="L342" s="8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8" customHeight="1">
      <c r="A343" s="8"/>
      <c r="B343" s="8"/>
      <c r="C343" s="7"/>
      <c r="D343" s="7"/>
      <c r="E343" s="7"/>
      <c r="F343" s="7"/>
      <c r="G343" s="7"/>
      <c r="H343" s="7"/>
      <c r="I343" s="7"/>
      <c r="J343" s="8"/>
      <c r="K343" s="8"/>
      <c r="L343" s="8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8" customHeight="1">
      <c r="A344" s="8"/>
      <c r="B344" s="8"/>
      <c r="C344" s="7"/>
      <c r="D344" s="7"/>
      <c r="E344" s="7"/>
      <c r="F344" s="7"/>
      <c r="G344" s="7"/>
      <c r="H344" s="7"/>
      <c r="I344" s="7"/>
      <c r="J344" s="8"/>
      <c r="K344" s="8"/>
      <c r="L344" s="8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8" customHeight="1">
      <c r="A345" s="8"/>
      <c r="B345" s="8"/>
      <c r="C345" s="7"/>
      <c r="D345" s="7"/>
      <c r="E345" s="7"/>
      <c r="F345" s="7"/>
      <c r="G345" s="7"/>
      <c r="H345" s="7"/>
      <c r="I345" s="7"/>
      <c r="J345" s="8"/>
      <c r="K345" s="8"/>
      <c r="L345" s="8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8" customHeight="1">
      <c r="A346" s="8"/>
      <c r="B346" s="8"/>
      <c r="C346" s="7"/>
      <c r="D346" s="7"/>
      <c r="E346" s="7"/>
      <c r="F346" s="7"/>
      <c r="G346" s="7"/>
      <c r="H346" s="7"/>
      <c r="I346" s="7"/>
      <c r="J346" s="8"/>
      <c r="K346" s="8"/>
      <c r="L346" s="8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8" customHeight="1">
      <c r="A347" s="8"/>
      <c r="B347" s="8"/>
      <c r="C347" s="7"/>
      <c r="D347" s="7"/>
      <c r="E347" s="7"/>
      <c r="F347" s="7"/>
      <c r="G347" s="7"/>
      <c r="H347" s="7"/>
      <c r="I347" s="7"/>
      <c r="J347" s="8"/>
      <c r="K347" s="8"/>
      <c r="L347" s="8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8" customHeight="1">
      <c r="A348" s="8"/>
      <c r="B348" s="8"/>
      <c r="C348" s="7"/>
      <c r="D348" s="7"/>
      <c r="E348" s="7"/>
      <c r="F348" s="7"/>
      <c r="G348" s="7"/>
      <c r="H348" s="7"/>
      <c r="I348" s="7"/>
      <c r="J348" s="8"/>
      <c r="K348" s="8"/>
      <c r="L348" s="8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8" customHeight="1">
      <c r="A349" s="8"/>
      <c r="B349" s="8"/>
      <c r="C349" s="7"/>
      <c r="D349" s="7"/>
      <c r="E349" s="7"/>
      <c r="F349" s="7"/>
      <c r="G349" s="7"/>
      <c r="H349" s="7"/>
      <c r="I349" s="7"/>
      <c r="J349" s="8"/>
      <c r="K349" s="8"/>
      <c r="L349" s="8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8" customHeight="1">
      <c r="A350" s="8"/>
      <c r="B350" s="8"/>
      <c r="C350" s="7"/>
      <c r="D350" s="7"/>
      <c r="E350" s="7"/>
      <c r="F350" s="7"/>
      <c r="G350" s="7"/>
      <c r="H350" s="7"/>
      <c r="I350" s="7"/>
      <c r="J350" s="8"/>
      <c r="K350" s="8"/>
      <c r="L350" s="8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8" customHeight="1">
      <c r="A351" s="8"/>
      <c r="B351" s="8"/>
      <c r="C351" s="7"/>
      <c r="D351" s="7"/>
      <c r="E351" s="7"/>
      <c r="F351" s="7"/>
      <c r="G351" s="7"/>
      <c r="H351" s="7"/>
      <c r="I351" s="7"/>
      <c r="J351" s="8"/>
      <c r="K351" s="8"/>
      <c r="L351" s="8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8" customHeight="1">
      <c r="A352" s="8"/>
      <c r="B352" s="8"/>
      <c r="C352" s="7"/>
      <c r="D352" s="7"/>
      <c r="E352" s="7"/>
      <c r="F352" s="7"/>
      <c r="G352" s="7"/>
      <c r="H352" s="7"/>
      <c r="I352" s="7"/>
      <c r="J352" s="8"/>
      <c r="K352" s="8"/>
      <c r="L352" s="8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8" customHeight="1">
      <c r="A353" s="8"/>
      <c r="B353" s="8"/>
      <c r="C353" s="7"/>
      <c r="D353" s="7"/>
      <c r="E353" s="7"/>
      <c r="F353" s="7"/>
      <c r="G353" s="7"/>
      <c r="H353" s="7"/>
      <c r="I353" s="7"/>
      <c r="J353" s="8"/>
      <c r="K353" s="8"/>
      <c r="L353" s="8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8" customHeight="1">
      <c r="A354" s="8"/>
      <c r="B354" s="8"/>
      <c r="C354" s="7"/>
      <c r="D354" s="7"/>
      <c r="E354" s="7"/>
      <c r="F354" s="7"/>
      <c r="G354" s="7"/>
      <c r="H354" s="7"/>
      <c r="I354" s="7"/>
      <c r="J354" s="8"/>
      <c r="K354" s="8"/>
      <c r="L354" s="8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8" customHeight="1">
      <c r="A355" s="8"/>
      <c r="B355" s="8"/>
      <c r="C355" s="7"/>
      <c r="D355" s="7"/>
      <c r="E355" s="7"/>
      <c r="F355" s="7"/>
      <c r="G355" s="7"/>
      <c r="H355" s="7"/>
      <c r="I355" s="7"/>
      <c r="J355" s="8"/>
      <c r="K355" s="8"/>
      <c r="L355" s="8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8" customHeight="1">
      <c r="A356" s="8"/>
      <c r="B356" s="8"/>
      <c r="C356" s="7"/>
      <c r="D356" s="7"/>
      <c r="E356" s="7"/>
      <c r="F356" s="7"/>
      <c r="G356" s="7"/>
      <c r="H356" s="7"/>
      <c r="I356" s="7"/>
      <c r="J356" s="8"/>
      <c r="K356" s="8"/>
      <c r="L356" s="8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8" customHeight="1">
      <c r="A357" s="8"/>
      <c r="B357" s="8"/>
      <c r="C357" s="7"/>
      <c r="D357" s="7"/>
      <c r="E357" s="7"/>
      <c r="F357" s="7"/>
      <c r="G357" s="7"/>
      <c r="H357" s="7"/>
      <c r="I357" s="7"/>
      <c r="J357" s="8"/>
      <c r="K357" s="8"/>
      <c r="L357" s="8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8" customHeight="1">
      <c r="A358" s="8"/>
      <c r="B358" s="8"/>
      <c r="C358" s="7"/>
      <c r="D358" s="7"/>
      <c r="E358" s="7"/>
      <c r="F358" s="7"/>
      <c r="G358" s="7"/>
      <c r="H358" s="7"/>
      <c r="I358" s="7"/>
      <c r="J358" s="8"/>
      <c r="K358" s="8"/>
      <c r="L358" s="8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8" customHeight="1">
      <c r="A359" s="8"/>
      <c r="B359" s="8"/>
      <c r="C359" s="7"/>
      <c r="D359" s="7"/>
      <c r="E359" s="7"/>
      <c r="F359" s="7"/>
      <c r="G359" s="7"/>
      <c r="H359" s="7"/>
      <c r="I359" s="7"/>
      <c r="J359" s="8"/>
      <c r="K359" s="8"/>
      <c r="L359" s="8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8" customHeight="1">
      <c r="A360" s="8"/>
      <c r="B360" s="8"/>
      <c r="C360" s="7"/>
      <c r="D360" s="7"/>
      <c r="E360" s="7"/>
      <c r="F360" s="7"/>
      <c r="G360" s="7"/>
      <c r="H360" s="7"/>
      <c r="I360" s="7"/>
      <c r="J360" s="8"/>
      <c r="K360" s="8"/>
      <c r="L360" s="8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8" customHeight="1">
      <c r="A361" s="8"/>
      <c r="B361" s="8"/>
      <c r="C361" s="7"/>
      <c r="D361" s="7"/>
      <c r="E361" s="7"/>
      <c r="F361" s="7"/>
      <c r="G361" s="7"/>
      <c r="H361" s="7"/>
      <c r="I361" s="7"/>
      <c r="J361" s="8"/>
      <c r="K361" s="8"/>
      <c r="L361" s="8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8" customHeight="1">
      <c r="A362" s="8"/>
      <c r="B362" s="8"/>
      <c r="C362" s="7"/>
      <c r="D362" s="7"/>
      <c r="E362" s="7"/>
      <c r="F362" s="7"/>
      <c r="G362" s="7"/>
      <c r="H362" s="7"/>
      <c r="I362" s="7"/>
      <c r="J362" s="8"/>
      <c r="K362" s="8"/>
      <c r="L362" s="8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8" customHeight="1">
      <c r="A363" s="8"/>
      <c r="B363" s="8"/>
      <c r="C363" s="7"/>
      <c r="D363" s="7"/>
      <c r="E363" s="7"/>
      <c r="F363" s="7"/>
      <c r="G363" s="7"/>
      <c r="H363" s="7"/>
      <c r="I363" s="7"/>
      <c r="J363" s="8"/>
      <c r="K363" s="8"/>
      <c r="L363" s="8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8" customHeight="1">
      <c r="A364" s="8"/>
      <c r="B364" s="8"/>
      <c r="C364" s="7"/>
      <c r="D364" s="7"/>
      <c r="E364" s="7"/>
      <c r="F364" s="7"/>
      <c r="G364" s="7"/>
      <c r="H364" s="7"/>
      <c r="I364" s="7"/>
      <c r="J364" s="8"/>
      <c r="K364" s="8"/>
      <c r="L364" s="8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8" customHeight="1">
      <c r="A365" s="8"/>
      <c r="B365" s="8"/>
      <c r="C365" s="7"/>
      <c r="D365" s="7"/>
      <c r="E365" s="7"/>
      <c r="F365" s="7"/>
      <c r="G365" s="7"/>
      <c r="H365" s="7"/>
      <c r="I365" s="7"/>
      <c r="J365" s="8"/>
      <c r="K365" s="8"/>
      <c r="L365" s="8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8" customHeight="1">
      <c r="A366" s="8"/>
      <c r="B366" s="8"/>
      <c r="C366" s="7"/>
      <c r="D366" s="7"/>
      <c r="E366" s="7"/>
      <c r="F366" s="7"/>
      <c r="G366" s="7"/>
      <c r="H366" s="7"/>
      <c r="I366" s="7"/>
      <c r="J366" s="8"/>
      <c r="K366" s="8"/>
      <c r="L366" s="8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8" customHeight="1">
      <c r="A367" s="8"/>
      <c r="B367" s="8"/>
      <c r="C367" s="7"/>
      <c r="D367" s="7"/>
      <c r="E367" s="7"/>
      <c r="F367" s="7"/>
      <c r="G367" s="7"/>
      <c r="H367" s="7"/>
      <c r="I367" s="7"/>
      <c r="J367" s="8"/>
      <c r="K367" s="8"/>
      <c r="L367" s="8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8" customHeight="1">
      <c r="A368" s="8"/>
      <c r="B368" s="8"/>
      <c r="C368" s="7"/>
      <c r="D368" s="7"/>
      <c r="E368" s="7"/>
      <c r="F368" s="7"/>
      <c r="G368" s="7"/>
      <c r="H368" s="7"/>
      <c r="I368" s="7"/>
      <c r="J368" s="8"/>
      <c r="K368" s="8"/>
      <c r="L368" s="8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8" customHeight="1">
      <c r="A369" s="8"/>
      <c r="B369" s="8"/>
      <c r="C369" s="7"/>
      <c r="D369" s="7"/>
      <c r="E369" s="7"/>
      <c r="F369" s="7"/>
      <c r="G369" s="7"/>
      <c r="H369" s="7"/>
      <c r="I369" s="7"/>
      <c r="J369" s="8"/>
      <c r="K369" s="8"/>
      <c r="L369" s="8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8" customHeight="1">
      <c r="A370" s="8"/>
      <c r="B370" s="8"/>
      <c r="C370" s="7"/>
      <c r="D370" s="7"/>
      <c r="E370" s="7"/>
      <c r="F370" s="7"/>
      <c r="G370" s="7"/>
      <c r="H370" s="7"/>
      <c r="I370" s="7"/>
      <c r="J370" s="8"/>
      <c r="K370" s="8"/>
      <c r="L370" s="8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8" customHeight="1">
      <c r="A371" s="8"/>
      <c r="B371" s="8"/>
      <c r="C371" s="7"/>
      <c r="D371" s="7"/>
      <c r="E371" s="7"/>
      <c r="F371" s="7"/>
      <c r="G371" s="7"/>
      <c r="H371" s="7"/>
      <c r="I371" s="7"/>
      <c r="J371" s="8"/>
      <c r="K371" s="8"/>
      <c r="L371" s="8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8" customHeight="1">
      <c r="A372" s="8"/>
      <c r="B372" s="8"/>
      <c r="C372" s="7"/>
      <c r="D372" s="7"/>
      <c r="E372" s="7"/>
      <c r="F372" s="7"/>
      <c r="G372" s="7"/>
      <c r="H372" s="7"/>
      <c r="I372" s="7"/>
      <c r="J372" s="8"/>
      <c r="K372" s="8"/>
      <c r="L372" s="8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8" customHeight="1">
      <c r="A373" s="8"/>
      <c r="B373" s="8"/>
      <c r="C373" s="7"/>
      <c r="D373" s="7"/>
      <c r="E373" s="7"/>
      <c r="F373" s="7"/>
      <c r="G373" s="7"/>
      <c r="H373" s="7"/>
      <c r="I373" s="7"/>
      <c r="J373" s="8"/>
      <c r="K373" s="8"/>
      <c r="L373" s="8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8" customHeight="1">
      <c r="A374" s="8"/>
      <c r="B374" s="8"/>
      <c r="C374" s="7"/>
      <c r="D374" s="7"/>
      <c r="E374" s="7"/>
      <c r="F374" s="7"/>
      <c r="G374" s="7"/>
      <c r="H374" s="7"/>
      <c r="I374" s="7"/>
      <c r="J374" s="8"/>
      <c r="K374" s="8"/>
      <c r="L374" s="8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8" customHeight="1">
      <c r="A375" s="8"/>
      <c r="B375" s="8"/>
      <c r="C375" s="7"/>
      <c r="D375" s="7"/>
      <c r="E375" s="7"/>
      <c r="F375" s="7"/>
      <c r="G375" s="7"/>
      <c r="H375" s="7"/>
      <c r="I375" s="7"/>
      <c r="J375" s="8"/>
      <c r="K375" s="8"/>
      <c r="L375" s="8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8" customHeight="1">
      <c r="A376" s="8"/>
      <c r="B376" s="8"/>
      <c r="C376" s="7"/>
      <c r="D376" s="7"/>
      <c r="E376" s="7"/>
      <c r="F376" s="7"/>
      <c r="G376" s="7"/>
      <c r="H376" s="7"/>
      <c r="I376" s="7"/>
      <c r="J376" s="8"/>
      <c r="K376" s="8"/>
      <c r="L376" s="8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8" customHeight="1">
      <c r="A377" s="8"/>
      <c r="B377" s="8"/>
      <c r="C377" s="7"/>
      <c r="D377" s="7"/>
      <c r="E377" s="7"/>
      <c r="F377" s="7"/>
      <c r="G377" s="7"/>
      <c r="H377" s="7"/>
      <c r="I377" s="7"/>
      <c r="J377" s="8"/>
      <c r="K377" s="8"/>
      <c r="L377" s="8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8" customHeight="1">
      <c r="A378" s="8"/>
      <c r="B378" s="8"/>
      <c r="C378" s="7"/>
      <c r="D378" s="7"/>
      <c r="E378" s="7"/>
      <c r="F378" s="7"/>
      <c r="G378" s="7"/>
      <c r="H378" s="7"/>
      <c r="I378" s="7"/>
      <c r="J378" s="8"/>
      <c r="K378" s="8"/>
      <c r="L378" s="8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8" customHeight="1">
      <c r="A379" s="8"/>
      <c r="B379" s="8"/>
      <c r="C379" s="7"/>
      <c r="D379" s="7"/>
      <c r="E379" s="7"/>
      <c r="F379" s="7"/>
      <c r="G379" s="7"/>
      <c r="H379" s="7"/>
      <c r="I379" s="7"/>
      <c r="J379" s="8"/>
      <c r="K379" s="8"/>
      <c r="L379" s="8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8" customHeight="1">
      <c r="A380" s="8"/>
      <c r="B380" s="8"/>
      <c r="C380" s="7"/>
      <c r="D380" s="7"/>
      <c r="E380" s="7"/>
      <c r="F380" s="7"/>
      <c r="G380" s="7"/>
      <c r="H380" s="7"/>
      <c r="I380" s="7"/>
      <c r="J380" s="8"/>
      <c r="K380" s="8"/>
      <c r="L380" s="8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8" customHeight="1">
      <c r="A381" s="8"/>
      <c r="B381" s="8"/>
      <c r="C381" s="7"/>
      <c r="D381" s="7"/>
      <c r="E381" s="7"/>
      <c r="F381" s="7"/>
      <c r="G381" s="7"/>
      <c r="H381" s="7"/>
      <c r="I381" s="7"/>
      <c r="J381" s="8"/>
      <c r="K381" s="8"/>
      <c r="L381" s="8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8" customHeight="1">
      <c r="A382" s="8"/>
      <c r="B382" s="8"/>
      <c r="C382" s="7"/>
      <c r="D382" s="7"/>
      <c r="E382" s="7"/>
      <c r="F382" s="7"/>
      <c r="G382" s="7"/>
      <c r="H382" s="7"/>
      <c r="I382" s="7"/>
      <c r="J382" s="8"/>
      <c r="K382" s="8"/>
      <c r="L382" s="8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8" customHeight="1">
      <c r="A383" s="8"/>
      <c r="B383" s="8"/>
      <c r="C383" s="7"/>
      <c r="D383" s="7"/>
      <c r="E383" s="7"/>
      <c r="F383" s="7"/>
      <c r="G383" s="7"/>
      <c r="H383" s="7"/>
      <c r="I383" s="7"/>
      <c r="J383" s="8"/>
      <c r="K383" s="8"/>
      <c r="L383" s="8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8" customHeight="1">
      <c r="A384" s="8"/>
      <c r="B384" s="8"/>
      <c r="C384" s="7"/>
      <c r="D384" s="7"/>
      <c r="E384" s="7"/>
      <c r="F384" s="7"/>
      <c r="G384" s="7"/>
      <c r="H384" s="7"/>
      <c r="I384" s="7"/>
      <c r="J384" s="8"/>
      <c r="K384" s="8"/>
      <c r="L384" s="8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8" customHeight="1">
      <c r="A385" s="8"/>
      <c r="B385" s="8"/>
      <c r="C385" s="7"/>
      <c r="D385" s="7"/>
      <c r="E385" s="7"/>
      <c r="F385" s="7"/>
      <c r="G385" s="7"/>
      <c r="H385" s="7"/>
      <c r="I385" s="7"/>
      <c r="J385" s="8"/>
      <c r="K385" s="8"/>
      <c r="L385" s="8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8" customHeight="1">
      <c r="A386" s="8"/>
      <c r="B386" s="8"/>
      <c r="C386" s="7"/>
      <c r="D386" s="7"/>
      <c r="E386" s="7"/>
      <c r="F386" s="7"/>
      <c r="G386" s="7"/>
      <c r="H386" s="7"/>
      <c r="I386" s="7"/>
      <c r="J386" s="8"/>
      <c r="K386" s="8"/>
      <c r="L386" s="8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8" customHeight="1">
      <c r="A387" s="8"/>
      <c r="B387" s="8"/>
      <c r="C387" s="7"/>
      <c r="D387" s="7"/>
      <c r="E387" s="7"/>
      <c r="F387" s="7"/>
      <c r="G387" s="7"/>
      <c r="H387" s="7"/>
      <c r="I387" s="7"/>
      <c r="J387" s="8"/>
      <c r="K387" s="8"/>
      <c r="L387" s="8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8" customHeight="1">
      <c r="A388" s="8"/>
      <c r="B388" s="8"/>
      <c r="C388" s="7"/>
      <c r="D388" s="7"/>
      <c r="E388" s="7"/>
      <c r="F388" s="7"/>
      <c r="G388" s="7"/>
      <c r="H388" s="7"/>
      <c r="I388" s="7"/>
      <c r="J388" s="8"/>
      <c r="K388" s="8"/>
      <c r="L388" s="8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8" customHeight="1">
      <c r="A389" s="8"/>
      <c r="B389" s="8"/>
      <c r="C389" s="7"/>
      <c r="D389" s="7"/>
      <c r="E389" s="7"/>
      <c r="F389" s="7"/>
      <c r="G389" s="7"/>
      <c r="H389" s="7"/>
      <c r="I389" s="7"/>
      <c r="J389" s="8"/>
      <c r="K389" s="8"/>
      <c r="L389" s="8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8" customHeight="1">
      <c r="A390" s="8"/>
      <c r="B390" s="8"/>
      <c r="C390" s="7"/>
      <c r="D390" s="7"/>
      <c r="E390" s="7"/>
      <c r="F390" s="7"/>
      <c r="G390" s="7"/>
      <c r="H390" s="7"/>
      <c r="I390" s="7"/>
      <c r="J390" s="8"/>
      <c r="K390" s="8"/>
      <c r="L390" s="8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8" customHeight="1">
      <c r="A391" s="8"/>
      <c r="B391" s="8"/>
      <c r="C391" s="7"/>
      <c r="D391" s="7"/>
      <c r="E391" s="7"/>
      <c r="F391" s="7"/>
      <c r="G391" s="7"/>
      <c r="H391" s="7"/>
      <c r="I391" s="7"/>
      <c r="J391" s="8"/>
      <c r="K391" s="8"/>
      <c r="L391" s="8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8" customHeight="1">
      <c r="A392" s="8"/>
      <c r="B392" s="8"/>
      <c r="C392" s="7"/>
      <c r="D392" s="7"/>
      <c r="E392" s="7"/>
      <c r="F392" s="7"/>
      <c r="G392" s="7"/>
      <c r="H392" s="7"/>
      <c r="I392" s="7"/>
      <c r="J392" s="8"/>
      <c r="K392" s="8"/>
      <c r="L392" s="8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8" customHeight="1">
      <c r="A393" s="8"/>
      <c r="B393" s="8"/>
      <c r="C393" s="7"/>
      <c r="D393" s="7"/>
      <c r="E393" s="7"/>
      <c r="F393" s="7"/>
      <c r="G393" s="7"/>
      <c r="H393" s="7"/>
      <c r="I393" s="7"/>
      <c r="J393" s="8"/>
      <c r="K393" s="8"/>
      <c r="L393" s="8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8" customHeight="1">
      <c r="A394" s="8"/>
      <c r="B394" s="8"/>
      <c r="C394" s="7"/>
      <c r="D394" s="7"/>
      <c r="E394" s="7"/>
      <c r="F394" s="7"/>
      <c r="G394" s="7"/>
      <c r="H394" s="7"/>
      <c r="I394" s="7"/>
      <c r="J394" s="8"/>
      <c r="K394" s="8"/>
      <c r="L394" s="8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8" customHeight="1">
      <c r="A395" s="8"/>
      <c r="B395" s="8"/>
      <c r="C395" s="7"/>
      <c r="D395" s="7"/>
      <c r="E395" s="7"/>
      <c r="F395" s="7"/>
      <c r="G395" s="7"/>
      <c r="H395" s="7"/>
      <c r="I395" s="7"/>
      <c r="J395" s="8"/>
      <c r="K395" s="8"/>
      <c r="L395" s="8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8" customHeight="1">
      <c r="A396" s="8"/>
      <c r="B396" s="8"/>
      <c r="C396" s="7"/>
      <c r="D396" s="7"/>
      <c r="E396" s="7"/>
      <c r="F396" s="7"/>
      <c r="G396" s="7"/>
      <c r="H396" s="7"/>
      <c r="I396" s="7"/>
      <c r="J396" s="8"/>
      <c r="K396" s="8"/>
      <c r="L396" s="8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8" customHeight="1">
      <c r="A397" s="8"/>
      <c r="B397" s="8"/>
      <c r="C397" s="7"/>
      <c r="D397" s="7"/>
      <c r="E397" s="7"/>
      <c r="F397" s="7"/>
      <c r="G397" s="7"/>
      <c r="H397" s="7"/>
      <c r="I397" s="7"/>
      <c r="J397" s="8"/>
      <c r="K397" s="8"/>
      <c r="L397" s="8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8" customHeight="1">
      <c r="A398" s="8"/>
      <c r="B398" s="8"/>
      <c r="C398" s="7"/>
      <c r="D398" s="7"/>
      <c r="E398" s="7"/>
      <c r="F398" s="7"/>
      <c r="G398" s="7"/>
      <c r="H398" s="7"/>
      <c r="I398" s="7"/>
      <c r="J398" s="8"/>
      <c r="K398" s="8"/>
      <c r="L398" s="8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8" customHeight="1">
      <c r="A399" s="8"/>
      <c r="B399" s="8"/>
      <c r="C399" s="7"/>
      <c r="D399" s="7"/>
      <c r="E399" s="7"/>
      <c r="F399" s="7"/>
      <c r="G399" s="7"/>
      <c r="H399" s="7"/>
      <c r="I399" s="7"/>
      <c r="J399" s="8"/>
      <c r="K399" s="8"/>
      <c r="L399" s="8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8" customHeight="1">
      <c r="A400" s="8"/>
      <c r="B400" s="8"/>
      <c r="C400" s="7"/>
      <c r="D400" s="7"/>
      <c r="E400" s="7"/>
      <c r="F400" s="7"/>
      <c r="G400" s="7"/>
      <c r="H400" s="7"/>
      <c r="I400" s="7"/>
      <c r="J400" s="8"/>
      <c r="K400" s="8"/>
      <c r="L400" s="8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8" customHeight="1">
      <c r="A401" s="8"/>
      <c r="B401" s="8"/>
      <c r="C401" s="7"/>
      <c r="D401" s="7"/>
      <c r="E401" s="7"/>
      <c r="F401" s="7"/>
      <c r="G401" s="7"/>
      <c r="H401" s="7"/>
      <c r="I401" s="7"/>
      <c r="J401" s="8"/>
      <c r="K401" s="8"/>
      <c r="L401" s="8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8" customHeight="1">
      <c r="A402" s="8"/>
      <c r="B402" s="8"/>
      <c r="C402" s="7"/>
      <c r="D402" s="7"/>
      <c r="E402" s="7"/>
      <c r="F402" s="7"/>
      <c r="G402" s="7"/>
      <c r="H402" s="7"/>
      <c r="I402" s="7"/>
      <c r="J402" s="8"/>
      <c r="K402" s="8"/>
      <c r="L402" s="8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8" customHeight="1">
      <c r="A403" s="8"/>
      <c r="B403" s="8"/>
      <c r="C403" s="7"/>
      <c r="D403" s="7"/>
      <c r="E403" s="7"/>
      <c r="F403" s="7"/>
      <c r="G403" s="7"/>
      <c r="H403" s="7"/>
      <c r="I403" s="7"/>
      <c r="J403" s="8"/>
      <c r="K403" s="8"/>
      <c r="L403" s="8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8" customHeight="1">
      <c r="A404" s="8"/>
      <c r="B404" s="8"/>
      <c r="C404" s="7"/>
      <c r="D404" s="7"/>
      <c r="E404" s="7"/>
      <c r="F404" s="7"/>
      <c r="G404" s="7"/>
      <c r="H404" s="7"/>
      <c r="I404" s="7"/>
      <c r="J404" s="8"/>
      <c r="K404" s="8"/>
      <c r="L404" s="8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8" customHeight="1">
      <c r="A405" s="8"/>
      <c r="B405" s="8"/>
      <c r="C405" s="7"/>
      <c r="D405" s="7"/>
      <c r="E405" s="7"/>
      <c r="F405" s="7"/>
      <c r="G405" s="7"/>
      <c r="H405" s="7"/>
      <c r="I405" s="7"/>
      <c r="J405" s="8"/>
      <c r="K405" s="8"/>
      <c r="L405" s="8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8" customHeight="1">
      <c r="A406" s="8"/>
      <c r="B406" s="8"/>
      <c r="C406" s="7"/>
      <c r="D406" s="7"/>
      <c r="E406" s="7"/>
      <c r="F406" s="7"/>
      <c r="G406" s="7"/>
      <c r="H406" s="7"/>
      <c r="I406" s="7"/>
      <c r="J406" s="8"/>
      <c r="K406" s="8"/>
      <c r="L406" s="8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8" customHeight="1">
      <c r="A407" s="8"/>
      <c r="B407" s="8"/>
      <c r="C407" s="7"/>
      <c r="D407" s="7"/>
      <c r="E407" s="7"/>
      <c r="F407" s="7"/>
      <c r="G407" s="7"/>
      <c r="H407" s="7"/>
      <c r="I407" s="7"/>
      <c r="J407" s="8"/>
      <c r="K407" s="8"/>
      <c r="L407" s="8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8" customHeight="1">
      <c r="A408" s="8"/>
      <c r="B408" s="8"/>
      <c r="C408" s="7"/>
      <c r="D408" s="7"/>
      <c r="E408" s="7"/>
      <c r="F408" s="7"/>
      <c r="G408" s="7"/>
      <c r="H408" s="7"/>
      <c r="I408" s="7"/>
      <c r="J408" s="8"/>
      <c r="K408" s="8"/>
      <c r="L408" s="8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8" customHeight="1">
      <c r="A409" s="8"/>
      <c r="B409" s="8"/>
      <c r="C409" s="7"/>
      <c r="D409" s="7"/>
      <c r="E409" s="7"/>
      <c r="F409" s="7"/>
      <c r="G409" s="7"/>
      <c r="H409" s="7"/>
      <c r="I409" s="7"/>
      <c r="J409" s="8"/>
      <c r="K409" s="8"/>
      <c r="L409" s="8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8" customHeight="1">
      <c r="A410" s="8"/>
      <c r="B410" s="8"/>
      <c r="C410" s="7"/>
      <c r="D410" s="7"/>
      <c r="E410" s="7"/>
      <c r="F410" s="7"/>
      <c r="G410" s="7"/>
      <c r="H410" s="7"/>
      <c r="I410" s="7"/>
      <c r="J410" s="8"/>
      <c r="K410" s="8"/>
      <c r="L410" s="8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8" customHeight="1">
      <c r="A411" s="8"/>
      <c r="B411" s="8"/>
      <c r="C411" s="7"/>
      <c r="D411" s="7"/>
      <c r="E411" s="7"/>
      <c r="F411" s="7"/>
      <c r="G411" s="7"/>
      <c r="H411" s="7"/>
      <c r="I411" s="7"/>
      <c r="J411" s="8"/>
      <c r="K411" s="8"/>
      <c r="L411" s="8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8" customHeight="1">
      <c r="A412" s="8"/>
      <c r="B412" s="8"/>
      <c r="C412" s="7"/>
      <c r="D412" s="7"/>
      <c r="E412" s="7"/>
      <c r="F412" s="7"/>
      <c r="G412" s="7"/>
      <c r="H412" s="7"/>
      <c r="I412" s="7"/>
      <c r="J412" s="8"/>
      <c r="K412" s="8"/>
      <c r="L412" s="8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8" customHeight="1">
      <c r="A413" s="8"/>
      <c r="B413" s="8"/>
      <c r="C413" s="7"/>
      <c r="D413" s="7"/>
      <c r="E413" s="7"/>
      <c r="F413" s="7"/>
      <c r="G413" s="7"/>
      <c r="H413" s="7"/>
      <c r="I413" s="7"/>
      <c r="J413" s="8"/>
      <c r="K413" s="8"/>
      <c r="L413" s="8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8" customHeight="1">
      <c r="A414" s="8"/>
      <c r="B414" s="8"/>
      <c r="C414" s="7"/>
      <c r="D414" s="7"/>
      <c r="E414" s="7"/>
      <c r="F414" s="7"/>
      <c r="G414" s="7"/>
      <c r="H414" s="7"/>
      <c r="I414" s="7"/>
      <c r="J414" s="8"/>
      <c r="K414" s="8"/>
      <c r="L414" s="8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8" customHeight="1">
      <c r="A415" s="8"/>
      <c r="B415" s="8"/>
      <c r="C415" s="7"/>
      <c r="D415" s="7"/>
      <c r="E415" s="7"/>
      <c r="F415" s="7"/>
      <c r="G415" s="7"/>
      <c r="H415" s="7"/>
      <c r="I415" s="7"/>
      <c r="J415" s="8"/>
      <c r="K415" s="8"/>
      <c r="L415" s="8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8" customHeight="1">
      <c r="A416" s="8"/>
      <c r="B416" s="8"/>
      <c r="C416" s="7"/>
      <c r="D416" s="7"/>
      <c r="E416" s="7"/>
      <c r="F416" s="7"/>
      <c r="G416" s="7"/>
      <c r="H416" s="7"/>
      <c r="I416" s="7"/>
      <c r="J416" s="8"/>
      <c r="K416" s="8"/>
      <c r="L416" s="8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8" customHeight="1">
      <c r="A417" s="8"/>
      <c r="B417" s="8"/>
      <c r="C417" s="7"/>
      <c r="D417" s="7"/>
      <c r="E417" s="7"/>
      <c r="F417" s="7"/>
      <c r="G417" s="7"/>
      <c r="H417" s="7"/>
      <c r="I417" s="7"/>
      <c r="J417" s="8"/>
      <c r="K417" s="8"/>
      <c r="L417" s="8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8" customHeight="1">
      <c r="A418" s="8"/>
      <c r="B418" s="8"/>
      <c r="C418" s="7"/>
      <c r="D418" s="7"/>
      <c r="E418" s="7"/>
      <c r="F418" s="7"/>
      <c r="G418" s="7"/>
      <c r="H418" s="7"/>
      <c r="I418" s="7"/>
      <c r="J418" s="8"/>
      <c r="K418" s="8"/>
      <c r="L418" s="8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8" customHeight="1">
      <c r="A419" s="8"/>
      <c r="B419" s="8"/>
      <c r="C419" s="7"/>
      <c r="D419" s="7"/>
      <c r="E419" s="7"/>
      <c r="F419" s="7"/>
      <c r="G419" s="7"/>
      <c r="H419" s="7"/>
      <c r="I419" s="7"/>
      <c r="J419" s="8"/>
      <c r="K419" s="8"/>
      <c r="L419" s="8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8" customHeight="1">
      <c r="A420" s="8"/>
      <c r="B420" s="8"/>
      <c r="C420" s="7"/>
      <c r="D420" s="7"/>
      <c r="E420" s="7"/>
      <c r="F420" s="7"/>
      <c r="G420" s="7"/>
      <c r="H420" s="7"/>
      <c r="I420" s="7"/>
      <c r="J420" s="8"/>
      <c r="K420" s="8"/>
      <c r="L420" s="8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8" customHeight="1">
      <c r="A421" s="8"/>
      <c r="B421" s="8"/>
      <c r="C421" s="7"/>
      <c r="D421" s="7"/>
      <c r="E421" s="7"/>
      <c r="F421" s="7"/>
      <c r="G421" s="7"/>
      <c r="H421" s="7"/>
      <c r="I421" s="7"/>
      <c r="J421" s="8"/>
      <c r="K421" s="8"/>
      <c r="L421" s="8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8" customHeight="1">
      <c r="A422" s="8"/>
      <c r="B422" s="8"/>
      <c r="C422" s="7"/>
      <c r="D422" s="7"/>
      <c r="E422" s="7"/>
      <c r="F422" s="7"/>
      <c r="G422" s="7"/>
      <c r="H422" s="7"/>
      <c r="I422" s="7"/>
      <c r="J422" s="8"/>
      <c r="K422" s="8"/>
      <c r="L422" s="8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8" customHeight="1">
      <c r="A423" s="8"/>
      <c r="B423" s="8"/>
      <c r="C423" s="7"/>
      <c r="D423" s="7"/>
      <c r="E423" s="7"/>
      <c r="F423" s="7"/>
      <c r="G423" s="7"/>
      <c r="H423" s="7"/>
      <c r="I423" s="7"/>
      <c r="J423" s="8"/>
      <c r="K423" s="8"/>
      <c r="L423" s="8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8" customHeight="1">
      <c r="A424" s="8"/>
      <c r="B424" s="8"/>
      <c r="C424" s="7"/>
      <c r="D424" s="7"/>
      <c r="E424" s="7"/>
      <c r="F424" s="7"/>
      <c r="G424" s="7"/>
      <c r="H424" s="7"/>
      <c r="I424" s="7"/>
      <c r="J424" s="8"/>
      <c r="K424" s="8"/>
      <c r="L424" s="8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8" customHeight="1">
      <c r="A425" s="8"/>
      <c r="B425" s="8"/>
      <c r="C425" s="7"/>
      <c r="D425" s="7"/>
      <c r="E425" s="7"/>
      <c r="F425" s="7"/>
      <c r="G425" s="7"/>
      <c r="H425" s="7"/>
      <c r="I425" s="7"/>
      <c r="J425" s="8"/>
      <c r="K425" s="8"/>
      <c r="L425" s="8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8" customHeight="1">
      <c r="A426" s="8"/>
      <c r="B426" s="8"/>
      <c r="C426" s="7"/>
      <c r="D426" s="7"/>
      <c r="E426" s="7"/>
      <c r="F426" s="7"/>
      <c r="G426" s="7"/>
      <c r="H426" s="7"/>
      <c r="I426" s="7"/>
      <c r="J426" s="8"/>
      <c r="K426" s="8"/>
      <c r="L426" s="8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8" customHeight="1">
      <c r="A427" s="8"/>
      <c r="B427" s="8"/>
      <c r="C427" s="7"/>
      <c r="D427" s="7"/>
      <c r="E427" s="7"/>
      <c r="F427" s="7"/>
      <c r="G427" s="7"/>
      <c r="H427" s="7"/>
      <c r="I427" s="7"/>
      <c r="J427" s="8"/>
      <c r="K427" s="8"/>
      <c r="L427" s="8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8" customHeight="1">
      <c r="A428" s="8"/>
      <c r="B428" s="8"/>
      <c r="C428" s="7"/>
      <c r="D428" s="7"/>
      <c r="E428" s="7"/>
      <c r="F428" s="7"/>
      <c r="G428" s="7"/>
      <c r="H428" s="7"/>
      <c r="I428" s="7"/>
      <c r="J428" s="8"/>
      <c r="K428" s="8"/>
      <c r="L428" s="8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8" customHeight="1">
      <c r="A429" s="8"/>
      <c r="B429" s="8"/>
      <c r="C429" s="7"/>
      <c r="D429" s="7"/>
      <c r="E429" s="7"/>
      <c r="F429" s="7"/>
      <c r="G429" s="7"/>
      <c r="H429" s="7"/>
      <c r="I429" s="7"/>
      <c r="J429" s="8"/>
      <c r="K429" s="8"/>
      <c r="L429" s="8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8" customHeight="1">
      <c r="A430" s="8"/>
      <c r="B430" s="8"/>
      <c r="C430" s="7"/>
      <c r="D430" s="7"/>
      <c r="E430" s="7"/>
      <c r="F430" s="7"/>
      <c r="G430" s="7"/>
      <c r="H430" s="7"/>
      <c r="I430" s="7"/>
      <c r="J430" s="8"/>
      <c r="K430" s="8"/>
      <c r="L430" s="8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8" customHeight="1">
      <c r="A431" s="8"/>
      <c r="B431" s="8"/>
      <c r="C431" s="7"/>
      <c r="D431" s="7"/>
      <c r="E431" s="7"/>
      <c r="F431" s="7"/>
      <c r="G431" s="7"/>
      <c r="H431" s="7"/>
      <c r="I431" s="7"/>
      <c r="J431" s="8"/>
      <c r="K431" s="8"/>
      <c r="L431" s="8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8" customHeight="1">
      <c r="A432" s="8"/>
      <c r="B432" s="8"/>
      <c r="C432" s="7"/>
      <c r="D432" s="7"/>
      <c r="E432" s="7"/>
      <c r="F432" s="7"/>
      <c r="G432" s="7"/>
      <c r="H432" s="7"/>
      <c r="I432" s="7"/>
      <c r="J432" s="8"/>
      <c r="K432" s="8"/>
      <c r="L432" s="8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8" customHeight="1">
      <c r="A433" s="8"/>
      <c r="B433" s="8"/>
      <c r="C433" s="7"/>
      <c r="D433" s="7"/>
      <c r="E433" s="7"/>
      <c r="F433" s="7"/>
      <c r="G433" s="7"/>
      <c r="H433" s="7"/>
      <c r="I433" s="7"/>
      <c r="J433" s="8"/>
      <c r="K433" s="8"/>
      <c r="L433" s="8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8" customHeight="1">
      <c r="A434" s="8"/>
      <c r="B434" s="8"/>
      <c r="C434" s="7"/>
      <c r="D434" s="7"/>
      <c r="E434" s="7"/>
      <c r="F434" s="7"/>
      <c r="G434" s="7"/>
      <c r="H434" s="7"/>
      <c r="I434" s="7"/>
      <c r="J434" s="8"/>
      <c r="K434" s="8"/>
      <c r="L434" s="8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8" customHeight="1">
      <c r="A435" s="8"/>
      <c r="B435" s="8"/>
      <c r="C435" s="7"/>
      <c r="D435" s="7"/>
      <c r="E435" s="7"/>
      <c r="F435" s="7"/>
      <c r="G435" s="7"/>
      <c r="H435" s="7"/>
      <c r="I435" s="7"/>
      <c r="J435" s="8"/>
      <c r="K435" s="8"/>
      <c r="L435" s="8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8" customHeight="1">
      <c r="A436" s="8"/>
      <c r="B436" s="8"/>
      <c r="C436" s="7"/>
      <c r="D436" s="7"/>
      <c r="E436" s="7"/>
      <c r="F436" s="7"/>
      <c r="G436" s="7"/>
      <c r="H436" s="7"/>
      <c r="I436" s="7"/>
      <c r="J436" s="8"/>
      <c r="K436" s="8"/>
      <c r="L436" s="8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8" customHeight="1">
      <c r="A437" s="8"/>
      <c r="B437" s="8"/>
      <c r="C437" s="7"/>
      <c r="D437" s="7"/>
      <c r="E437" s="7"/>
      <c r="F437" s="7"/>
      <c r="G437" s="7"/>
      <c r="H437" s="7"/>
      <c r="I437" s="7"/>
      <c r="J437" s="8"/>
      <c r="K437" s="8"/>
      <c r="L437" s="8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8" customHeight="1">
      <c r="A438" s="8"/>
      <c r="B438" s="8"/>
      <c r="C438" s="7"/>
      <c r="D438" s="7"/>
      <c r="E438" s="7"/>
      <c r="F438" s="7"/>
      <c r="G438" s="7"/>
      <c r="H438" s="7"/>
      <c r="I438" s="7"/>
      <c r="J438" s="8"/>
      <c r="K438" s="8"/>
      <c r="L438" s="8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8" customHeight="1">
      <c r="A439" s="8"/>
      <c r="B439" s="8"/>
      <c r="C439" s="7"/>
      <c r="D439" s="7"/>
      <c r="E439" s="7"/>
      <c r="F439" s="7"/>
      <c r="G439" s="7"/>
      <c r="H439" s="7"/>
      <c r="I439" s="7"/>
      <c r="J439" s="8"/>
      <c r="K439" s="8"/>
      <c r="L439" s="8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8" customHeight="1">
      <c r="A440" s="8"/>
      <c r="B440" s="8"/>
      <c r="C440" s="7"/>
      <c r="D440" s="7"/>
      <c r="E440" s="7"/>
      <c r="F440" s="7"/>
      <c r="G440" s="7"/>
      <c r="H440" s="7"/>
      <c r="I440" s="7"/>
      <c r="J440" s="8"/>
      <c r="K440" s="8"/>
      <c r="L440" s="8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8" customHeight="1">
      <c r="A441" s="8"/>
      <c r="B441" s="8"/>
      <c r="C441" s="7"/>
      <c r="D441" s="7"/>
      <c r="E441" s="7"/>
      <c r="F441" s="7"/>
      <c r="G441" s="7"/>
      <c r="H441" s="7"/>
      <c r="I441" s="7"/>
      <c r="J441" s="8"/>
      <c r="K441" s="8"/>
      <c r="L441" s="8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8" customHeight="1">
      <c r="A442" s="8"/>
      <c r="B442" s="8"/>
      <c r="C442" s="7"/>
      <c r="D442" s="7"/>
      <c r="E442" s="7"/>
      <c r="F442" s="7"/>
      <c r="G442" s="7"/>
      <c r="H442" s="7"/>
      <c r="I442" s="7"/>
      <c r="J442" s="8"/>
      <c r="K442" s="8"/>
      <c r="L442" s="8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8" customHeight="1">
      <c r="A443" s="8"/>
      <c r="B443" s="8"/>
      <c r="C443" s="7"/>
      <c r="D443" s="7"/>
      <c r="E443" s="7"/>
      <c r="F443" s="7"/>
      <c r="G443" s="7"/>
      <c r="H443" s="7"/>
      <c r="I443" s="7"/>
      <c r="J443" s="8"/>
      <c r="K443" s="8"/>
      <c r="L443" s="8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8" customHeight="1">
      <c r="A444" s="8"/>
      <c r="B444" s="8"/>
      <c r="C444" s="7"/>
      <c r="D444" s="7"/>
      <c r="E444" s="7"/>
      <c r="F444" s="7"/>
      <c r="G444" s="7"/>
      <c r="H444" s="7"/>
      <c r="I444" s="7"/>
      <c r="J444" s="8"/>
      <c r="K444" s="8"/>
      <c r="L444" s="8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8" customHeight="1">
      <c r="A445" s="8"/>
      <c r="B445" s="8"/>
      <c r="C445" s="7"/>
      <c r="D445" s="7"/>
      <c r="E445" s="7"/>
      <c r="F445" s="7"/>
      <c r="G445" s="7"/>
      <c r="H445" s="7"/>
      <c r="I445" s="7"/>
      <c r="J445" s="8"/>
      <c r="K445" s="8"/>
      <c r="L445" s="8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8" customHeight="1">
      <c r="A446" s="8"/>
      <c r="B446" s="8"/>
      <c r="C446" s="7"/>
      <c r="D446" s="7"/>
      <c r="E446" s="7"/>
      <c r="F446" s="7"/>
      <c r="G446" s="7"/>
      <c r="H446" s="7"/>
      <c r="I446" s="7"/>
      <c r="J446" s="8"/>
      <c r="K446" s="8"/>
      <c r="L446" s="8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8" customHeight="1">
      <c r="A447" s="8"/>
      <c r="B447" s="8"/>
      <c r="C447" s="7"/>
      <c r="D447" s="7"/>
      <c r="E447" s="7"/>
      <c r="F447" s="7"/>
      <c r="G447" s="7"/>
      <c r="H447" s="7"/>
      <c r="I447" s="7"/>
      <c r="J447" s="8"/>
      <c r="K447" s="8"/>
      <c r="L447" s="8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8" customHeight="1">
      <c r="A448" s="8"/>
      <c r="B448" s="8"/>
      <c r="C448" s="7"/>
      <c r="D448" s="7"/>
      <c r="E448" s="7"/>
      <c r="F448" s="7"/>
      <c r="G448" s="7"/>
      <c r="H448" s="7"/>
      <c r="I448" s="7"/>
      <c r="J448" s="8"/>
      <c r="K448" s="8"/>
      <c r="L448" s="8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8" customHeight="1">
      <c r="A449" s="8"/>
      <c r="B449" s="8"/>
      <c r="C449" s="7"/>
      <c r="D449" s="7"/>
      <c r="E449" s="7"/>
      <c r="F449" s="7"/>
      <c r="G449" s="7"/>
      <c r="H449" s="7"/>
      <c r="I449" s="7"/>
      <c r="J449" s="8"/>
      <c r="K449" s="8"/>
      <c r="L449" s="8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8" customHeight="1">
      <c r="A450" s="8"/>
      <c r="B450" s="8"/>
      <c r="C450" s="7"/>
      <c r="D450" s="7"/>
      <c r="E450" s="7"/>
      <c r="F450" s="7"/>
      <c r="G450" s="7"/>
      <c r="H450" s="7"/>
      <c r="I450" s="7"/>
      <c r="J450" s="8"/>
      <c r="K450" s="8"/>
      <c r="L450" s="8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8" customHeight="1">
      <c r="A451" s="8"/>
      <c r="B451" s="8"/>
      <c r="C451" s="7"/>
      <c r="D451" s="7"/>
      <c r="E451" s="7"/>
      <c r="F451" s="7"/>
      <c r="G451" s="7"/>
      <c r="H451" s="7"/>
      <c r="I451" s="7"/>
      <c r="J451" s="8"/>
      <c r="K451" s="8"/>
      <c r="L451" s="8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8" customHeight="1">
      <c r="A452" s="8"/>
      <c r="B452" s="8"/>
      <c r="C452" s="7"/>
      <c r="D452" s="7"/>
      <c r="E452" s="7"/>
      <c r="F452" s="7"/>
      <c r="G452" s="7"/>
      <c r="H452" s="7"/>
      <c r="I452" s="7"/>
      <c r="J452" s="8"/>
      <c r="K452" s="8"/>
      <c r="L452" s="8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8" customHeight="1">
      <c r="A453" s="8"/>
      <c r="B453" s="8"/>
      <c r="C453" s="7"/>
      <c r="D453" s="7"/>
      <c r="E453" s="7"/>
      <c r="F453" s="7"/>
      <c r="G453" s="7"/>
      <c r="H453" s="7"/>
      <c r="I453" s="7"/>
      <c r="J453" s="8"/>
      <c r="K453" s="8"/>
      <c r="L453" s="8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8" customHeight="1">
      <c r="A454" s="8"/>
      <c r="B454" s="8"/>
      <c r="C454" s="7"/>
      <c r="D454" s="7"/>
      <c r="E454" s="7"/>
      <c r="F454" s="7"/>
      <c r="G454" s="7"/>
      <c r="H454" s="7"/>
      <c r="I454" s="7"/>
      <c r="J454" s="8"/>
      <c r="K454" s="8"/>
      <c r="L454" s="8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8" customHeight="1">
      <c r="A455" s="8"/>
      <c r="B455" s="8"/>
      <c r="C455" s="7"/>
      <c r="D455" s="7"/>
      <c r="E455" s="7"/>
      <c r="F455" s="7"/>
      <c r="G455" s="7"/>
      <c r="H455" s="7"/>
      <c r="I455" s="7"/>
      <c r="J455" s="8"/>
      <c r="K455" s="8"/>
      <c r="L455" s="8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8" customHeight="1">
      <c r="A456" s="8"/>
      <c r="B456" s="8"/>
      <c r="C456" s="7"/>
      <c r="D456" s="7"/>
      <c r="E456" s="7"/>
      <c r="F456" s="7"/>
      <c r="G456" s="7"/>
      <c r="H456" s="7"/>
      <c r="I456" s="7"/>
      <c r="J456" s="8"/>
      <c r="K456" s="8"/>
      <c r="L456" s="8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8" customHeight="1">
      <c r="A457" s="8"/>
      <c r="B457" s="8"/>
      <c r="C457" s="7"/>
      <c r="D457" s="7"/>
      <c r="E457" s="7"/>
      <c r="F457" s="7"/>
      <c r="G457" s="7"/>
      <c r="H457" s="7"/>
      <c r="I457" s="7"/>
      <c r="J457" s="8"/>
      <c r="K457" s="8"/>
      <c r="L457" s="8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8" customHeight="1">
      <c r="A458" s="8"/>
      <c r="B458" s="8"/>
      <c r="C458" s="7"/>
      <c r="D458" s="7"/>
      <c r="E458" s="7"/>
      <c r="F458" s="7"/>
      <c r="G458" s="7"/>
      <c r="H458" s="7"/>
      <c r="I458" s="7"/>
      <c r="J458" s="8"/>
      <c r="K458" s="8"/>
      <c r="L458" s="8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8" customHeight="1">
      <c r="A459" s="8"/>
      <c r="B459" s="8"/>
      <c r="C459" s="7"/>
      <c r="D459" s="7"/>
      <c r="E459" s="7"/>
      <c r="F459" s="7"/>
      <c r="G459" s="7"/>
      <c r="H459" s="7"/>
      <c r="I459" s="7"/>
      <c r="J459" s="8"/>
      <c r="K459" s="8"/>
      <c r="L459" s="8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8" customHeight="1">
      <c r="A460" s="8"/>
      <c r="B460" s="8"/>
      <c r="C460" s="7"/>
      <c r="D460" s="7"/>
      <c r="E460" s="7"/>
      <c r="F460" s="7"/>
      <c r="G460" s="7"/>
      <c r="H460" s="7"/>
      <c r="I460" s="7"/>
      <c r="J460" s="8"/>
      <c r="K460" s="8"/>
      <c r="L460" s="8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8" customHeight="1">
      <c r="A461" s="8"/>
      <c r="B461" s="8"/>
      <c r="C461" s="7"/>
      <c r="D461" s="7"/>
      <c r="E461" s="7"/>
      <c r="F461" s="7"/>
      <c r="G461" s="7"/>
      <c r="H461" s="7"/>
      <c r="I461" s="7"/>
      <c r="J461" s="8"/>
      <c r="K461" s="8"/>
      <c r="L461" s="8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8" customHeight="1">
      <c r="A462" s="8"/>
      <c r="B462" s="8"/>
      <c r="C462" s="7"/>
      <c r="D462" s="7"/>
      <c r="E462" s="7"/>
      <c r="F462" s="7"/>
      <c r="G462" s="7"/>
      <c r="H462" s="7"/>
      <c r="I462" s="7"/>
      <c r="J462" s="8"/>
      <c r="K462" s="8"/>
      <c r="L462" s="8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8" customHeight="1">
      <c r="A463" s="8"/>
      <c r="B463" s="8"/>
      <c r="C463" s="7"/>
      <c r="D463" s="7"/>
      <c r="E463" s="7"/>
      <c r="F463" s="7"/>
      <c r="G463" s="7"/>
      <c r="H463" s="7"/>
      <c r="I463" s="7"/>
      <c r="J463" s="8"/>
      <c r="K463" s="8"/>
      <c r="L463" s="8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8" customHeight="1">
      <c r="A464" s="8"/>
      <c r="B464" s="8"/>
      <c r="C464" s="7"/>
      <c r="D464" s="7"/>
      <c r="E464" s="7"/>
      <c r="F464" s="7"/>
      <c r="G464" s="7"/>
      <c r="H464" s="7"/>
      <c r="I464" s="7"/>
      <c r="J464" s="8"/>
      <c r="K464" s="8"/>
      <c r="L464" s="8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8" customHeight="1">
      <c r="A465" s="8"/>
      <c r="B465" s="8"/>
      <c r="C465" s="7"/>
      <c r="D465" s="7"/>
      <c r="E465" s="7"/>
      <c r="F465" s="7"/>
      <c r="G465" s="7"/>
      <c r="H465" s="7"/>
      <c r="I465" s="7"/>
      <c r="J465" s="8"/>
      <c r="K465" s="8"/>
      <c r="L465" s="8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8" customHeight="1">
      <c r="A466" s="8"/>
      <c r="B466" s="8"/>
      <c r="C466" s="7"/>
      <c r="D466" s="7"/>
      <c r="E466" s="7"/>
      <c r="F466" s="7"/>
      <c r="G466" s="7"/>
      <c r="H466" s="7"/>
      <c r="I466" s="7"/>
      <c r="J466" s="8"/>
      <c r="K466" s="8"/>
      <c r="L466" s="8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8" customHeight="1">
      <c r="A467" s="8"/>
      <c r="B467" s="8"/>
      <c r="C467" s="7"/>
      <c r="D467" s="7"/>
      <c r="E467" s="7"/>
      <c r="F467" s="7"/>
      <c r="G467" s="7"/>
      <c r="H467" s="7"/>
      <c r="I467" s="7"/>
      <c r="J467" s="8"/>
      <c r="K467" s="8"/>
      <c r="L467" s="8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8" customHeight="1">
      <c r="A468" s="8"/>
      <c r="B468" s="8"/>
      <c r="C468" s="7"/>
      <c r="D468" s="7"/>
      <c r="E468" s="7"/>
      <c r="F468" s="7"/>
      <c r="G468" s="7"/>
      <c r="H468" s="7"/>
      <c r="I468" s="7"/>
      <c r="J468" s="8"/>
      <c r="K468" s="8"/>
      <c r="L468" s="8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8" customHeight="1">
      <c r="A469" s="8"/>
      <c r="B469" s="8"/>
      <c r="C469" s="7"/>
      <c r="D469" s="7"/>
      <c r="E469" s="7"/>
      <c r="F469" s="7"/>
      <c r="G469" s="7"/>
      <c r="H469" s="7"/>
      <c r="I469" s="7"/>
      <c r="J469" s="8"/>
      <c r="K469" s="8"/>
      <c r="L469" s="8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8" customHeight="1">
      <c r="A470" s="8"/>
      <c r="B470" s="8"/>
      <c r="C470" s="7"/>
      <c r="D470" s="7"/>
      <c r="E470" s="7"/>
      <c r="F470" s="7"/>
      <c r="G470" s="7"/>
      <c r="H470" s="7"/>
      <c r="I470" s="7"/>
      <c r="J470" s="8"/>
      <c r="K470" s="8"/>
      <c r="L470" s="8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8" customHeight="1">
      <c r="A471" s="8"/>
      <c r="B471" s="8"/>
      <c r="C471" s="7"/>
      <c r="D471" s="7"/>
      <c r="E471" s="7"/>
      <c r="F471" s="7"/>
      <c r="G471" s="7"/>
      <c r="H471" s="7"/>
      <c r="I471" s="7"/>
      <c r="J471" s="8"/>
      <c r="K471" s="8"/>
      <c r="L471" s="8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8" customHeight="1">
      <c r="A472" s="8"/>
      <c r="B472" s="8"/>
      <c r="C472" s="7"/>
      <c r="D472" s="7"/>
      <c r="E472" s="7"/>
      <c r="F472" s="7"/>
      <c r="G472" s="7"/>
      <c r="H472" s="7"/>
      <c r="I472" s="7"/>
      <c r="J472" s="8"/>
      <c r="K472" s="8"/>
      <c r="L472" s="8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8" customHeight="1">
      <c r="A473" s="8"/>
      <c r="B473" s="8"/>
      <c r="C473" s="7"/>
      <c r="D473" s="7"/>
      <c r="E473" s="7"/>
      <c r="F473" s="7"/>
      <c r="G473" s="7"/>
      <c r="H473" s="7"/>
      <c r="I473" s="7"/>
      <c r="J473" s="8"/>
      <c r="K473" s="8"/>
      <c r="L473" s="8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8" customHeight="1">
      <c r="A474" s="8"/>
      <c r="B474" s="8"/>
      <c r="C474" s="7"/>
      <c r="D474" s="7"/>
      <c r="E474" s="7"/>
      <c r="F474" s="7"/>
      <c r="G474" s="7"/>
      <c r="H474" s="7"/>
      <c r="I474" s="7"/>
      <c r="J474" s="8"/>
      <c r="K474" s="8"/>
      <c r="L474" s="8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8" customHeight="1">
      <c r="A475" s="8"/>
      <c r="B475" s="8"/>
      <c r="C475" s="7"/>
      <c r="D475" s="7"/>
      <c r="E475" s="7"/>
      <c r="F475" s="7"/>
      <c r="G475" s="7"/>
      <c r="H475" s="7"/>
      <c r="I475" s="7"/>
      <c r="J475" s="8"/>
      <c r="K475" s="8"/>
      <c r="L475" s="8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8" customHeight="1">
      <c r="A476" s="8"/>
      <c r="B476" s="8"/>
      <c r="C476" s="7"/>
      <c r="D476" s="7"/>
      <c r="E476" s="7"/>
      <c r="F476" s="7"/>
      <c r="G476" s="7"/>
      <c r="H476" s="7"/>
      <c r="I476" s="7"/>
      <c r="J476" s="8"/>
      <c r="K476" s="8"/>
      <c r="L476" s="8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8" customHeight="1">
      <c r="A477" s="8"/>
      <c r="B477" s="8"/>
      <c r="C477" s="7"/>
      <c r="D477" s="7"/>
      <c r="E477" s="7"/>
      <c r="F477" s="7"/>
      <c r="G477" s="7"/>
      <c r="H477" s="7"/>
      <c r="I477" s="7"/>
      <c r="J477" s="8"/>
      <c r="K477" s="8"/>
      <c r="L477" s="8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8" customHeight="1">
      <c r="A478" s="8"/>
      <c r="B478" s="8"/>
      <c r="C478" s="7"/>
      <c r="D478" s="7"/>
      <c r="E478" s="7"/>
      <c r="F478" s="7"/>
      <c r="G478" s="7"/>
      <c r="H478" s="7"/>
      <c r="I478" s="7"/>
      <c r="J478" s="8"/>
      <c r="K478" s="8"/>
      <c r="L478" s="8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8" customHeight="1">
      <c r="A479" s="8"/>
      <c r="B479" s="8"/>
      <c r="C479" s="7"/>
      <c r="D479" s="7"/>
      <c r="E479" s="7"/>
      <c r="F479" s="7"/>
      <c r="G479" s="7"/>
      <c r="H479" s="7"/>
      <c r="I479" s="7"/>
      <c r="J479" s="8"/>
      <c r="K479" s="8"/>
      <c r="L479" s="8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8" customHeight="1">
      <c r="A480" s="8"/>
      <c r="B480" s="8"/>
      <c r="C480" s="7"/>
      <c r="D480" s="7"/>
      <c r="E480" s="7"/>
      <c r="F480" s="7"/>
      <c r="G480" s="7"/>
      <c r="H480" s="7"/>
      <c r="I480" s="7"/>
      <c r="J480" s="8"/>
      <c r="K480" s="8"/>
      <c r="L480" s="8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8" customHeight="1">
      <c r="A481" s="8"/>
      <c r="B481" s="8"/>
      <c r="C481" s="7"/>
      <c r="D481" s="7"/>
      <c r="E481" s="7"/>
      <c r="F481" s="7"/>
      <c r="G481" s="7"/>
      <c r="H481" s="7"/>
      <c r="I481" s="7"/>
      <c r="J481" s="8"/>
      <c r="K481" s="8"/>
      <c r="L481" s="8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8" customHeight="1">
      <c r="A482" s="8"/>
      <c r="B482" s="8"/>
      <c r="C482" s="7"/>
      <c r="D482" s="7"/>
      <c r="E482" s="7"/>
      <c r="F482" s="7"/>
      <c r="G482" s="7"/>
      <c r="H482" s="7"/>
      <c r="I482" s="7"/>
      <c r="J482" s="8"/>
      <c r="K482" s="8"/>
      <c r="L482" s="8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8" customHeight="1">
      <c r="A483" s="8"/>
      <c r="B483" s="8"/>
      <c r="C483" s="7"/>
      <c r="D483" s="7"/>
      <c r="E483" s="7"/>
      <c r="F483" s="7"/>
      <c r="G483" s="7"/>
      <c r="H483" s="7"/>
      <c r="I483" s="7"/>
      <c r="J483" s="8"/>
      <c r="K483" s="8"/>
      <c r="L483" s="8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8" customHeight="1">
      <c r="A484" s="8"/>
      <c r="B484" s="8"/>
      <c r="C484" s="7"/>
      <c r="D484" s="7"/>
      <c r="E484" s="7"/>
      <c r="F484" s="7"/>
      <c r="G484" s="7"/>
      <c r="H484" s="7"/>
      <c r="I484" s="7"/>
      <c r="J484" s="8"/>
      <c r="K484" s="8"/>
      <c r="L484" s="8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8" customHeight="1">
      <c r="A485" s="8"/>
      <c r="B485" s="8"/>
      <c r="C485" s="7"/>
      <c r="D485" s="7"/>
      <c r="E485" s="7"/>
      <c r="F485" s="7"/>
      <c r="G485" s="7"/>
      <c r="H485" s="7"/>
      <c r="I485" s="7"/>
      <c r="J485" s="8"/>
      <c r="K485" s="8"/>
      <c r="L485" s="8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8" customHeight="1">
      <c r="A486" s="8"/>
      <c r="B486" s="8"/>
      <c r="C486" s="7"/>
      <c r="D486" s="7"/>
      <c r="E486" s="7"/>
      <c r="F486" s="7"/>
      <c r="G486" s="7"/>
      <c r="H486" s="7"/>
      <c r="I486" s="7"/>
      <c r="J486" s="8"/>
      <c r="K486" s="8"/>
      <c r="L486" s="8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8" customHeight="1">
      <c r="A487" s="8"/>
      <c r="B487" s="8"/>
      <c r="C487" s="7"/>
      <c r="D487" s="7"/>
      <c r="E487" s="7"/>
      <c r="F487" s="7"/>
      <c r="G487" s="7"/>
      <c r="H487" s="7"/>
      <c r="I487" s="7"/>
      <c r="J487" s="8"/>
      <c r="K487" s="8"/>
      <c r="L487" s="8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8" customHeight="1">
      <c r="A488" s="8"/>
      <c r="B488" s="8"/>
      <c r="C488" s="7"/>
      <c r="D488" s="7"/>
      <c r="E488" s="7"/>
      <c r="F488" s="7"/>
      <c r="G488" s="7"/>
      <c r="H488" s="7"/>
      <c r="I488" s="7"/>
      <c r="J488" s="8"/>
      <c r="K488" s="8"/>
      <c r="L488" s="8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8" customHeight="1">
      <c r="A489" s="8"/>
      <c r="B489" s="8"/>
      <c r="C489" s="7"/>
      <c r="D489" s="7"/>
      <c r="E489" s="7"/>
      <c r="F489" s="7"/>
      <c r="G489" s="7"/>
      <c r="H489" s="7"/>
      <c r="I489" s="7"/>
      <c r="J489" s="8"/>
      <c r="K489" s="8"/>
      <c r="L489" s="8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8" customHeight="1">
      <c r="A490" s="8"/>
      <c r="B490" s="8"/>
      <c r="C490" s="7"/>
      <c r="D490" s="7"/>
      <c r="E490" s="7"/>
      <c r="F490" s="7"/>
      <c r="G490" s="7"/>
      <c r="H490" s="7"/>
      <c r="I490" s="7"/>
      <c r="J490" s="8"/>
      <c r="K490" s="8"/>
      <c r="L490" s="8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8" customHeight="1">
      <c r="A491" s="8"/>
      <c r="B491" s="8"/>
      <c r="C491" s="7"/>
      <c r="D491" s="7"/>
      <c r="E491" s="7"/>
      <c r="F491" s="7"/>
      <c r="G491" s="7"/>
      <c r="H491" s="7"/>
      <c r="I491" s="7"/>
      <c r="J491" s="8"/>
      <c r="K491" s="8"/>
      <c r="L491" s="8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8" customHeight="1">
      <c r="A492" s="8"/>
      <c r="B492" s="8"/>
      <c r="C492" s="7"/>
      <c r="D492" s="7"/>
      <c r="E492" s="7"/>
      <c r="F492" s="7"/>
      <c r="G492" s="7"/>
      <c r="H492" s="7"/>
      <c r="I492" s="7"/>
      <c r="J492" s="8"/>
      <c r="K492" s="8"/>
      <c r="L492" s="8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8" customHeight="1">
      <c r="A493" s="8"/>
      <c r="B493" s="8"/>
      <c r="C493" s="7"/>
      <c r="D493" s="7"/>
      <c r="E493" s="7"/>
      <c r="F493" s="7"/>
      <c r="G493" s="7"/>
      <c r="H493" s="7"/>
      <c r="I493" s="7"/>
      <c r="J493" s="8"/>
      <c r="K493" s="8"/>
      <c r="L493" s="8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8" customHeight="1">
      <c r="A494" s="8"/>
      <c r="B494" s="8"/>
      <c r="C494" s="7"/>
      <c r="D494" s="7"/>
      <c r="E494" s="7"/>
      <c r="F494" s="7"/>
      <c r="G494" s="7"/>
      <c r="H494" s="7"/>
      <c r="I494" s="7"/>
      <c r="J494" s="8"/>
      <c r="K494" s="8"/>
      <c r="L494" s="8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8" customHeight="1">
      <c r="A495" s="8"/>
      <c r="B495" s="8"/>
      <c r="C495" s="7"/>
      <c r="D495" s="7"/>
      <c r="E495" s="7"/>
      <c r="F495" s="7"/>
      <c r="G495" s="7"/>
      <c r="H495" s="7"/>
      <c r="I495" s="7"/>
      <c r="J495" s="8"/>
      <c r="K495" s="8"/>
      <c r="L495" s="8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8" customHeight="1">
      <c r="A496" s="8"/>
      <c r="B496" s="8"/>
      <c r="C496" s="7"/>
      <c r="D496" s="7"/>
      <c r="E496" s="7"/>
      <c r="F496" s="7"/>
      <c r="G496" s="7"/>
      <c r="H496" s="7"/>
      <c r="I496" s="7"/>
      <c r="J496" s="8"/>
      <c r="K496" s="8"/>
      <c r="L496" s="8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8" customHeight="1">
      <c r="A497" s="8"/>
      <c r="B497" s="8"/>
      <c r="C497" s="7"/>
      <c r="D497" s="7"/>
      <c r="E497" s="7"/>
      <c r="F497" s="7"/>
      <c r="G497" s="7"/>
      <c r="H497" s="7"/>
      <c r="I497" s="7"/>
      <c r="J497" s="8"/>
      <c r="K497" s="8"/>
      <c r="L497" s="8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8" customHeight="1">
      <c r="A498" s="8"/>
      <c r="B498" s="8"/>
      <c r="C498" s="7"/>
      <c r="D498" s="7"/>
      <c r="E498" s="7"/>
      <c r="F498" s="7"/>
      <c r="G498" s="7"/>
      <c r="H498" s="7"/>
      <c r="I498" s="7"/>
      <c r="J498" s="8"/>
      <c r="K498" s="8"/>
      <c r="L498" s="8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8" customHeight="1">
      <c r="A499" s="8"/>
      <c r="B499" s="8"/>
      <c r="C499" s="7"/>
      <c r="D499" s="7"/>
      <c r="E499" s="7"/>
      <c r="F499" s="7"/>
      <c r="G499" s="7"/>
      <c r="H499" s="7"/>
      <c r="I499" s="7"/>
      <c r="J499" s="8"/>
      <c r="K499" s="8"/>
      <c r="L499" s="8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8" customHeight="1">
      <c r="A500" s="8"/>
      <c r="B500" s="8"/>
      <c r="C500" s="7"/>
      <c r="D500" s="7"/>
      <c r="E500" s="7"/>
      <c r="F500" s="7"/>
      <c r="G500" s="7"/>
      <c r="H500" s="7"/>
      <c r="I500" s="7"/>
      <c r="J500" s="8"/>
      <c r="K500" s="8"/>
      <c r="L500" s="8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8" customHeight="1">
      <c r="A501" s="8"/>
      <c r="B501" s="8"/>
      <c r="C501" s="7"/>
      <c r="D501" s="7"/>
      <c r="E501" s="7"/>
      <c r="F501" s="7"/>
      <c r="G501" s="7"/>
      <c r="H501" s="7"/>
      <c r="I501" s="7"/>
      <c r="J501" s="8"/>
      <c r="K501" s="8"/>
      <c r="L501" s="8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8" customHeight="1">
      <c r="A502" s="8"/>
      <c r="B502" s="8"/>
      <c r="C502" s="7"/>
      <c r="D502" s="7"/>
      <c r="E502" s="7"/>
      <c r="F502" s="7"/>
      <c r="G502" s="7"/>
      <c r="H502" s="7"/>
      <c r="I502" s="7"/>
      <c r="J502" s="8"/>
      <c r="K502" s="8"/>
      <c r="L502" s="8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8" customHeight="1">
      <c r="A503" s="8"/>
      <c r="B503" s="8"/>
      <c r="C503" s="7"/>
      <c r="D503" s="7"/>
      <c r="E503" s="7"/>
      <c r="F503" s="7"/>
      <c r="G503" s="7"/>
      <c r="H503" s="7"/>
      <c r="I503" s="7"/>
      <c r="J503" s="8"/>
      <c r="K503" s="8"/>
      <c r="L503" s="8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8" customHeight="1">
      <c r="A504" s="8"/>
      <c r="B504" s="8"/>
      <c r="C504" s="7"/>
      <c r="D504" s="7"/>
      <c r="E504" s="7"/>
      <c r="F504" s="7"/>
      <c r="G504" s="7"/>
      <c r="H504" s="7"/>
      <c r="I504" s="7"/>
      <c r="J504" s="8"/>
      <c r="K504" s="8"/>
      <c r="L504" s="8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8" customHeight="1">
      <c r="A505" s="8"/>
      <c r="B505" s="8"/>
      <c r="C505" s="7"/>
      <c r="D505" s="7"/>
      <c r="E505" s="7"/>
      <c r="F505" s="7"/>
      <c r="G505" s="7"/>
      <c r="H505" s="7"/>
      <c r="I505" s="7"/>
      <c r="J505" s="8"/>
      <c r="K505" s="8"/>
      <c r="L505" s="8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8" customHeight="1">
      <c r="A506" s="8"/>
      <c r="B506" s="8"/>
      <c r="C506" s="7"/>
      <c r="D506" s="7"/>
      <c r="E506" s="7"/>
      <c r="F506" s="7"/>
      <c r="G506" s="7"/>
      <c r="H506" s="7"/>
      <c r="I506" s="7"/>
      <c r="J506" s="8"/>
      <c r="K506" s="8"/>
      <c r="L506" s="8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8" customHeight="1">
      <c r="A507" s="8"/>
      <c r="B507" s="8"/>
      <c r="C507" s="7"/>
      <c r="D507" s="7"/>
      <c r="E507" s="7"/>
      <c r="F507" s="7"/>
      <c r="G507" s="7"/>
      <c r="H507" s="7"/>
      <c r="I507" s="7"/>
      <c r="J507" s="8"/>
      <c r="K507" s="8"/>
      <c r="L507" s="8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8" customHeight="1">
      <c r="A508" s="8"/>
      <c r="B508" s="8"/>
      <c r="C508" s="7"/>
      <c r="D508" s="7"/>
      <c r="E508" s="7"/>
      <c r="F508" s="7"/>
      <c r="G508" s="7"/>
      <c r="H508" s="7"/>
      <c r="I508" s="7"/>
      <c r="J508" s="8"/>
      <c r="K508" s="8"/>
      <c r="L508" s="8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8" customHeight="1">
      <c r="A509" s="8"/>
      <c r="B509" s="8"/>
      <c r="C509" s="7"/>
      <c r="D509" s="7"/>
      <c r="E509" s="7"/>
      <c r="F509" s="7"/>
      <c r="G509" s="7"/>
      <c r="H509" s="7"/>
      <c r="I509" s="7"/>
      <c r="J509" s="8"/>
      <c r="K509" s="8"/>
      <c r="L509" s="8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8" customHeight="1">
      <c r="A510" s="8"/>
      <c r="B510" s="8"/>
      <c r="C510" s="7"/>
      <c r="D510" s="7"/>
      <c r="E510" s="7"/>
      <c r="F510" s="7"/>
      <c r="G510" s="7"/>
      <c r="H510" s="7"/>
      <c r="I510" s="7"/>
      <c r="J510" s="8"/>
      <c r="K510" s="8"/>
      <c r="L510" s="8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8" customHeight="1">
      <c r="A511" s="8"/>
      <c r="B511" s="8"/>
      <c r="C511" s="7"/>
      <c r="D511" s="7"/>
      <c r="E511" s="7"/>
      <c r="F511" s="7"/>
      <c r="G511" s="7"/>
      <c r="H511" s="7"/>
      <c r="I511" s="7"/>
      <c r="J511" s="8"/>
      <c r="K511" s="8"/>
      <c r="L511" s="8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8" customHeight="1">
      <c r="A512" s="8"/>
      <c r="B512" s="8"/>
      <c r="C512" s="7"/>
      <c r="D512" s="7"/>
      <c r="E512" s="7"/>
      <c r="F512" s="7"/>
      <c r="G512" s="7"/>
      <c r="H512" s="7"/>
      <c r="I512" s="7"/>
      <c r="J512" s="8"/>
      <c r="K512" s="8"/>
      <c r="L512" s="8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8" customHeight="1">
      <c r="A513" s="8"/>
      <c r="B513" s="8"/>
      <c r="C513" s="7"/>
      <c r="D513" s="7"/>
      <c r="E513" s="7"/>
      <c r="F513" s="7"/>
      <c r="G513" s="7"/>
      <c r="H513" s="7"/>
      <c r="I513" s="7"/>
      <c r="J513" s="8"/>
      <c r="K513" s="8"/>
      <c r="L513" s="8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8" customHeight="1">
      <c r="A514" s="8"/>
      <c r="B514" s="8"/>
      <c r="C514" s="7"/>
      <c r="D514" s="7"/>
      <c r="E514" s="7"/>
      <c r="F514" s="7"/>
      <c r="G514" s="7"/>
      <c r="H514" s="7"/>
      <c r="I514" s="7"/>
      <c r="J514" s="8"/>
      <c r="K514" s="8"/>
      <c r="L514" s="8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8" customHeight="1">
      <c r="A515" s="8"/>
      <c r="B515" s="8"/>
      <c r="C515" s="7"/>
      <c r="D515" s="7"/>
      <c r="E515" s="7"/>
      <c r="F515" s="7"/>
      <c r="G515" s="7"/>
      <c r="H515" s="7"/>
      <c r="I515" s="7"/>
      <c r="J515" s="8"/>
      <c r="K515" s="8"/>
      <c r="L515" s="8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8" customHeight="1">
      <c r="A516" s="8"/>
      <c r="B516" s="8"/>
      <c r="C516" s="7"/>
      <c r="D516" s="7"/>
      <c r="E516" s="7"/>
      <c r="F516" s="7"/>
      <c r="G516" s="7"/>
      <c r="H516" s="7"/>
      <c r="I516" s="7"/>
      <c r="J516" s="8"/>
      <c r="K516" s="8"/>
      <c r="L516" s="8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8" customHeight="1">
      <c r="A517" s="8"/>
      <c r="B517" s="8"/>
      <c r="C517" s="7"/>
      <c r="D517" s="7"/>
      <c r="E517" s="7"/>
      <c r="F517" s="7"/>
      <c r="G517" s="7"/>
      <c r="H517" s="7"/>
      <c r="I517" s="7"/>
      <c r="J517" s="8"/>
      <c r="K517" s="8"/>
      <c r="L517" s="8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8" customHeight="1">
      <c r="A518" s="8"/>
      <c r="B518" s="8"/>
      <c r="C518" s="7"/>
      <c r="D518" s="7"/>
      <c r="E518" s="7"/>
      <c r="F518" s="7"/>
      <c r="G518" s="7"/>
      <c r="H518" s="7"/>
      <c r="I518" s="7"/>
      <c r="J518" s="8"/>
      <c r="K518" s="8"/>
      <c r="L518" s="8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8" customHeight="1">
      <c r="A519" s="8"/>
      <c r="B519" s="8"/>
      <c r="C519" s="7"/>
      <c r="D519" s="7"/>
      <c r="E519" s="7"/>
      <c r="F519" s="7"/>
      <c r="G519" s="7"/>
      <c r="H519" s="7"/>
      <c r="I519" s="7"/>
      <c r="J519" s="8"/>
      <c r="K519" s="8"/>
      <c r="L519" s="8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8" customHeight="1">
      <c r="A520" s="8"/>
      <c r="B520" s="8"/>
      <c r="C520" s="7"/>
      <c r="D520" s="7"/>
      <c r="E520" s="7"/>
      <c r="F520" s="7"/>
      <c r="G520" s="7"/>
      <c r="H520" s="7"/>
      <c r="I520" s="7"/>
      <c r="J520" s="8"/>
      <c r="K520" s="8"/>
      <c r="L520" s="8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8" customHeight="1">
      <c r="A521" s="8"/>
      <c r="B521" s="8"/>
      <c r="C521" s="7"/>
      <c r="D521" s="7"/>
      <c r="E521" s="7"/>
      <c r="F521" s="7"/>
      <c r="G521" s="7"/>
      <c r="H521" s="7"/>
      <c r="I521" s="7"/>
      <c r="J521" s="8"/>
      <c r="K521" s="8"/>
      <c r="L521" s="8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8" customHeight="1">
      <c r="A522" s="8"/>
      <c r="B522" s="8"/>
      <c r="C522" s="7"/>
      <c r="D522" s="7"/>
      <c r="E522" s="7"/>
      <c r="F522" s="7"/>
      <c r="G522" s="7"/>
      <c r="H522" s="7"/>
      <c r="I522" s="7"/>
      <c r="J522" s="8"/>
      <c r="K522" s="8"/>
      <c r="L522" s="8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8" customHeight="1">
      <c r="A523" s="8"/>
      <c r="B523" s="8"/>
      <c r="C523" s="7"/>
      <c r="D523" s="7"/>
      <c r="E523" s="7"/>
      <c r="F523" s="7"/>
      <c r="G523" s="7"/>
      <c r="H523" s="7"/>
      <c r="I523" s="7"/>
      <c r="J523" s="8"/>
      <c r="K523" s="8"/>
      <c r="L523" s="8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8" customHeight="1">
      <c r="A524" s="8"/>
      <c r="B524" s="8"/>
      <c r="C524" s="7"/>
      <c r="D524" s="7"/>
      <c r="E524" s="7"/>
      <c r="F524" s="7"/>
      <c r="G524" s="7"/>
      <c r="H524" s="7"/>
      <c r="I524" s="7"/>
      <c r="J524" s="8"/>
      <c r="K524" s="8"/>
      <c r="L524" s="8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8" customHeight="1">
      <c r="A525" s="8"/>
      <c r="B525" s="8"/>
      <c r="C525" s="7"/>
      <c r="D525" s="7"/>
      <c r="E525" s="7"/>
      <c r="F525" s="7"/>
      <c r="G525" s="7"/>
      <c r="H525" s="7"/>
      <c r="I525" s="7"/>
      <c r="J525" s="8"/>
      <c r="K525" s="8"/>
      <c r="L525" s="8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8" customHeight="1">
      <c r="A526" s="8"/>
      <c r="B526" s="8"/>
      <c r="C526" s="7"/>
      <c r="D526" s="7"/>
      <c r="E526" s="7"/>
      <c r="F526" s="7"/>
      <c r="G526" s="7"/>
      <c r="H526" s="7"/>
      <c r="I526" s="7"/>
      <c r="J526" s="8"/>
      <c r="K526" s="8"/>
      <c r="L526" s="8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8" customHeight="1">
      <c r="A527" s="8"/>
      <c r="B527" s="8"/>
      <c r="C527" s="7"/>
      <c r="D527" s="7"/>
      <c r="E527" s="7"/>
      <c r="F527" s="7"/>
      <c r="G527" s="7"/>
      <c r="H527" s="7"/>
      <c r="I527" s="7"/>
      <c r="J527" s="8"/>
      <c r="K527" s="8"/>
      <c r="L527" s="8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8" customHeight="1">
      <c r="A528" s="8"/>
      <c r="B528" s="8"/>
      <c r="C528" s="7"/>
      <c r="D528" s="7"/>
      <c r="E528" s="7"/>
      <c r="F528" s="7"/>
      <c r="G528" s="7"/>
      <c r="H528" s="7"/>
      <c r="I528" s="7"/>
      <c r="J528" s="8"/>
      <c r="K528" s="8"/>
      <c r="L528" s="8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8" customHeight="1">
      <c r="A529" s="8"/>
      <c r="B529" s="8"/>
      <c r="C529" s="7"/>
      <c r="D529" s="7"/>
      <c r="E529" s="7"/>
      <c r="F529" s="7"/>
      <c r="G529" s="7"/>
      <c r="H529" s="7"/>
      <c r="I529" s="7"/>
      <c r="J529" s="8"/>
      <c r="K529" s="8"/>
      <c r="L529" s="8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8" customHeight="1">
      <c r="A530" s="8"/>
      <c r="B530" s="8"/>
      <c r="C530" s="7"/>
      <c r="D530" s="7"/>
      <c r="E530" s="7"/>
      <c r="F530" s="7"/>
      <c r="G530" s="7"/>
      <c r="H530" s="7"/>
      <c r="I530" s="7"/>
      <c r="J530" s="8"/>
      <c r="K530" s="8"/>
      <c r="L530" s="8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8" customHeight="1">
      <c r="A531" s="8"/>
      <c r="B531" s="8"/>
      <c r="C531" s="7"/>
      <c r="D531" s="7"/>
      <c r="E531" s="7"/>
      <c r="F531" s="7"/>
      <c r="G531" s="7"/>
      <c r="H531" s="7"/>
      <c r="I531" s="7"/>
      <c r="J531" s="8"/>
      <c r="K531" s="8"/>
      <c r="L531" s="8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8" customHeight="1">
      <c r="A532" s="8"/>
      <c r="B532" s="8"/>
      <c r="C532" s="7"/>
      <c r="D532" s="7"/>
      <c r="E532" s="7"/>
      <c r="F532" s="7"/>
      <c r="G532" s="7"/>
      <c r="H532" s="7"/>
      <c r="I532" s="7"/>
      <c r="J532" s="8"/>
      <c r="K532" s="8"/>
      <c r="L532" s="8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8" customHeight="1">
      <c r="A533" s="8"/>
      <c r="B533" s="8"/>
      <c r="C533" s="7"/>
      <c r="D533" s="7"/>
      <c r="E533" s="7"/>
      <c r="F533" s="7"/>
      <c r="G533" s="7"/>
      <c r="H533" s="7"/>
      <c r="I533" s="7"/>
      <c r="J533" s="8"/>
      <c r="K533" s="8"/>
      <c r="L533" s="8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8" customHeight="1">
      <c r="A534" s="8"/>
      <c r="B534" s="8"/>
      <c r="C534" s="7"/>
      <c r="D534" s="7"/>
      <c r="E534" s="7"/>
      <c r="F534" s="7"/>
      <c r="G534" s="7"/>
      <c r="H534" s="7"/>
      <c r="I534" s="7"/>
      <c r="J534" s="8"/>
      <c r="K534" s="8"/>
      <c r="L534" s="8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8" customHeight="1">
      <c r="A535" s="8"/>
      <c r="B535" s="8"/>
      <c r="C535" s="7"/>
      <c r="D535" s="7"/>
      <c r="E535" s="7"/>
      <c r="F535" s="7"/>
      <c r="G535" s="7"/>
      <c r="H535" s="7"/>
      <c r="I535" s="7"/>
      <c r="J535" s="8"/>
      <c r="K535" s="8"/>
      <c r="L535" s="8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8" customHeight="1">
      <c r="A536" s="8"/>
      <c r="B536" s="8"/>
      <c r="C536" s="7"/>
      <c r="D536" s="7"/>
      <c r="E536" s="7"/>
      <c r="F536" s="7"/>
      <c r="G536" s="7"/>
      <c r="H536" s="7"/>
      <c r="I536" s="7"/>
      <c r="J536" s="8"/>
      <c r="K536" s="8"/>
      <c r="L536" s="8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8" customHeight="1">
      <c r="A537" s="8"/>
      <c r="B537" s="8"/>
      <c r="C537" s="7"/>
      <c r="D537" s="7"/>
      <c r="E537" s="7"/>
      <c r="F537" s="7"/>
      <c r="G537" s="7"/>
      <c r="H537" s="7"/>
      <c r="I537" s="7"/>
      <c r="J537" s="8"/>
      <c r="K537" s="8"/>
      <c r="L537" s="8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8" customHeight="1">
      <c r="A538" s="8"/>
      <c r="B538" s="8"/>
      <c r="C538" s="7"/>
      <c r="D538" s="7"/>
      <c r="E538" s="7"/>
      <c r="F538" s="7"/>
      <c r="G538" s="7"/>
      <c r="H538" s="7"/>
      <c r="I538" s="7"/>
      <c r="J538" s="8"/>
      <c r="K538" s="8"/>
      <c r="L538" s="8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8" customHeight="1">
      <c r="A539" s="8"/>
      <c r="B539" s="8"/>
      <c r="C539" s="7"/>
      <c r="D539" s="7"/>
      <c r="E539" s="7"/>
      <c r="F539" s="7"/>
      <c r="G539" s="7"/>
      <c r="H539" s="7"/>
      <c r="I539" s="7"/>
      <c r="J539" s="8"/>
      <c r="K539" s="8"/>
      <c r="L539" s="8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8" customHeight="1">
      <c r="A540" s="8"/>
      <c r="B540" s="8"/>
      <c r="C540" s="7"/>
      <c r="D540" s="7"/>
      <c r="E540" s="7"/>
      <c r="F540" s="7"/>
      <c r="G540" s="7"/>
      <c r="H540" s="7"/>
      <c r="I540" s="7"/>
      <c r="J540" s="8"/>
      <c r="K540" s="8"/>
      <c r="L540" s="8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8" customHeight="1">
      <c r="A541" s="8"/>
      <c r="B541" s="8"/>
      <c r="C541" s="7"/>
      <c r="D541" s="7"/>
      <c r="E541" s="7"/>
      <c r="F541" s="7"/>
      <c r="G541" s="7"/>
      <c r="H541" s="7"/>
      <c r="I541" s="7"/>
      <c r="J541" s="8"/>
      <c r="K541" s="8"/>
      <c r="L541" s="8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8" customHeight="1">
      <c r="A542" s="8"/>
      <c r="B542" s="8"/>
      <c r="C542" s="7"/>
      <c r="D542" s="7"/>
      <c r="E542" s="7"/>
      <c r="F542" s="7"/>
      <c r="G542" s="7"/>
      <c r="H542" s="7"/>
      <c r="I542" s="7"/>
      <c r="J542" s="8"/>
      <c r="K542" s="8"/>
      <c r="L542" s="8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8" customHeight="1">
      <c r="A543" s="8"/>
      <c r="B543" s="8"/>
      <c r="C543" s="7"/>
      <c r="D543" s="7"/>
      <c r="E543" s="7"/>
      <c r="F543" s="7"/>
      <c r="G543" s="7"/>
      <c r="H543" s="7"/>
      <c r="I543" s="7"/>
      <c r="J543" s="8"/>
      <c r="K543" s="8"/>
      <c r="L543" s="8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8" customHeight="1">
      <c r="A544" s="8"/>
      <c r="B544" s="8"/>
      <c r="C544" s="7"/>
      <c r="D544" s="7"/>
      <c r="E544" s="7"/>
      <c r="F544" s="7"/>
      <c r="G544" s="7"/>
      <c r="H544" s="7"/>
      <c r="I544" s="7"/>
      <c r="J544" s="8"/>
      <c r="K544" s="8"/>
      <c r="L544" s="8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8" customHeight="1">
      <c r="A545" s="8"/>
      <c r="B545" s="8"/>
      <c r="C545" s="7"/>
      <c r="D545" s="7"/>
      <c r="E545" s="7"/>
      <c r="F545" s="7"/>
      <c r="G545" s="7"/>
      <c r="H545" s="7"/>
      <c r="I545" s="7"/>
      <c r="J545" s="8"/>
      <c r="K545" s="8"/>
      <c r="L545" s="8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8" customHeight="1">
      <c r="A546" s="8"/>
      <c r="B546" s="8"/>
      <c r="C546" s="7"/>
      <c r="D546" s="7"/>
      <c r="E546" s="7"/>
      <c r="F546" s="7"/>
      <c r="G546" s="7"/>
      <c r="H546" s="7"/>
      <c r="I546" s="7"/>
      <c r="J546" s="8"/>
      <c r="K546" s="8"/>
      <c r="L546" s="8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8" customHeight="1">
      <c r="A547" s="8"/>
      <c r="B547" s="8"/>
      <c r="C547" s="7"/>
      <c r="D547" s="7"/>
      <c r="E547" s="7"/>
      <c r="F547" s="7"/>
      <c r="G547" s="7"/>
      <c r="H547" s="7"/>
      <c r="I547" s="7"/>
      <c r="J547" s="8"/>
      <c r="K547" s="8"/>
      <c r="L547" s="8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8" customHeight="1">
      <c r="A548" s="8"/>
      <c r="B548" s="8"/>
      <c r="C548" s="7"/>
      <c r="D548" s="7"/>
      <c r="E548" s="7"/>
      <c r="F548" s="7"/>
      <c r="G548" s="7"/>
      <c r="H548" s="7"/>
      <c r="I548" s="7"/>
      <c r="J548" s="8"/>
      <c r="K548" s="8"/>
      <c r="L548" s="8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8" customHeight="1">
      <c r="A549" s="8"/>
      <c r="B549" s="8"/>
      <c r="C549" s="7"/>
      <c r="D549" s="7"/>
      <c r="E549" s="7"/>
      <c r="F549" s="7"/>
      <c r="G549" s="7"/>
      <c r="H549" s="7"/>
      <c r="I549" s="7"/>
      <c r="J549" s="8"/>
      <c r="K549" s="8"/>
      <c r="L549" s="8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8" customHeight="1">
      <c r="A550" s="8"/>
      <c r="B550" s="8"/>
      <c r="C550" s="7"/>
      <c r="D550" s="7"/>
      <c r="E550" s="7"/>
      <c r="F550" s="7"/>
      <c r="G550" s="7"/>
      <c r="H550" s="7"/>
      <c r="I550" s="7"/>
      <c r="J550" s="8"/>
      <c r="K550" s="8"/>
      <c r="L550" s="8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8" customHeight="1">
      <c r="A551" s="8"/>
      <c r="B551" s="8"/>
      <c r="C551" s="7"/>
      <c r="D551" s="7"/>
      <c r="E551" s="7"/>
      <c r="F551" s="7"/>
      <c r="G551" s="7"/>
      <c r="H551" s="7"/>
      <c r="I551" s="7"/>
      <c r="J551" s="8"/>
      <c r="K551" s="8"/>
      <c r="L551" s="8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8" customHeight="1">
      <c r="A552" s="8"/>
      <c r="B552" s="8"/>
      <c r="C552" s="7"/>
      <c r="D552" s="7"/>
      <c r="E552" s="7"/>
      <c r="F552" s="7"/>
      <c r="G552" s="7"/>
      <c r="H552" s="7"/>
      <c r="I552" s="7"/>
      <c r="J552" s="8"/>
      <c r="K552" s="8"/>
      <c r="L552" s="8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8" customHeight="1">
      <c r="A553" s="8"/>
      <c r="B553" s="8"/>
      <c r="C553" s="7"/>
      <c r="D553" s="7"/>
      <c r="E553" s="7"/>
      <c r="F553" s="7"/>
      <c r="G553" s="7"/>
      <c r="H553" s="7"/>
      <c r="I553" s="7"/>
      <c r="J553" s="8"/>
      <c r="K553" s="8"/>
      <c r="L553" s="8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8" customHeight="1">
      <c r="A554" s="8"/>
      <c r="B554" s="8"/>
      <c r="C554" s="7"/>
      <c r="D554" s="7"/>
      <c r="E554" s="7"/>
      <c r="F554" s="7"/>
      <c r="G554" s="7"/>
      <c r="H554" s="7"/>
      <c r="I554" s="7"/>
      <c r="J554" s="8"/>
      <c r="K554" s="8"/>
      <c r="L554" s="8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8" customHeight="1">
      <c r="A555" s="8"/>
      <c r="B555" s="8"/>
      <c r="C555" s="7"/>
      <c r="D555" s="7"/>
      <c r="E555" s="7"/>
      <c r="F555" s="7"/>
      <c r="G555" s="7"/>
      <c r="H555" s="7"/>
      <c r="I555" s="7"/>
      <c r="J555" s="8"/>
      <c r="K555" s="8"/>
      <c r="L555" s="8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8" customHeight="1">
      <c r="A556" s="8"/>
      <c r="B556" s="8"/>
      <c r="C556" s="7"/>
      <c r="D556" s="7"/>
      <c r="E556" s="7"/>
      <c r="F556" s="7"/>
      <c r="G556" s="7"/>
      <c r="H556" s="7"/>
      <c r="I556" s="7"/>
      <c r="J556" s="8"/>
      <c r="K556" s="8"/>
      <c r="L556" s="8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8" customHeight="1">
      <c r="A557" s="8"/>
      <c r="B557" s="8"/>
      <c r="C557" s="7"/>
      <c r="D557" s="7"/>
      <c r="E557" s="7"/>
      <c r="F557" s="7"/>
      <c r="G557" s="7"/>
      <c r="H557" s="7"/>
      <c r="I557" s="7"/>
      <c r="J557" s="8"/>
      <c r="K557" s="8"/>
      <c r="L557" s="8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8" customHeight="1">
      <c r="A558" s="8"/>
      <c r="B558" s="8"/>
      <c r="C558" s="7"/>
      <c r="D558" s="7"/>
      <c r="E558" s="7"/>
      <c r="F558" s="7"/>
      <c r="G558" s="7"/>
      <c r="H558" s="7"/>
      <c r="I558" s="7"/>
      <c r="J558" s="8"/>
      <c r="K558" s="8"/>
      <c r="L558" s="8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8" customHeight="1">
      <c r="A559" s="8"/>
      <c r="B559" s="8"/>
      <c r="C559" s="7"/>
      <c r="D559" s="7"/>
      <c r="E559" s="7"/>
      <c r="F559" s="7"/>
      <c r="G559" s="7"/>
      <c r="H559" s="7"/>
      <c r="I559" s="7"/>
      <c r="J559" s="8"/>
      <c r="K559" s="8"/>
      <c r="L559" s="8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8" customHeight="1">
      <c r="A560" s="8"/>
      <c r="B560" s="8"/>
      <c r="C560" s="7"/>
      <c r="D560" s="7"/>
      <c r="E560" s="7"/>
      <c r="F560" s="7"/>
      <c r="G560" s="7"/>
      <c r="H560" s="7"/>
      <c r="I560" s="7"/>
      <c r="J560" s="8"/>
      <c r="K560" s="8"/>
      <c r="L560" s="8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8" customHeight="1">
      <c r="A561" s="8"/>
      <c r="B561" s="8"/>
      <c r="C561" s="7"/>
      <c r="D561" s="7"/>
      <c r="E561" s="7"/>
      <c r="F561" s="7"/>
      <c r="G561" s="7"/>
      <c r="H561" s="7"/>
      <c r="I561" s="7"/>
      <c r="J561" s="8"/>
      <c r="K561" s="8"/>
      <c r="L561" s="8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8" customHeight="1">
      <c r="A562" s="8"/>
      <c r="B562" s="8"/>
      <c r="C562" s="7"/>
      <c r="D562" s="7"/>
      <c r="E562" s="7"/>
      <c r="F562" s="7"/>
      <c r="G562" s="7"/>
      <c r="H562" s="7"/>
      <c r="I562" s="7"/>
      <c r="J562" s="8"/>
      <c r="K562" s="8"/>
      <c r="L562" s="8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8" customHeight="1">
      <c r="A563" s="8"/>
      <c r="B563" s="8"/>
      <c r="C563" s="7"/>
      <c r="D563" s="7"/>
      <c r="E563" s="7"/>
      <c r="F563" s="7"/>
      <c r="G563" s="7"/>
      <c r="H563" s="7"/>
      <c r="I563" s="7"/>
      <c r="J563" s="8"/>
      <c r="K563" s="8"/>
      <c r="L563" s="8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8" customHeight="1">
      <c r="A564" s="8"/>
      <c r="B564" s="8"/>
      <c r="C564" s="7"/>
      <c r="D564" s="7"/>
      <c r="E564" s="7"/>
      <c r="F564" s="7"/>
      <c r="G564" s="7"/>
      <c r="H564" s="7"/>
      <c r="I564" s="7"/>
      <c r="J564" s="8"/>
      <c r="K564" s="8"/>
      <c r="L564" s="8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8" customHeight="1">
      <c r="A565" s="8"/>
      <c r="B565" s="8"/>
      <c r="C565" s="7"/>
      <c r="D565" s="7"/>
      <c r="E565" s="7"/>
      <c r="F565" s="7"/>
      <c r="G565" s="7"/>
      <c r="H565" s="7"/>
      <c r="I565" s="7"/>
      <c r="J565" s="8"/>
      <c r="K565" s="8"/>
      <c r="L565" s="8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8" customHeight="1">
      <c r="A566" s="8"/>
      <c r="B566" s="8"/>
      <c r="C566" s="7"/>
      <c r="D566" s="7"/>
      <c r="E566" s="7"/>
      <c r="F566" s="7"/>
      <c r="G566" s="7"/>
      <c r="H566" s="7"/>
      <c r="I566" s="7"/>
      <c r="J566" s="8"/>
      <c r="K566" s="8"/>
      <c r="L566" s="8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8" customHeight="1">
      <c r="A567" s="8"/>
      <c r="B567" s="8"/>
      <c r="C567" s="7"/>
      <c r="D567" s="7"/>
      <c r="E567" s="7"/>
      <c r="F567" s="7"/>
      <c r="G567" s="7"/>
      <c r="H567" s="7"/>
      <c r="I567" s="7"/>
      <c r="J567" s="8"/>
      <c r="K567" s="8"/>
      <c r="L567" s="8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8" customHeight="1">
      <c r="A568" s="8"/>
      <c r="B568" s="8"/>
      <c r="C568" s="7"/>
      <c r="D568" s="7"/>
      <c r="E568" s="7"/>
      <c r="F568" s="7"/>
      <c r="G568" s="7"/>
      <c r="H568" s="7"/>
      <c r="I568" s="7"/>
      <c r="J568" s="8"/>
      <c r="K568" s="8"/>
      <c r="L568" s="8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8" customHeight="1">
      <c r="A569" s="8"/>
      <c r="B569" s="8"/>
      <c r="C569" s="7"/>
      <c r="D569" s="7"/>
      <c r="E569" s="7"/>
      <c r="F569" s="7"/>
      <c r="G569" s="7"/>
      <c r="H569" s="7"/>
      <c r="I569" s="7"/>
      <c r="J569" s="8"/>
      <c r="K569" s="8"/>
      <c r="L569" s="8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8" customHeight="1">
      <c r="A570" s="8"/>
      <c r="B570" s="8"/>
      <c r="C570" s="7"/>
      <c r="D570" s="7"/>
      <c r="E570" s="7"/>
      <c r="F570" s="7"/>
      <c r="G570" s="7"/>
      <c r="H570" s="7"/>
      <c r="I570" s="7"/>
      <c r="J570" s="8"/>
      <c r="K570" s="8"/>
      <c r="L570" s="8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8" customHeight="1">
      <c r="A571" s="8"/>
      <c r="B571" s="8"/>
      <c r="C571" s="7"/>
      <c r="D571" s="7"/>
      <c r="E571" s="7"/>
      <c r="F571" s="7"/>
      <c r="G571" s="7"/>
      <c r="H571" s="7"/>
      <c r="I571" s="7"/>
      <c r="J571" s="8"/>
      <c r="K571" s="8"/>
      <c r="L571" s="8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8" customHeight="1">
      <c r="A572" s="8"/>
      <c r="B572" s="8"/>
      <c r="C572" s="7"/>
      <c r="D572" s="7"/>
      <c r="E572" s="7"/>
      <c r="F572" s="7"/>
      <c r="G572" s="7"/>
      <c r="H572" s="7"/>
      <c r="I572" s="7"/>
      <c r="J572" s="8"/>
      <c r="K572" s="8"/>
      <c r="L572" s="8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8" customHeight="1">
      <c r="A573" s="8"/>
      <c r="B573" s="8"/>
      <c r="C573" s="7"/>
      <c r="D573" s="7"/>
      <c r="E573" s="7"/>
      <c r="F573" s="7"/>
      <c r="G573" s="7"/>
      <c r="H573" s="7"/>
      <c r="I573" s="7"/>
      <c r="J573" s="8"/>
      <c r="K573" s="8"/>
      <c r="L573" s="8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8" customHeight="1">
      <c r="A574" s="8"/>
      <c r="B574" s="8"/>
      <c r="C574" s="7"/>
      <c r="D574" s="7"/>
      <c r="E574" s="7"/>
      <c r="F574" s="7"/>
      <c r="G574" s="7"/>
      <c r="H574" s="7"/>
      <c r="I574" s="7"/>
      <c r="J574" s="8"/>
      <c r="K574" s="8"/>
      <c r="L574" s="8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8" customHeight="1">
      <c r="A575" s="8"/>
      <c r="B575" s="8"/>
      <c r="C575" s="7"/>
      <c r="D575" s="7"/>
      <c r="E575" s="7"/>
      <c r="F575" s="7"/>
      <c r="G575" s="7"/>
      <c r="H575" s="7"/>
      <c r="I575" s="7"/>
      <c r="J575" s="8"/>
      <c r="K575" s="8"/>
      <c r="L575" s="8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8" customHeight="1">
      <c r="A576" s="8"/>
      <c r="B576" s="8"/>
      <c r="C576" s="7"/>
      <c r="D576" s="7"/>
      <c r="E576" s="7"/>
      <c r="F576" s="7"/>
      <c r="G576" s="7"/>
      <c r="H576" s="7"/>
      <c r="I576" s="7"/>
      <c r="J576" s="8"/>
      <c r="K576" s="8"/>
      <c r="L576" s="8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8" customHeight="1">
      <c r="A577" s="8"/>
      <c r="B577" s="8"/>
      <c r="C577" s="7"/>
      <c r="D577" s="7"/>
      <c r="E577" s="7"/>
      <c r="F577" s="7"/>
      <c r="G577" s="7"/>
      <c r="H577" s="7"/>
      <c r="I577" s="7"/>
      <c r="J577" s="8"/>
      <c r="K577" s="8"/>
      <c r="L577" s="8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8" customHeight="1">
      <c r="A578" s="8"/>
      <c r="B578" s="8"/>
      <c r="C578" s="7"/>
      <c r="D578" s="7"/>
      <c r="E578" s="7"/>
      <c r="F578" s="7"/>
      <c r="G578" s="7"/>
      <c r="H578" s="7"/>
      <c r="I578" s="7"/>
      <c r="J578" s="8"/>
      <c r="K578" s="8"/>
      <c r="L578" s="8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8" customHeight="1">
      <c r="A579" s="8"/>
      <c r="B579" s="8"/>
      <c r="C579" s="7"/>
      <c r="D579" s="7"/>
      <c r="E579" s="7"/>
      <c r="F579" s="7"/>
      <c r="G579" s="7"/>
      <c r="H579" s="7"/>
      <c r="I579" s="7"/>
      <c r="J579" s="8"/>
      <c r="K579" s="8"/>
      <c r="L579" s="8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8" customHeight="1">
      <c r="A580" s="8"/>
      <c r="B580" s="8"/>
      <c r="C580" s="7"/>
      <c r="D580" s="7"/>
      <c r="E580" s="7"/>
      <c r="F580" s="7"/>
      <c r="G580" s="7"/>
      <c r="H580" s="7"/>
      <c r="I580" s="7"/>
      <c r="J580" s="8"/>
      <c r="K580" s="8"/>
      <c r="L580" s="8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8" customHeight="1">
      <c r="A581" s="8"/>
      <c r="B581" s="8"/>
      <c r="C581" s="7"/>
      <c r="D581" s="7"/>
      <c r="E581" s="7"/>
      <c r="F581" s="7"/>
      <c r="G581" s="7"/>
      <c r="H581" s="7"/>
      <c r="I581" s="7"/>
      <c r="J581" s="8"/>
      <c r="K581" s="8"/>
      <c r="L581" s="8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8" customHeight="1">
      <c r="A582" s="8"/>
      <c r="B582" s="8"/>
      <c r="C582" s="7"/>
      <c r="D582" s="7"/>
      <c r="E582" s="7"/>
      <c r="F582" s="7"/>
      <c r="G582" s="7"/>
      <c r="H582" s="7"/>
      <c r="I582" s="7"/>
      <c r="J582" s="8"/>
      <c r="K582" s="8"/>
      <c r="L582" s="8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8" customHeight="1">
      <c r="A583" s="8"/>
      <c r="B583" s="8"/>
      <c r="C583" s="7"/>
      <c r="D583" s="7"/>
      <c r="E583" s="7"/>
      <c r="F583" s="7"/>
      <c r="G583" s="7"/>
      <c r="H583" s="7"/>
      <c r="I583" s="7"/>
      <c r="J583" s="8"/>
      <c r="K583" s="8"/>
      <c r="L583" s="8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8" customHeight="1">
      <c r="A584" s="8"/>
      <c r="B584" s="8"/>
      <c r="C584" s="7"/>
      <c r="D584" s="7"/>
      <c r="E584" s="7"/>
      <c r="F584" s="7"/>
      <c r="G584" s="7"/>
      <c r="H584" s="7"/>
      <c r="I584" s="7"/>
      <c r="J584" s="8"/>
      <c r="K584" s="8"/>
      <c r="L584" s="8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8" customHeight="1">
      <c r="A585" s="8"/>
      <c r="B585" s="8"/>
      <c r="C585" s="7"/>
      <c r="D585" s="7"/>
      <c r="E585" s="7"/>
      <c r="F585" s="7"/>
      <c r="G585" s="7"/>
      <c r="H585" s="7"/>
      <c r="I585" s="7"/>
      <c r="J585" s="8"/>
      <c r="K585" s="8"/>
      <c r="L585" s="8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8" customHeight="1">
      <c r="A586" s="8"/>
      <c r="B586" s="8"/>
      <c r="C586" s="7"/>
      <c r="D586" s="7"/>
      <c r="E586" s="7"/>
      <c r="F586" s="7"/>
      <c r="G586" s="7"/>
      <c r="H586" s="7"/>
      <c r="I586" s="7"/>
      <c r="J586" s="8"/>
      <c r="K586" s="8"/>
      <c r="L586" s="8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8" customHeight="1">
      <c r="A587" s="8"/>
      <c r="B587" s="8"/>
      <c r="C587" s="7"/>
      <c r="D587" s="7"/>
      <c r="E587" s="7"/>
      <c r="F587" s="7"/>
      <c r="G587" s="7"/>
      <c r="H587" s="7"/>
      <c r="I587" s="7"/>
      <c r="J587" s="8"/>
      <c r="K587" s="8"/>
      <c r="L587" s="8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8" customHeight="1">
      <c r="A588" s="8"/>
      <c r="B588" s="8"/>
      <c r="C588" s="7"/>
      <c r="D588" s="7"/>
      <c r="E588" s="7"/>
      <c r="F588" s="7"/>
      <c r="G588" s="7"/>
      <c r="H588" s="7"/>
      <c r="I588" s="7"/>
      <c r="J588" s="8"/>
      <c r="K588" s="8"/>
      <c r="L588" s="8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8" customHeight="1">
      <c r="A589" s="8"/>
      <c r="B589" s="8"/>
      <c r="C589" s="7"/>
      <c r="D589" s="7"/>
      <c r="E589" s="7"/>
      <c r="F589" s="7"/>
      <c r="G589" s="7"/>
      <c r="H589" s="7"/>
      <c r="I589" s="7"/>
      <c r="J589" s="8"/>
      <c r="K589" s="8"/>
      <c r="L589" s="8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8" customHeight="1">
      <c r="A590" s="8"/>
      <c r="B590" s="8"/>
      <c r="C590" s="7"/>
      <c r="D590" s="7"/>
      <c r="E590" s="7"/>
      <c r="F590" s="7"/>
      <c r="G590" s="7"/>
      <c r="H590" s="7"/>
      <c r="I590" s="7"/>
      <c r="J590" s="8"/>
      <c r="K590" s="8"/>
      <c r="L590" s="8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8" customHeight="1">
      <c r="A591" s="8"/>
      <c r="B591" s="8"/>
      <c r="C591" s="7"/>
      <c r="D591" s="7"/>
      <c r="E591" s="7"/>
      <c r="F591" s="7"/>
      <c r="G591" s="7"/>
      <c r="H591" s="7"/>
      <c r="I591" s="7"/>
      <c r="J591" s="8"/>
      <c r="K591" s="8"/>
      <c r="L591" s="8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8" customHeight="1">
      <c r="A592" s="8"/>
      <c r="B592" s="8"/>
      <c r="C592" s="7"/>
      <c r="D592" s="7"/>
      <c r="E592" s="7"/>
      <c r="F592" s="7"/>
      <c r="G592" s="7"/>
      <c r="H592" s="7"/>
      <c r="I592" s="7"/>
      <c r="J592" s="8"/>
      <c r="K592" s="8"/>
      <c r="L592" s="8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8" customHeight="1">
      <c r="A593" s="8"/>
      <c r="B593" s="8"/>
      <c r="C593" s="7"/>
      <c r="D593" s="7"/>
      <c r="E593" s="7"/>
      <c r="F593" s="7"/>
      <c r="G593" s="7"/>
      <c r="H593" s="7"/>
      <c r="I593" s="7"/>
      <c r="J593" s="8"/>
      <c r="K593" s="8"/>
      <c r="L593" s="8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8" customHeight="1">
      <c r="A594" s="8"/>
      <c r="B594" s="8"/>
      <c r="C594" s="7"/>
      <c r="D594" s="7"/>
      <c r="E594" s="7"/>
      <c r="F594" s="7"/>
      <c r="G594" s="7"/>
      <c r="H594" s="7"/>
      <c r="I594" s="7"/>
      <c r="J594" s="8"/>
      <c r="K594" s="8"/>
      <c r="L594" s="8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8" customHeight="1">
      <c r="A595" s="8"/>
      <c r="B595" s="8"/>
      <c r="C595" s="7"/>
      <c r="D595" s="7"/>
      <c r="E595" s="7"/>
      <c r="F595" s="7"/>
      <c r="G595" s="7"/>
      <c r="H595" s="7"/>
      <c r="I595" s="7"/>
      <c r="J595" s="8"/>
      <c r="K595" s="8"/>
      <c r="L595" s="8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8" customHeight="1">
      <c r="A596" s="8"/>
      <c r="B596" s="8"/>
      <c r="C596" s="7"/>
      <c r="D596" s="7"/>
      <c r="E596" s="7"/>
      <c r="F596" s="7"/>
      <c r="G596" s="7"/>
      <c r="H596" s="7"/>
      <c r="I596" s="7"/>
      <c r="J596" s="8"/>
      <c r="K596" s="8"/>
      <c r="L596" s="8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8" customHeight="1">
      <c r="A597" s="8"/>
      <c r="B597" s="8"/>
      <c r="C597" s="7"/>
      <c r="D597" s="7"/>
      <c r="E597" s="7"/>
      <c r="F597" s="7"/>
      <c r="G597" s="7"/>
      <c r="H597" s="7"/>
      <c r="I597" s="7"/>
      <c r="J597" s="8"/>
      <c r="K597" s="8"/>
      <c r="L597" s="8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8" customHeight="1">
      <c r="A598" s="8"/>
      <c r="B598" s="8"/>
      <c r="C598" s="7"/>
      <c r="D598" s="7"/>
      <c r="E598" s="7"/>
      <c r="F598" s="7"/>
      <c r="G598" s="7"/>
      <c r="H598" s="7"/>
      <c r="I598" s="7"/>
      <c r="J598" s="8"/>
      <c r="K598" s="8"/>
      <c r="L598" s="8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8" customHeight="1">
      <c r="A599" s="8"/>
      <c r="B599" s="8"/>
      <c r="C599" s="7"/>
      <c r="D599" s="7"/>
      <c r="E599" s="7"/>
      <c r="F599" s="7"/>
      <c r="G599" s="7"/>
      <c r="H599" s="7"/>
      <c r="I599" s="7"/>
      <c r="J599" s="8"/>
      <c r="K599" s="8"/>
      <c r="L599" s="8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8" customHeight="1">
      <c r="A600" s="8"/>
      <c r="B600" s="8"/>
      <c r="C600" s="7"/>
      <c r="D600" s="7"/>
      <c r="E600" s="7"/>
      <c r="F600" s="7"/>
      <c r="G600" s="7"/>
      <c r="H600" s="7"/>
      <c r="I600" s="7"/>
      <c r="J600" s="8"/>
      <c r="K600" s="8"/>
      <c r="L600" s="8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8" customHeight="1">
      <c r="A601" s="8"/>
      <c r="B601" s="8"/>
      <c r="C601" s="7"/>
      <c r="D601" s="7"/>
      <c r="E601" s="7"/>
      <c r="F601" s="7"/>
      <c r="G601" s="7"/>
      <c r="H601" s="7"/>
      <c r="I601" s="7"/>
      <c r="J601" s="8"/>
      <c r="K601" s="8"/>
      <c r="L601" s="8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8" customHeight="1">
      <c r="A602" s="8"/>
      <c r="B602" s="8"/>
      <c r="C602" s="7"/>
      <c r="D602" s="7"/>
      <c r="E602" s="7"/>
      <c r="F602" s="7"/>
      <c r="G602" s="7"/>
      <c r="H602" s="7"/>
      <c r="I602" s="7"/>
      <c r="J602" s="8"/>
      <c r="K602" s="8"/>
      <c r="L602" s="8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8" customHeight="1">
      <c r="A603" s="8"/>
      <c r="B603" s="8"/>
      <c r="C603" s="7"/>
      <c r="D603" s="7"/>
      <c r="E603" s="7"/>
      <c r="F603" s="7"/>
      <c r="G603" s="7"/>
      <c r="H603" s="7"/>
      <c r="I603" s="7"/>
      <c r="J603" s="8"/>
      <c r="K603" s="8"/>
      <c r="L603" s="8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8" customHeight="1">
      <c r="A604" s="8"/>
      <c r="B604" s="8"/>
      <c r="C604" s="7"/>
      <c r="D604" s="7"/>
      <c r="E604" s="7"/>
      <c r="F604" s="7"/>
      <c r="G604" s="7"/>
      <c r="H604" s="7"/>
      <c r="I604" s="7"/>
      <c r="J604" s="8"/>
      <c r="K604" s="8"/>
      <c r="L604" s="8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8" customHeight="1">
      <c r="A605" s="8"/>
      <c r="B605" s="8"/>
      <c r="C605" s="7"/>
      <c r="D605" s="7"/>
      <c r="E605" s="7"/>
      <c r="F605" s="7"/>
      <c r="G605" s="7"/>
      <c r="H605" s="7"/>
      <c r="I605" s="7"/>
      <c r="J605" s="8"/>
      <c r="K605" s="8"/>
      <c r="L605" s="8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8" customHeight="1">
      <c r="A606" s="8"/>
      <c r="B606" s="8"/>
      <c r="C606" s="7"/>
      <c r="D606" s="7"/>
      <c r="E606" s="7"/>
      <c r="F606" s="7"/>
      <c r="G606" s="7"/>
      <c r="H606" s="7"/>
      <c r="I606" s="7"/>
      <c r="J606" s="8"/>
      <c r="K606" s="8"/>
      <c r="L606" s="8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8" customHeight="1">
      <c r="A607" s="8"/>
      <c r="B607" s="8"/>
      <c r="C607" s="7"/>
      <c r="D607" s="7"/>
      <c r="E607" s="7"/>
      <c r="F607" s="7"/>
      <c r="G607" s="7"/>
      <c r="H607" s="7"/>
      <c r="I607" s="7"/>
      <c r="J607" s="8"/>
      <c r="K607" s="8"/>
      <c r="L607" s="8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8" customHeight="1">
      <c r="A608" s="8"/>
      <c r="B608" s="8"/>
      <c r="C608" s="7"/>
      <c r="D608" s="7"/>
      <c r="E608" s="7"/>
      <c r="F608" s="7"/>
      <c r="G608" s="7"/>
      <c r="H608" s="7"/>
      <c r="I608" s="7"/>
      <c r="J608" s="8"/>
      <c r="K608" s="8"/>
      <c r="L608" s="8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8" customHeight="1">
      <c r="A609" s="8"/>
      <c r="B609" s="8"/>
      <c r="C609" s="7"/>
      <c r="D609" s="7"/>
      <c r="E609" s="7"/>
      <c r="F609" s="7"/>
      <c r="G609" s="7"/>
      <c r="H609" s="7"/>
      <c r="I609" s="7"/>
      <c r="J609" s="8"/>
      <c r="K609" s="8"/>
      <c r="L609" s="8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8" customHeight="1">
      <c r="A610" s="8"/>
      <c r="B610" s="8"/>
      <c r="C610" s="7"/>
      <c r="D610" s="7"/>
      <c r="E610" s="7"/>
      <c r="F610" s="7"/>
      <c r="G610" s="7"/>
      <c r="H610" s="7"/>
      <c r="I610" s="7"/>
      <c r="J610" s="8"/>
      <c r="K610" s="8"/>
      <c r="L610" s="8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8" customHeight="1">
      <c r="A611" s="8"/>
      <c r="B611" s="8"/>
      <c r="C611" s="7"/>
      <c r="D611" s="7"/>
      <c r="E611" s="7"/>
      <c r="F611" s="7"/>
      <c r="G611" s="7"/>
      <c r="H611" s="7"/>
      <c r="I611" s="7"/>
      <c r="J611" s="8"/>
      <c r="K611" s="8"/>
      <c r="L611" s="8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8" customHeight="1">
      <c r="A612" s="8"/>
      <c r="B612" s="8"/>
      <c r="C612" s="7"/>
      <c r="D612" s="7"/>
      <c r="E612" s="7"/>
      <c r="F612" s="7"/>
      <c r="G612" s="7"/>
      <c r="H612" s="7"/>
      <c r="I612" s="7"/>
      <c r="J612" s="8"/>
      <c r="K612" s="8"/>
      <c r="L612" s="8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8" customHeight="1">
      <c r="A613" s="8"/>
      <c r="B613" s="8"/>
      <c r="C613" s="7"/>
      <c r="D613" s="7"/>
      <c r="E613" s="7"/>
      <c r="F613" s="7"/>
      <c r="G613" s="7"/>
      <c r="H613" s="7"/>
      <c r="I613" s="7"/>
      <c r="J613" s="8"/>
      <c r="K613" s="8"/>
      <c r="L613" s="8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8" customHeight="1">
      <c r="A614" s="8"/>
      <c r="B614" s="8"/>
      <c r="C614" s="7"/>
      <c r="D614" s="7"/>
      <c r="E614" s="7"/>
      <c r="F614" s="7"/>
      <c r="G614" s="7"/>
      <c r="H614" s="7"/>
      <c r="I614" s="7"/>
      <c r="J614" s="8"/>
      <c r="K614" s="8"/>
      <c r="L614" s="8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8" customHeight="1">
      <c r="A615" s="8"/>
      <c r="B615" s="8"/>
      <c r="C615" s="7"/>
      <c r="D615" s="7"/>
      <c r="E615" s="7"/>
      <c r="F615" s="7"/>
      <c r="G615" s="7"/>
      <c r="H615" s="7"/>
      <c r="I615" s="7"/>
      <c r="J615" s="8"/>
      <c r="K615" s="8"/>
      <c r="L615" s="8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8" customHeight="1">
      <c r="A616" s="8"/>
      <c r="B616" s="8"/>
      <c r="C616" s="7"/>
      <c r="D616" s="7"/>
      <c r="E616" s="7"/>
      <c r="F616" s="7"/>
      <c r="G616" s="7"/>
      <c r="H616" s="7"/>
      <c r="I616" s="7"/>
      <c r="J616" s="8"/>
      <c r="K616" s="8"/>
      <c r="L616" s="8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8" customHeight="1">
      <c r="A617" s="8"/>
      <c r="B617" s="8"/>
      <c r="C617" s="7"/>
      <c r="D617" s="7"/>
      <c r="E617" s="7"/>
      <c r="F617" s="7"/>
      <c r="G617" s="7"/>
      <c r="H617" s="7"/>
      <c r="I617" s="7"/>
      <c r="J617" s="8"/>
      <c r="K617" s="8"/>
      <c r="L617" s="8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8" customHeight="1">
      <c r="A618" s="8"/>
      <c r="B618" s="8"/>
      <c r="C618" s="7"/>
      <c r="D618" s="7"/>
      <c r="E618" s="7"/>
      <c r="F618" s="7"/>
      <c r="G618" s="7"/>
      <c r="H618" s="7"/>
      <c r="I618" s="7"/>
      <c r="J618" s="8"/>
      <c r="K618" s="8"/>
      <c r="L618" s="8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8" customHeight="1">
      <c r="A619" s="8"/>
      <c r="B619" s="8"/>
      <c r="C619" s="7"/>
      <c r="D619" s="7"/>
      <c r="E619" s="7"/>
      <c r="F619" s="7"/>
      <c r="G619" s="7"/>
      <c r="H619" s="7"/>
      <c r="I619" s="7"/>
      <c r="J619" s="8"/>
      <c r="K619" s="8"/>
      <c r="L619" s="8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8" customHeight="1">
      <c r="A620" s="8"/>
      <c r="B620" s="8"/>
      <c r="C620" s="7"/>
      <c r="D620" s="7"/>
      <c r="E620" s="7"/>
      <c r="F620" s="7"/>
      <c r="G620" s="7"/>
      <c r="H620" s="7"/>
      <c r="I620" s="7"/>
      <c r="J620" s="8"/>
      <c r="K620" s="8"/>
      <c r="L620" s="8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8" customHeight="1">
      <c r="A621" s="8"/>
      <c r="B621" s="8"/>
      <c r="C621" s="7"/>
      <c r="D621" s="7"/>
      <c r="E621" s="7"/>
      <c r="F621" s="7"/>
      <c r="G621" s="7"/>
      <c r="H621" s="7"/>
      <c r="I621" s="7"/>
      <c r="J621" s="8"/>
      <c r="K621" s="8"/>
      <c r="L621" s="8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8" customHeight="1">
      <c r="A622" s="8"/>
      <c r="B622" s="8"/>
      <c r="C622" s="7"/>
      <c r="D622" s="7"/>
      <c r="E622" s="7"/>
      <c r="F622" s="7"/>
      <c r="G622" s="7"/>
      <c r="H622" s="7"/>
      <c r="I622" s="7"/>
      <c r="J622" s="8"/>
      <c r="K622" s="8"/>
      <c r="L622" s="8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8" customHeight="1">
      <c r="A623" s="8"/>
      <c r="B623" s="8"/>
      <c r="C623" s="7"/>
      <c r="D623" s="7"/>
      <c r="E623" s="7"/>
      <c r="F623" s="7"/>
      <c r="G623" s="7"/>
      <c r="H623" s="7"/>
      <c r="I623" s="7"/>
      <c r="J623" s="8"/>
      <c r="K623" s="8"/>
      <c r="L623" s="8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8" customHeight="1">
      <c r="A624" s="8"/>
      <c r="B624" s="8"/>
      <c r="C624" s="7"/>
      <c r="D624" s="7"/>
      <c r="E624" s="7"/>
      <c r="F624" s="7"/>
      <c r="G624" s="7"/>
      <c r="H624" s="7"/>
      <c r="I624" s="7"/>
      <c r="J624" s="8"/>
      <c r="K624" s="8"/>
      <c r="L624" s="8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8" customHeight="1">
      <c r="A625" s="8"/>
      <c r="B625" s="8"/>
      <c r="C625" s="7"/>
      <c r="D625" s="7"/>
      <c r="E625" s="7"/>
      <c r="F625" s="7"/>
      <c r="G625" s="7"/>
      <c r="H625" s="7"/>
      <c r="I625" s="7"/>
      <c r="J625" s="8"/>
      <c r="K625" s="8"/>
      <c r="L625" s="8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8" customHeight="1">
      <c r="A626" s="8"/>
      <c r="B626" s="8"/>
      <c r="C626" s="7"/>
      <c r="D626" s="7"/>
      <c r="E626" s="7"/>
      <c r="F626" s="7"/>
      <c r="G626" s="7"/>
      <c r="H626" s="7"/>
      <c r="I626" s="7"/>
      <c r="J626" s="8"/>
      <c r="K626" s="8"/>
      <c r="L626" s="8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8" customHeight="1">
      <c r="A627" s="8"/>
      <c r="B627" s="8"/>
      <c r="C627" s="7"/>
      <c r="D627" s="7"/>
      <c r="E627" s="7"/>
      <c r="F627" s="7"/>
      <c r="G627" s="7"/>
      <c r="H627" s="7"/>
      <c r="I627" s="7"/>
      <c r="J627" s="8"/>
      <c r="K627" s="8"/>
      <c r="L627" s="8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8" customHeight="1">
      <c r="A628" s="8"/>
      <c r="B628" s="8"/>
      <c r="C628" s="7"/>
      <c r="D628" s="7"/>
      <c r="E628" s="7"/>
      <c r="F628" s="7"/>
      <c r="G628" s="7"/>
      <c r="H628" s="7"/>
      <c r="I628" s="7"/>
      <c r="J628" s="8"/>
      <c r="K628" s="8"/>
      <c r="L628" s="8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8" customHeight="1">
      <c r="A629" s="8"/>
      <c r="B629" s="8"/>
      <c r="C629" s="7"/>
      <c r="D629" s="7"/>
      <c r="E629" s="7"/>
      <c r="F629" s="7"/>
      <c r="G629" s="7"/>
      <c r="H629" s="7"/>
      <c r="I629" s="7"/>
      <c r="J629" s="8"/>
      <c r="K629" s="8"/>
      <c r="L629" s="8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8" customHeight="1">
      <c r="A630" s="8"/>
      <c r="B630" s="8"/>
      <c r="C630" s="7"/>
      <c r="D630" s="7"/>
      <c r="E630" s="7"/>
      <c r="F630" s="7"/>
      <c r="G630" s="7"/>
      <c r="H630" s="7"/>
      <c r="I630" s="7"/>
      <c r="J630" s="8"/>
      <c r="K630" s="8"/>
      <c r="L630" s="8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8" customHeight="1">
      <c r="A631" s="8"/>
      <c r="B631" s="8"/>
      <c r="C631" s="7"/>
      <c r="D631" s="7"/>
      <c r="E631" s="7"/>
      <c r="F631" s="7"/>
      <c r="G631" s="7"/>
      <c r="H631" s="7"/>
      <c r="I631" s="7"/>
      <c r="J631" s="8"/>
      <c r="K631" s="8"/>
      <c r="L631" s="8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8" customHeight="1">
      <c r="A632" s="8"/>
      <c r="B632" s="8"/>
      <c r="C632" s="7"/>
      <c r="D632" s="7"/>
      <c r="E632" s="7"/>
      <c r="F632" s="7"/>
      <c r="G632" s="7"/>
      <c r="H632" s="7"/>
      <c r="I632" s="7"/>
      <c r="J632" s="8"/>
      <c r="K632" s="8"/>
      <c r="L632" s="8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8" customHeight="1">
      <c r="A633" s="8"/>
      <c r="B633" s="8"/>
      <c r="C633" s="7"/>
      <c r="D633" s="7"/>
      <c r="E633" s="7"/>
      <c r="F633" s="7"/>
      <c r="G633" s="7"/>
      <c r="H633" s="7"/>
      <c r="I633" s="7"/>
      <c r="J633" s="8"/>
      <c r="K633" s="8"/>
      <c r="L633" s="8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8" customHeight="1">
      <c r="A634" s="8"/>
      <c r="B634" s="8"/>
      <c r="C634" s="7"/>
      <c r="D634" s="7"/>
      <c r="E634" s="7"/>
      <c r="F634" s="7"/>
      <c r="G634" s="7"/>
      <c r="H634" s="7"/>
      <c r="I634" s="7"/>
      <c r="J634" s="8"/>
      <c r="K634" s="8"/>
      <c r="L634" s="8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8" customHeight="1">
      <c r="A635" s="8"/>
      <c r="B635" s="8"/>
      <c r="C635" s="7"/>
      <c r="D635" s="7"/>
      <c r="E635" s="7"/>
      <c r="F635" s="7"/>
      <c r="G635" s="7"/>
      <c r="H635" s="7"/>
      <c r="I635" s="7"/>
      <c r="J635" s="8"/>
      <c r="K635" s="8"/>
      <c r="L635" s="8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8" customHeight="1">
      <c r="A636" s="8"/>
      <c r="B636" s="8"/>
      <c r="C636" s="7"/>
      <c r="D636" s="7"/>
      <c r="E636" s="7"/>
      <c r="F636" s="7"/>
      <c r="G636" s="7"/>
      <c r="H636" s="7"/>
      <c r="I636" s="7"/>
      <c r="J636" s="8"/>
      <c r="K636" s="8"/>
      <c r="L636" s="8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8" customHeight="1">
      <c r="A637" s="8"/>
      <c r="B637" s="8"/>
      <c r="C637" s="7"/>
      <c r="D637" s="7"/>
      <c r="E637" s="7"/>
      <c r="F637" s="7"/>
      <c r="G637" s="7"/>
      <c r="H637" s="7"/>
      <c r="I637" s="7"/>
      <c r="J637" s="8"/>
      <c r="K637" s="8"/>
      <c r="L637" s="8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8" customHeight="1">
      <c r="A638" s="8"/>
      <c r="B638" s="8"/>
      <c r="C638" s="7"/>
      <c r="D638" s="7"/>
      <c r="E638" s="7"/>
      <c r="F638" s="7"/>
      <c r="G638" s="7"/>
      <c r="H638" s="7"/>
      <c r="I638" s="7"/>
      <c r="J638" s="8"/>
      <c r="K638" s="8"/>
      <c r="L638" s="8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8" customHeight="1">
      <c r="A639" s="8"/>
      <c r="B639" s="8"/>
      <c r="C639" s="7"/>
      <c r="D639" s="7"/>
      <c r="E639" s="7"/>
      <c r="F639" s="7"/>
      <c r="G639" s="7"/>
      <c r="H639" s="7"/>
      <c r="I639" s="7"/>
      <c r="J639" s="8"/>
      <c r="K639" s="8"/>
      <c r="L639" s="8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8" customHeight="1">
      <c r="A640" s="8"/>
      <c r="B640" s="8"/>
      <c r="C640" s="7"/>
      <c r="D640" s="7"/>
      <c r="E640" s="7"/>
      <c r="F640" s="7"/>
      <c r="G640" s="7"/>
      <c r="H640" s="7"/>
      <c r="I640" s="7"/>
      <c r="J640" s="8"/>
      <c r="K640" s="8"/>
      <c r="L640" s="8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8" customHeight="1">
      <c r="A641" s="8"/>
      <c r="B641" s="8"/>
      <c r="C641" s="7"/>
      <c r="D641" s="7"/>
      <c r="E641" s="7"/>
      <c r="F641" s="7"/>
      <c r="G641" s="7"/>
      <c r="H641" s="7"/>
      <c r="I641" s="7"/>
      <c r="J641" s="8"/>
      <c r="K641" s="8"/>
      <c r="L641" s="8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8" customHeight="1">
      <c r="A642" s="8"/>
      <c r="B642" s="8"/>
      <c r="C642" s="7"/>
      <c r="D642" s="7"/>
      <c r="E642" s="7"/>
      <c r="F642" s="7"/>
      <c r="G642" s="7"/>
      <c r="H642" s="7"/>
      <c r="I642" s="7"/>
      <c r="J642" s="8"/>
      <c r="K642" s="8"/>
      <c r="L642" s="8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8" customHeight="1">
      <c r="A643" s="8"/>
      <c r="B643" s="8"/>
      <c r="C643" s="7"/>
      <c r="D643" s="7"/>
      <c r="E643" s="7"/>
      <c r="F643" s="7"/>
      <c r="G643" s="7"/>
      <c r="H643" s="7"/>
      <c r="I643" s="7"/>
      <c r="J643" s="8"/>
      <c r="K643" s="8"/>
      <c r="L643" s="8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8" customHeight="1">
      <c r="A644" s="8"/>
      <c r="B644" s="8"/>
      <c r="C644" s="7"/>
      <c r="D644" s="7"/>
      <c r="E644" s="7"/>
      <c r="F644" s="7"/>
      <c r="G644" s="7"/>
      <c r="H644" s="7"/>
      <c r="I644" s="7"/>
      <c r="J644" s="8"/>
      <c r="K644" s="8"/>
      <c r="L644" s="8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8" customHeight="1">
      <c r="A645" s="8"/>
      <c r="B645" s="8"/>
      <c r="C645" s="7"/>
      <c r="D645" s="7"/>
      <c r="E645" s="7"/>
      <c r="F645" s="7"/>
      <c r="G645" s="7"/>
      <c r="H645" s="7"/>
      <c r="I645" s="7"/>
      <c r="J645" s="8"/>
      <c r="K645" s="8"/>
      <c r="L645" s="8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8" customHeight="1">
      <c r="A646" s="8"/>
      <c r="B646" s="8"/>
      <c r="C646" s="7"/>
      <c r="D646" s="7"/>
      <c r="E646" s="7"/>
      <c r="F646" s="7"/>
      <c r="G646" s="7"/>
      <c r="H646" s="7"/>
      <c r="I646" s="7"/>
      <c r="J646" s="8"/>
      <c r="K646" s="8"/>
      <c r="L646" s="8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8" customHeight="1">
      <c r="A647" s="8"/>
      <c r="B647" s="8"/>
      <c r="C647" s="7"/>
      <c r="D647" s="7"/>
      <c r="E647" s="7"/>
      <c r="F647" s="7"/>
      <c r="G647" s="7"/>
      <c r="H647" s="7"/>
      <c r="I647" s="7"/>
      <c r="J647" s="8"/>
      <c r="K647" s="8"/>
      <c r="L647" s="8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8" customHeight="1">
      <c r="A648" s="8"/>
      <c r="B648" s="8"/>
      <c r="C648" s="7"/>
      <c r="D648" s="7"/>
      <c r="E648" s="7"/>
      <c r="F648" s="7"/>
      <c r="G648" s="7"/>
      <c r="H648" s="7"/>
      <c r="I648" s="7"/>
      <c r="J648" s="8"/>
      <c r="K648" s="8"/>
      <c r="L648" s="8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8" customHeight="1">
      <c r="A649" s="8"/>
      <c r="B649" s="8"/>
      <c r="C649" s="7"/>
      <c r="D649" s="7"/>
      <c r="E649" s="7"/>
      <c r="F649" s="7"/>
      <c r="G649" s="7"/>
      <c r="H649" s="7"/>
      <c r="I649" s="7"/>
      <c r="J649" s="8"/>
      <c r="K649" s="8"/>
      <c r="L649" s="8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8" customHeight="1">
      <c r="A650" s="8"/>
      <c r="B650" s="8"/>
      <c r="C650" s="7"/>
      <c r="D650" s="7"/>
      <c r="E650" s="7"/>
      <c r="F650" s="7"/>
      <c r="G650" s="7"/>
      <c r="H650" s="7"/>
      <c r="I650" s="7"/>
      <c r="J650" s="8"/>
      <c r="K650" s="8"/>
      <c r="L650" s="8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8" customHeight="1">
      <c r="A651" s="8"/>
      <c r="B651" s="8"/>
      <c r="C651" s="7"/>
      <c r="D651" s="7"/>
      <c r="E651" s="7"/>
      <c r="F651" s="7"/>
      <c r="G651" s="7"/>
      <c r="H651" s="7"/>
      <c r="I651" s="7"/>
      <c r="J651" s="8"/>
      <c r="K651" s="8"/>
      <c r="L651" s="8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8" customHeight="1">
      <c r="A652" s="8"/>
      <c r="B652" s="8"/>
      <c r="C652" s="7"/>
      <c r="D652" s="7"/>
      <c r="E652" s="7"/>
      <c r="F652" s="7"/>
      <c r="G652" s="7"/>
      <c r="H652" s="7"/>
      <c r="I652" s="7"/>
      <c r="J652" s="8"/>
      <c r="K652" s="8"/>
      <c r="L652" s="8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8" customHeight="1">
      <c r="A653" s="8"/>
      <c r="B653" s="8"/>
      <c r="C653" s="7"/>
      <c r="D653" s="7"/>
      <c r="E653" s="7"/>
      <c r="F653" s="7"/>
      <c r="G653" s="7"/>
      <c r="H653" s="7"/>
      <c r="I653" s="7"/>
      <c r="J653" s="8"/>
      <c r="K653" s="8"/>
      <c r="L653" s="8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8" customHeight="1">
      <c r="A654" s="8"/>
      <c r="B654" s="8"/>
      <c r="C654" s="7"/>
      <c r="D654" s="7"/>
      <c r="E654" s="7"/>
      <c r="F654" s="7"/>
      <c r="G654" s="7"/>
      <c r="H654" s="7"/>
      <c r="I654" s="7"/>
      <c r="J654" s="8"/>
      <c r="K654" s="8"/>
      <c r="L654" s="8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8" customHeight="1">
      <c r="A655" s="8"/>
      <c r="B655" s="8"/>
      <c r="C655" s="7"/>
      <c r="D655" s="7"/>
      <c r="E655" s="7"/>
      <c r="F655" s="7"/>
      <c r="G655" s="7"/>
      <c r="H655" s="7"/>
      <c r="I655" s="7"/>
      <c r="J655" s="8"/>
      <c r="K655" s="8"/>
      <c r="L655" s="8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8" customHeight="1">
      <c r="A656" s="8"/>
      <c r="B656" s="8"/>
      <c r="C656" s="7"/>
      <c r="D656" s="7"/>
      <c r="E656" s="7"/>
      <c r="F656" s="7"/>
      <c r="G656" s="7"/>
      <c r="H656" s="7"/>
      <c r="I656" s="7"/>
      <c r="J656" s="8"/>
      <c r="K656" s="8"/>
      <c r="L656" s="8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8" customHeight="1">
      <c r="A657" s="8"/>
      <c r="B657" s="8"/>
      <c r="C657" s="7"/>
      <c r="D657" s="7"/>
      <c r="E657" s="7"/>
      <c r="F657" s="7"/>
      <c r="G657" s="7"/>
      <c r="H657" s="7"/>
      <c r="I657" s="7"/>
      <c r="J657" s="8"/>
      <c r="K657" s="8"/>
      <c r="L657" s="8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8" customHeight="1">
      <c r="A658" s="8"/>
      <c r="B658" s="8"/>
      <c r="C658" s="7"/>
      <c r="D658" s="7"/>
      <c r="E658" s="7"/>
      <c r="F658" s="7"/>
      <c r="G658" s="7"/>
      <c r="H658" s="7"/>
      <c r="I658" s="7"/>
      <c r="J658" s="8"/>
      <c r="K658" s="8"/>
      <c r="L658" s="8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8" customHeight="1">
      <c r="A659" s="8"/>
      <c r="B659" s="8"/>
      <c r="C659" s="7"/>
      <c r="D659" s="7"/>
      <c r="E659" s="7"/>
      <c r="F659" s="7"/>
      <c r="G659" s="7"/>
      <c r="H659" s="7"/>
      <c r="I659" s="7"/>
      <c r="J659" s="8"/>
      <c r="K659" s="8"/>
      <c r="L659" s="8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8" customHeight="1">
      <c r="A660" s="8"/>
      <c r="B660" s="8"/>
      <c r="C660" s="7"/>
      <c r="D660" s="7"/>
      <c r="E660" s="7"/>
      <c r="F660" s="7"/>
      <c r="G660" s="7"/>
      <c r="H660" s="7"/>
      <c r="I660" s="7"/>
      <c r="J660" s="8"/>
      <c r="K660" s="8"/>
      <c r="L660" s="8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8" customHeight="1">
      <c r="A661" s="8"/>
      <c r="B661" s="8"/>
      <c r="C661" s="7"/>
      <c r="D661" s="7"/>
      <c r="E661" s="7"/>
      <c r="F661" s="7"/>
      <c r="G661" s="7"/>
      <c r="H661" s="7"/>
      <c r="I661" s="7"/>
      <c r="J661" s="8"/>
      <c r="K661" s="8"/>
      <c r="L661" s="8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8" customHeight="1">
      <c r="A662" s="8"/>
      <c r="B662" s="8"/>
      <c r="C662" s="7"/>
      <c r="D662" s="7"/>
      <c r="E662" s="7"/>
      <c r="F662" s="7"/>
      <c r="G662" s="7"/>
      <c r="H662" s="7"/>
      <c r="I662" s="7"/>
      <c r="J662" s="8"/>
      <c r="K662" s="8"/>
      <c r="L662" s="8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8" customHeight="1">
      <c r="A663" s="8"/>
      <c r="B663" s="8"/>
      <c r="C663" s="7"/>
      <c r="D663" s="7"/>
      <c r="E663" s="7"/>
      <c r="F663" s="7"/>
      <c r="G663" s="7"/>
      <c r="H663" s="7"/>
      <c r="I663" s="7"/>
      <c r="J663" s="8"/>
      <c r="K663" s="8"/>
      <c r="L663" s="8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8" customHeight="1">
      <c r="A664" s="8"/>
      <c r="B664" s="8"/>
      <c r="C664" s="7"/>
      <c r="D664" s="7"/>
      <c r="E664" s="7"/>
      <c r="F664" s="7"/>
      <c r="G664" s="7"/>
      <c r="H664" s="7"/>
      <c r="I664" s="7"/>
      <c r="J664" s="8"/>
      <c r="K664" s="8"/>
      <c r="L664" s="8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8" customHeight="1">
      <c r="A665" s="8"/>
      <c r="B665" s="8"/>
      <c r="C665" s="7"/>
      <c r="D665" s="7"/>
      <c r="E665" s="7"/>
      <c r="F665" s="7"/>
      <c r="G665" s="7"/>
      <c r="H665" s="7"/>
      <c r="I665" s="7"/>
      <c r="J665" s="8"/>
      <c r="K665" s="8"/>
      <c r="L665" s="8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8" customHeight="1">
      <c r="A666" s="8"/>
      <c r="B666" s="8"/>
      <c r="C666" s="7"/>
      <c r="D666" s="7"/>
      <c r="E666" s="7"/>
      <c r="F666" s="7"/>
      <c r="G666" s="7"/>
      <c r="H666" s="7"/>
      <c r="I666" s="7"/>
      <c r="J666" s="8"/>
      <c r="K666" s="8"/>
      <c r="L666" s="8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8" customHeight="1">
      <c r="A667" s="8"/>
      <c r="B667" s="8"/>
      <c r="C667" s="7"/>
      <c r="D667" s="7"/>
      <c r="E667" s="7"/>
      <c r="F667" s="7"/>
      <c r="G667" s="7"/>
      <c r="H667" s="7"/>
      <c r="I667" s="7"/>
      <c r="J667" s="8"/>
      <c r="K667" s="8"/>
      <c r="L667" s="8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8" customHeight="1">
      <c r="A668" s="8"/>
      <c r="B668" s="8"/>
      <c r="C668" s="7"/>
      <c r="D668" s="7"/>
      <c r="E668" s="7"/>
      <c r="F668" s="7"/>
      <c r="G668" s="7"/>
      <c r="H668" s="7"/>
      <c r="I668" s="7"/>
      <c r="J668" s="8"/>
      <c r="K668" s="8"/>
      <c r="L668" s="8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8" customHeight="1">
      <c r="A669" s="8"/>
      <c r="B669" s="8"/>
      <c r="C669" s="7"/>
      <c r="D669" s="7"/>
      <c r="E669" s="7"/>
      <c r="F669" s="7"/>
      <c r="G669" s="7"/>
      <c r="H669" s="7"/>
      <c r="I669" s="7"/>
      <c r="J669" s="8"/>
      <c r="K669" s="8"/>
      <c r="L669" s="8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8" customHeight="1">
      <c r="A670" s="8"/>
      <c r="B670" s="8"/>
      <c r="C670" s="7"/>
      <c r="D670" s="7"/>
      <c r="E670" s="7"/>
      <c r="F670" s="7"/>
      <c r="G670" s="7"/>
      <c r="H670" s="7"/>
      <c r="I670" s="7"/>
      <c r="J670" s="8"/>
      <c r="K670" s="8"/>
      <c r="L670" s="8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8" customHeight="1">
      <c r="A671" s="8"/>
      <c r="B671" s="8"/>
      <c r="C671" s="7"/>
      <c r="D671" s="7"/>
      <c r="E671" s="7"/>
      <c r="F671" s="7"/>
      <c r="G671" s="7"/>
      <c r="H671" s="7"/>
      <c r="I671" s="7"/>
      <c r="J671" s="8"/>
      <c r="K671" s="8"/>
      <c r="L671" s="8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8" customHeight="1">
      <c r="A672" s="8"/>
      <c r="B672" s="8"/>
      <c r="C672" s="7"/>
      <c r="D672" s="7"/>
      <c r="E672" s="7"/>
      <c r="F672" s="7"/>
      <c r="G672" s="7"/>
      <c r="H672" s="7"/>
      <c r="I672" s="7"/>
      <c r="J672" s="8"/>
      <c r="K672" s="8"/>
      <c r="L672" s="8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8" customHeight="1">
      <c r="A673" s="8"/>
      <c r="B673" s="8"/>
      <c r="C673" s="7"/>
      <c r="D673" s="7"/>
      <c r="E673" s="7"/>
      <c r="F673" s="7"/>
      <c r="G673" s="7"/>
      <c r="H673" s="7"/>
      <c r="I673" s="7"/>
      <c r="J673" s="8"/>
      <c r="K673" s="8"/>
      <c r="L673" s="8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8" customHeight="1">
      <c r="A674" s="8"/>
      <c r="B674" s="8"/>
      <c r="C674" s="7"/>
      <c r="D674" s="7"/>
      <c r="E674" s="7"/>
      <c r="F674" s="7"/>
      <c r="G674" s="7"/>
      <c r="H674" s="7"/>
      <c r="I674" s="7"/>
      <c r="J674" s="8"/>
      <c r="K674" s="8"/>
      <c r="L674" s="8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8" customHeight="1">
      <c r="A675" s="8"/>
      <c r="B675" s="8"/>
      <c r="C675" s="7"/>
      <c r="D675" s="7"/>
      <c r="E675" s="7"/>
      <c r="F675" s="7"/>
      <c r="G675" s="7"/>
      <c r="H675" s="7"/>
      <c r="I675" s="7"/>
      <c r="J675" s="8"/>
      <c r="K675" s="8"/>
      <c r="L675" s="8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8" customHeight="1">
      <c r="A676" s="8"/>
      <c r="B676" s="8"/>
      <c r="C676" s="7"/>
      <c r="D676" s="7"/>
      <c r="E676" s="7"/>
      <c r="F676" s="7"/>
      <c r="G676" s="7"/>
      <c r="H676" s="7"/>
      <c r="I676" s="7"/>
      <c r="J676" s="8"/>
      <c r="K676" s="8"/>
      <c r="L676" s="8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8" customHeight="1">
      <c r="A677" s="8"/>
      <c r="B677" s="8"/>
      <c r="C677" s="7"/>
      <c r="D677" s="7"/>
      <c r="E677" s="7"/>
      <c r="F677" s="7"/>
      <c r="G677" s="7"/>
      <c r="H677" s="7"/>
      <c r="I677" s="7"/>
      <c r="J677" s="8"/>
      <c r="K677" s="8"/>
      <c r="L677" s="8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8" customHeight="1">
      <c r="A678" s="8"/>
      <c r="B678" s="8"/>
      <c r="C678" s="7"/>
      <c r="D678" s="7"/>
      <c r="E678" s="7"/>
      <c r="F678" s="7"/>
      <c r="G678" s="7"/>
      <c r="H678" s="7"/>
      <c r="I678" s="7"/>
      <c r="J678" s="8"/>
      <c r="K678" s="8"/>
      <c r="L678" s="8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8" customHeight="1">
      <c r="A679" s="8"/>
      <c r="B679" s="8"/>
      <c r="C679" s="7"/>
      <c r="D679" s="7"/>
      <c r="E679" s="7"/>
      <c r="F679" s="7"/>
      <c r="G679" s="7"/>
      <c r="H679" s="7"/>
      <c r="I679" s="7"/>
      <c r="J679" s="8"/>
      <c r="K679" s="8"/>
      <c r="L679" s="8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8" customHeight="1">
      <c r="A680" s="8"/>
      <c r="B680" s="8"/>
      <c r="C680" s="7"/>
      <c r="D680" s="7"/>
      <c r="E680" s="7"/>
      <c r="F680" s="7"/>
      <c r="G680" s="7"/>
      <c r="H680" s="7"/>
      <c r="I680" s="7"/>
      <c r="J680" s="8"/>
      <c r="K680" s="8"/>
      <c r="L680" s="8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8" customHeight="1">
      <c r="A681" s="8"/>
      <c r="B681" s="8"/>
      <c r="C681" s="7"/>
      <c r="D681" s="7"/>
      <c r="E681" s="7"/>
      <c r="F681" s="7"/>
      <c r="G681" s="7"/>
      <c r="H681" s="7"/>
      <c r="I681" s="7"/>
      <c r="J681" s="8"/>
      <c r="K681" s="8"/>
      <c r="L681" s="8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8" customHeight="1">
      <c r="A682" s="8"/>
      <c r="B682" s="8"/>
      <c r="C682" s="7"/>
      <c r="D682" s="7"/>
      <c r="E682" s="7"/>
      <c r="F682" s="7"/>
      <c r="G682" s="7"/>
      <c r="H682" s="7"/>
      <c r="I682" s="7"/>
      <c r="J682" s="8"/>
      <c r="K682" s="8"/>
      <c r="L682" s="8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8" customHeight="1">
      <c r="A683" s="8"/>
      <c r="B683" s="8"/>
      <c r="C683" s="7"/>
      <c r="D683" s="7"/>
      <c r="E683" s="7"/>
      <c r="F683" s="7"/>
      <c r="G683" s="7"/>
      <c r="H683" s="7"/>
      <c r="I683" s="7"/>
      <c r="J683" s="8"/>
      <c r="K683" s="8"/>
      <c r="L683" s="8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8" customHeight="1">
      <c r="A684" s="8"/>
      <c r="B684" s="8"/>
      <c r="C684" s="7"/>
      <c r="D684" s="7"/>
      <c r="E684" s="7"/>
      <c r="F684" s="7"/>
      <c r="G684" s="7"/>
      <c r="H684" s="7"/>
      <c r="I684" s="7"/>
      <c r="J684" s="8"/>
      <c r="K684" s="8"/>
      <c r="L684" s="8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8" customHeight="1">
      <c r="A685" s="8"/>
      <c r="B685" s="8"/>
      <c r="C685" s="7"/>
      <c r="D685" s="7"/>
      <c r="E685" s="7"/>
      <c r="F685" s="7"/>
      <c r="G685" s="7"/>
      <c r="H685" s="7"/>
      <c r="I685" s="7"/>
      <c r="J685" s="8"/>
      <c r="K685" s="8"/>
      <c r="L685" s="8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8" customHeight="1">
      <c r="A686" s="8"/>
      <c r="B686" s="8"/>
      <c r="C686" s="7"/>
      <c r="D686" s="7"/>
      <c r="E686" s="7"/>
      <c r="F686" s="7"/>
      <c r="G686" s="7"/>
      <c r="H686" s="7"/>
      <c r="I686" s="7"/>
      <c r="J686" s="8"/>
      <c r="K686" s="8"/>
      <c r="L686" s="8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8" customHeight="1">
      <c r="A687" s="8"/>
      <c r="B687" s="8"/>
      <c r="C687" s="7"/>
      <c r="D687" s="7"/>
      <c r="E687" s="7"/>
      <c r="F687" s="7"/>
      <c r="G687" s="7"/>
      <c r="H687" s="7"/>
      <c r="I687" s="7"/>
      <c r="J687" s="8"/>
      <c r="K687" s="8"/>
      <c r="L687" s="8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8" customHeight="1">
      <c r="A688" s="8"/>
      <c r="B688" s="8"/>
      <c r="C688" s="7"/>
      <c r="D688" s="7"/>
      <c r="E688" s="7"/>
      <c r="F688" s="7"/>
      <c r="G688" s="7"/>
      <c r="H688" s="7"/>
      <c r="I688" s="7"/>
      <c r="J688" s="8"/>
      <c r="K688" s="8"/>
      <c r="L688" s="8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8" customHeight="1">
      <c r="A689" s="8"/>
      <c r="B689" s="8"/>
      <c r="C689" s="7"/>
      <c r="D689" s="7"/>
      <c r="E689" s="7"/>
      <c r="F689" s="7"/>
      <c r="G689" s="7"/>
      <c r="H689" s="7"/>
      <c r="I689" s="7"/>
      <c r="J689" s="8"/>
      <c r="K689" s="8"/>
      <c r="L689" s="8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8" customHeight="1">
      <c r="A690" s="8"/>
      <c r="B690" s="8"/>
      <c r="C690" s="7"/>
      <c r="D690" s="7"/>
      <c r="E690" s="7"/>
      <c r="F690" s="7"/>
      <c r="G690" s="7"/>
      <c r="H690" s="7"/>
      <c r="I690" s="7"/>
      <c r="J690" s="8"/>
      <c r="K690" s="8"/>
      <c r="L690" s="8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8" customHeight="1">
      <c r="A691" s="8"/>
      <c r="B691" s="8"/>
      <c r="C691" s="7"/>
      <c r="D691" s="7"/>
      <c r="E691" s="7"/>
      <c r="F691" s="7"/>
      <c r="G691" s="7"/>
      <c r="H691" s="7"/>
      <c r="I691" s="7"/>
      <c r="J691" s="8"/>
      <c r="K691" s="8"/>
      <c r="L691" s="8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8" customHeight="1">
      <c r="A692" s="8"/>
      <c r="B692" s="8"/>
      <c r="C692" s="7"/>
      <c r="D692" s="7"/>
      <c r="E692" s="7"/>
      <c r="F692" s="7"/>
      <c r="G692" s="7"/>
      <c r="H692" s="7"/>
      <c r="I692" s="7"/>
      <c r="J692" s="8"/>
      <c r="K692" s="8"/>
      <c r="L692" s="8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8" customHeight="1">
      <c r="A693" s="8"/>
      <c r="B693" s="8"/>
      <c r="C693" s="7"/>
      <c r="D693" s="7"/>
      <c r="E693" s="7"/>
      <c r="F693" s="7"/>
      <c r="G693" s="7"/>
      <c r="H693" s="7"/>
      <c r="I693" s="7"/>
      <c r="J693" s="8"/>
      <c r="K693" s="8"/>
      <c r="L693" s="8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8" customHeight="1">
      <c r="A694" s="8"/>
      <c r="B694" s="8"/>
      <c r="C694" s="7"/>
      <c r="D694" s="7"/>
      <c r="E694" s="7"/>
      <c r="F694" s="7"/>
      <c r="G694" s="7"/>
      <c r="H694" s="7"/>
      <c r="I694" s="7"/>
      <c r="J694" s="8"/>
      <c r="K694" s="8"/>
      <c r="L694" s="8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8" customHeight="1">
      <c r="A695" s="8"/>
      <c r="B695" s="8"/>
      <c r="C695" s="7"/>
      <c r="D695" s="7"/>
      <c r="E695" s="7"/>
      <c r="F695" s="7"/>
      <c r="G695" s="7"/>
      <c r="H695" s="7"/>
      <c r="I695" s="7"/>
      <c r="J695" s="8"/>
      <c r="K695" s="8"/>
      <c r="L695" s="8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8" customHeight="1">
      <c r="A696" s="8"/>
      <c r="B696" s="8"/>
      <c r="C696" s="7"/>
      <c r="D696" s="7"/>
      <c r="E696" s="7"/>
      <c r="F696" s="7"/>
      <c r="G696" s="7"/>
      <c r="H696" s="7"/>
      <c r="I696" s="7"/>
      <c r="J696" s="8"/>
      <c r="K696" s="8"/>
      <c r="L696" s="8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8" customHeight="1">
      <c r="A697" s="8"/>
      <c r="B697" s="8"/>
      <c r="C697" s="7"/>
      <c r="D697" s="7"/>
      <c r="E697" s="7"/>
      <c r="F697" s="7"/>
      <c r="G697" s="7"/>
      <c r="H697" s="7"/>
      <c r="I697" s="7"/>
      <c r="J697" s="8"/>
      <c r="K697" s="8"/>
      <c r="L697" s="8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8" customHeight="1">
      <c r="A698" s="8"/>
      <c r="B698" s="8"/>
      <c r="C698" s="7"/>
      <c r="D698" s="7"/>
      <c r="E698" s="7"/>
      <c r="F698" s="7"/>
      <c r="G698" s="7"/>
      <c r="H698" s="7"/>
      <c r="I698" s="7"/>
      <c r="J698" s="8"/>
      <c r="K698" s="8"/>
      <c r="L698" s="8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8" customHeight="1">
      <c r="A699" s="8"/>
      <c r="B699" s="8"/>
      <c r="C699" s="7"/>
      <c r="D699" s="7"/>
      <c r="E699" s="7"/>
      <c r="F699" s="7"/>
      <c r="G699" s="7"/>
      <c r="H699" s="7"/>
      <c r="I699" s="7"/>
      <c r="J699" s="8"/>
      <c r="K699" s="8"/>
      <c r="L699" s="8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8" customHeight="1">
      <c r="A700" s="8"/>
      <c r="B700" s="8"/>
      <c r="C700" s="7"/>
      <c r="D700" s="7"/>
      <c r="E700" s="7"/>
      <c r="F700" s="7"/>
      <c r="G700" s="7"/>
      <c r="H700" s="7"/>
      <c r="I700" s="7"/>
      <c r="J700" s="8"/>
      <c r="K700" s="8"/>
      <c r="L700" s="8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8" customHeight="1">
      <c r="A701" s="8"/>
      <c r="B701" s="8"/>
      <c r="C701" s="7"/>
      <c r="D701" s="7"/>
      <c r="E701" s="7"/>
      <c r="F701" s="7"/>
      <c r="G701" s="7"/>
      <c r="H701" s="7"/>
      <c r="I701" s="7"/>
      <c r="J701" s="8"/>
      <c r="K701" s="8"/>
      <c r="L701" s="8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8" customHeight="1">
      <c r="A702" s="8"/>
      <c r="B702" s="8"/>
      <c r="C702" s="7"/>
      <c r="D702" s="7"/>
      <c r="E702" s="7"/>
      <c r="F702" s="7"/>
      <c r="G702" s="7"/>
      <c r="H702" s="7"/>
      <c r="I702" s="7"/>
      <c r="J702" s="8"/>
      <c r="K702" s="8"/>
      <c r="L702" s="8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8" customHeight="1">
      <c r="A703" s="8"/>
      <c r="B703" s="8"/>
      <c r="C703" s="7"/>
      <c r="D703" s="7"/>
      <c r="E703" s="7"/>
      <c r="F703" s="7"/>
      <c r="G703" s="7"/>
      <c r="H703" s="7"/>
      <c r="I703" s="7"/>
      <c r="J703" s="8"/>
      <c r="K703" s="8"/>
      <c r="L703" s="8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8" customHeight="1">
      <c r="A704" s="8"/>
      <c r="B704" s="8"/>
      <c r="C704" s="7"/>
      <c r="D704" s="7"/>
      <c r="E704" s="7"/>
      <c r="F704" s="7"/>
      <c r="G704" s="7"/>
      <c r="H704" s="7"/>
      <c r="I704" s="7"/>
      <c r="J704" s="8"/>
      <c r="K704" s="8"/>
      <c r="L704" s="8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8" customHeight="1">
      <c r="A705" s="8"/>
      <c r="B705" s="8"/>
      <c r="C705" s="7"/>
      <c r="D705" s="7"/>
      <c r="E705" s="7"/>
      <c r="F705" s="7"/>
      <c r="G705" s="7"/>
      <c r="H705" s="7"/>
      <c r="I705" s="7"/>
      <c r="J705" s="8"/>
      <c r="K705" s="8"/>
      <c r="L705" s="8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8" customHeight="1">
      <c r="A706" s="8"/>
      <c r="B706" s="8"/>
      <c r="C706" s="7"/>
      <c r="D706" s="7"/>
      <c r="E706" s="7"/>
      <c r="F706" s="7"/>
      <c r="G706" s="7"/>
      <c r="H706" s="7"/>
      <c r="I706" s="7"/>
      <c r="J706" s="8"/>
      <c r="K706" s="8"/>
      <c r="L706" s="8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8" customHeight="1">
      <c r="A707" s="8"/>
      <c r="B707" s="8"/>
      <c r="C707" s="7"/>
      <c r="D707" s="7"/>
      <c r="E707" s="7"/>
      <c r="F707" s="7"/>
      <c r="G707" s="7"/>
      <c r="H707" s="7"/>
      <c r="I707" s="7"/>
      <c r="J707" s="8"/>
      <c r="K707" s="8"/>
      <c r="L707" s="8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8" customHeight="1">
      <c r="A708" s="8"/>
      <c r="B708" s="8"/>
      <c r="C708" s="7"/>
      <c r="D708" s="7"/>
      <c r="E708" s="7"/>
      <c r="F708" s="7"/>
      <c r="G708" s="7"/>
      <c r="H708" s="7"/>
      <c r="I708" s="7"/>
      <c r="J708" s="8"/>
      <c r="K708" s="8"/>
      <c r="L708" s="8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8" customHeight="1">
      <c r="A709" s="8"/>
      <c r="B709" s="8"/>
      <c r="C709" s="7"/>
      <c r="D709" s="7"/>
      <c r="E709" s="7"/>
      <c r="F709" s="7"/>
      <c r="G709" s="7"/>
      <c r="H709" s="7"/>
      <c r="I709" s="7"/>
      <c r="J709" s="8"/>
      <c r="K709" s="8"/>
      <c r="L709" s="8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8" customHeight="1">
      <c r="A710" s="8"/>
      <c r="B710" s="8"/>
      <c r="C710" s="7"/>
      <c r="D710" s="7"/>
      <c r="E710" s="7"/>
      <c r="F710" s="7"/>
      <c r="G710" s="7"/>
      <c r="H710" s="7"/>
      <c r="I710" s="7"/>
      <c r="J710" s="8"/>
      <c r="K710" s="8"/>
      <c r="L710" s="8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8" customHeight="1">
      <c r="A711" s="8"/>
      <c r="B711" s="8"/>
      <c r="C711" s="7"/>
      <c r="D711" s="7"/>
      <c r="E711" s="7"/>
      <c r="F711" s="7"/>
      <c r="G711" s="7"/>
      <c r="H711" s="7"/>
      <c r="I711" s="7"/>
      <c r="J711" s="8"/>
      <c r="K711" s="8"/>
      <c r="L711" s="8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8" customHeight="1">
      <c r="A712" s="8"/>
      <c r="B712" s="8"/>
      <c r="C712" s="7"/>
      <c r="D712" s="7"/>
      <c r="E712" s="7"/>
      <c r="F712" s="7"/>
      <c r="G712" s="7"/>
      <c r="H712" s="7"/>
      <c r="I712" s="7"/>
      <c r="J712" s="8"/>
      <c r="K712" s="8"/>
      <c r="L712" s="8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8" customHeight="1">
      <c r="A713" s="8"/>
      <c r="B713" s="8"/>
      <c r="C713" s="7"/>
      <c r="D713" s="7"/>
      <c r="E713" s="7"/>
      <c r="F713" s="7"/>
      <c r="G713" s="7"/>
      <c r="H713" s="7"/>
      <c r="I713" s="7"/>
      <c r="J713" s="8"/>
      <c r="K713" s="8"/>
      <c r="L713" s="8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8" customHeight="1">
      <c r="A714" s="8"/>
      <c r="B714" s="8"/>
      <c r="C714" s="7"/>
      <c r="D714" s="7"/>
      <c r="E714" s="7"/>
      <c r="F714" s="7"/>
      <c r="G714" s="7"/>
      <c r="H714" s="7"/>
      <c r="I714" s="7"/>
      <c r="J714" s="8"/>
      <c r="K714" s="8"/>
      <c r="L714" s="8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8" customHeight="1">
      <c r="A715" s="8"/>
      <c r="B715" s="8"/>
      <c r="C715" s="7"/>
      <c r="D715" s="7"/>
      <c r="E715" s="7"/>
      <c r="F715" s="7"/>
      <c r="G715" s="7"/>
      <c r="H715" s="7"/>
      <c r="I715" s="7"/>
      <c r="J715" s="8"/>
      <c r="K715" s="8"/>
      <c r="L715" s="8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8" customHeight="1">
      <c r="A716" s="8"/>
      <c r="B716" s="8"/>
      <c r="C716" s="7"/>
      <c r="D716" s="7"/>
      <c r="E716" s="7"/>
      <c r="F716" s="7"/>
      <c r="G716" s="7"/>
      <c r="H716" s="7"/>
      <c r="I716" s="7"/>
      <c r="J716" s="8"/>
      <c r="K716" s="8"/>
      <c r="L716" s="8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8" customHeight="1">
      <c r="A717" s="8"/>
      <c r="B717" s="8"/>
      <c r="C717" s="7"/>
      <c r="D717" s="7"/>
      <c r="E717" s="7"/>
      <c r="F717" s="7"/>
      <c r="G717" s="7"/>
      <c r="H717" s="7"/>
      <c r="I717" s="7"/>
      <c r="J717" s="8"/>
      <c r="K717" s="8"/>
      <c r="L717" s="8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8" customHeight="1">
      <c r="A718" s="8"/>
      <c r="B718" s="8"/>
      <c r="C718" s="7"/>
      <c r="D718" s="7"/>
      <c r="E718" s="7"/>
      <c r="F718" s="7"/>
      <c r="G718" s="7"/>
      <c r="H718" s="7"/>
      <c r="I718" s="7"/>
      <c r="J718" s="8"/>
      <c r="K718" s="8"/>
      <c r="L718" s="8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8" customHeight="1">
      <c r="A719" s="8"/>
      <c r="B719" s="8"/>
      <c r="C719" s="7"/>
      <c r="D719" s="7"/>
      <c r="E719" s="7"/>
      <c r="F719" s="7"/>
      <c r="G719" s="7"/>
      <c r="H719" s="7"/>
      <c r="I719" s="7"/>
      <c r="J719" s="8"/>
      <c r="K719" s="8"/>
      <c r="L719" s="8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8" customHeight="1">
      <c r="A720" s="8"/>
      <c r="B720" s="8"/>
      <c r="C720" s="7"/>
      <c r="D720" s="7"/>
      <c r="E720" s="7"/>
      <c r="F720" s="7"/>
      <c r="G720" s="7"/>
      <c r="H720" s="7"/>
      <c r="I720" s="7"/>
      <c r="J720" s="8"/>
      <c r="K720" s="8"/>
      <c r="L720" s="8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8" customHeight="1">
      <c r="A721" s="8"/>
      <c r="B721" s="8"/>
      <c r="C721" s="7"/>
      <c r="D721" s="7"/>
      <c r="E721" s="7"/>
      <c r="F721" s="7"/>
      <c r="G721" s="7"/>
      <c r="H721" s="7"/>
      <c r="I721" s="7"/>
      <c r="J721" s="8"/>
      <c r="K721" s="8"/>
      <c r="L721" s="8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8" customHeight="1">
      <c r="A722" s="8"/>
      <c r="B722" s="8"/>
      <c r="C722" s="7"/>
      <c r="D722" s="7"/>
      <c r="E722" s="7"/>
      <c r="F722" s="7"/>
      <c r="G722" s="7"/>
      <c r="H722" s="7"/>
      <c r="I722" s="7"/>
      <c r="J722" s="8"/>
      <c r="K722" s="8"/>
      <c r="L722" s="8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8" customHeight="1">
      <c r="A723" s="8"/>
      <c r="B723" s="8"/>
      <c r="C723" s="7"/>
      <c r="D723" s="7"/>
      <c r="E723" s="7"/>
      <c r="F723" s="7"/>
      <c r="G723" s="7"/>
      <c r="H723" s="7"/>
      <c r="I723" s="7"/>
      <c r="J723" s="8"/>
      <c r="K723" s="8"/>
      <c r="L723" s="8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8" customHeight="1">
      <c r="A724" s="8"/>
      <c r="B724" s="8"/>
      <c r="C724" s="7"/>
      <c r="D724" s="7"/>
      <c r="E724" s="7"/>
      <c r="F724" s="7"/>
      <c r="G724" s="7"/>
      <c r="H724" s="7"/>
      <c r="I724" s="7"/>
      <c r="J724" s="8"/>
      <c r="K724" s="8"/>
      <c r="L724" s="8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8" customHeight="1">
      <c r="A725" s="8"/>
      <c r="B725" s="8"/>
      <c r="C725" s="7"/>
      <c r="D725" s="7"/>
      <c r="E725" s="7"/>
      <c r="F725" s="7"/>
      <c r="G725" s="7"/>
      <c r="H725" s="7"/>
      <c r="I725" s="7"/>
      <c r="J725" s="8"/>
      <c r="K725" s="8"/>
      <c r="L725" s="8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8" customHeight="1">
      <c r="A726" s="8"/>
      <c r="B726" s="8"/>
      <c r="C726" s="7"/>
      <c r="D726" s="7"/>
      <c r="E726" s="7"/>
      <c r="F726" s="7"/>
      <c r="G726" s="7"/>
      <c r="H726" s="7"/>
      <c r="I726" s="7"/>
      <c r="J726" s="8"/>
      <c r="K726" s="8"/>
      <c r="L726" s="8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8" customHeight="1">
      <c r="A727" s="8"/>
      <c r="B727" s="8"/>
      <c r="C727" s="7"/>
      <c r="D727" s="7"/>
      <c r="E727" s="7"/>
      <c r="F727" s="7"/>
      <c r="G727" s="7"/>
      <c r="H727" s="7"/>
      <c r="I727" s="7"/>
      <c r="J727" s="8"/>
      <c r="K727" s="8"/>
      <c r="L727" s="8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8" customHeight="1">
      <c r="A728" s="8"/>
      <c r="B728" s="8"/>
      <c r="C728" s="7"/>
      <c r="D728" s="7"/>
      <c r="E728" s="7"/>
      <c r="F728" s="7"/>
      <c r="G728" s="7"/>
      <c r="H728" s="7"/>
      <c r="I728" s="7"/>
      <c r="J728" s="8"/>
      <c r="K728" s="8"/>
      <c r="L728" s="8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8" customHeight="1">
      <c r="A729" s="8"/>
      <c r="B729" s="8"/>
      <c r="C729" s="7"/>
      <c r="D729" s="7"/>
      <c r="E729" s="7"/>
      <c r="F729" s="7"/>
      <c r="G729" s="7"/>
      <c r="H729" s="7"/>
      <c r="I729" s="7"/>
      <c r="J729" s="8"/>
      <c r="K729" s="8"/>
      <c r="L729" s="8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8" customHeight="1">
      <c r="A730" s="8"/>
      <c r="B730" s="8"/>
      <c r="C730" s="7"/>
      <c r="D730" s="7"/>
      <c r="E730" s="7"/>
      <c r="F730" s="7"/>
      <c r="G730" s="7"/>
      <c r="H730" s="7"/>
      <c r="I730" s="7"/>
      <c r="J730" s="8"/>
      <c r="K730" s="8"/>
      <c r="L730" s="8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8" customHeight="1">
      <c r="A731" s="8"/>
      <c r="B731" s="8"/>
      <c r="C731" s="7"/>
      <c r="D731" s="7"/>
      <c r="E731" s="7"/>
      <c r="F731" s="7"/>
      <c r="G731" s="7"/>
      <c r="H731" s="7"/>
      <c r="I731" s="7"/>
      <c r="J731" s="8"/>
      <c r="K731" s="8"/>
      <c r="L731" s="8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8" customHeight="1">
      <c r="A732" s="8"/>
      <c r="B732" s="8"/>
      <c r="C732" s="7"/>
      <c r="D732" s="7"/>
      <c r="E732" s="7"/>
      <c r="F732" s="7"/>
      <c r="G732" s="7"/>
      <c r="H732" s="7"/>
      <c r="I732" s="7"/>
      <c r="J732" s="8"/>
      <c r="K732" s="8"/>
      <c r="L732" s="8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8" customHeight="1">
      <c r="A733" s="8"/>
      <c r="B733" s="8"/>
      <c r="C733" s="7"/>
      <c r="D733" s="7"/>
      <c r="E733" s="7"/>
      <c r="F733" s="7"/>
      <c r="G733" s="7"/>
      <c r="H733" s="7"/>
      <c r="I733" s="7"/>
      <c r="J733" s="8"/>
      <c r="K733" s="8"/>
      <c r="L733" s="8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8" customHeight="1">
      <c r="A734" s="8"/>
      <c r="B734" s="8"/>
      <c r="C734" s="7"/>
      <c r="D734" s="7"/>
      <c r="E734" s="7"/>
      <c r="F734" s="7"/>
      <c r="G734" s="7"/>
      <c r="H734" s="7"/>
      <c r="I734" s="7"/>
      <c r="J734" s="8"/>
      <c r="K734" s="8"/>
      <c r="L734" s="8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8" customHeight="1">
      <c r="A735" s="8"/>
      <c r="B735" s="8"/>
      <c r="C735" s="7"/>
      <c r="D735" s="7"/>
      <c r="E735" s="7"/>
      <c r="F735" s="7"/>
      <c r="G735" s="7"/>
      <c r="H735" s="7"/>
      <c r="I735" s="7"/>
      <c r="J735" s="8"/>
      <c r="K735" s="8"/>
      <c r="L735" s="8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8" customHeight="1">
      <c r="A736" s="8"/>
      <c r="B736" s="8"/>
      <c r="C736" s="7"/>
      <c r="D736" s="7"/>
      <c r="E736" s="7"/>
      <c r="F736" s="7"/>
      <c r="G736" s="7"/>
      <c r="H736" s="7"/>
      <c r="I736" s="7"/>
      <c r="J736" s="8"/>
      <c r="K736" s="8"/>
      <c r="L736" s="8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8" customHeight="1">
      <c r="A737" s="8"/>
      <c r="B737" s="8"/>
      <c r="C737" s="7"/>
      <c r="D737" s="7"/>
      <c r="E737" s="7"/>
      <c r="F737" s="7"/>
      <c r="G737" s="7"/>
      <c r="H737" s="7"/>
      <c r="I737" s="7"/>
      <c r="J737" s="8"/>
      <c r="K737" s="8"/>
      <c r="L737" s="8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8" customHeight="1">
      <c r="A738" s="8"/>
      <c r="B738" s="8"/>
      <c r="C738" s="7"/>
      <c r="D738" s="7"/>
      <c r="E738" s="7"/>
      <c r="F738" s="7"/>
      <c r="G738" s="7"/>
      <c r="H738" s="7"/>
      <c r="I738" s="7"/>
      <c r="J738" s="8"/>
      <c r="K738" s="8"/>
      <c r="L738" s="8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8" customHeight="1">
      <c r="A739" s="8"/>
      <c r="B739" s="8"/>
      <c r="C739" s="7"/>
      <c r="D739" s="7"/>
      <c r="E739" s="7"/>
      <c r="F739" s="7"/>
      <c r="G739" s="7"/>
      <c r="H739" s="7"/>
      <c r="I739" s="7"/>
      <c r="J739" s="8"/>
      <c r="K739" s="8"/>
      <c r="L739" s="8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8" customHeight="1">
      <c r="A740" s="8"/>
      <c r="B740" s="8"/>
      <c r="C740" s="7"/>
      <c r="D740" s="7"/>
      <c r="E740" s="7"/>
      <c r="F740" s="7"/>
      <c r="G740" s="7"/>
      <c r="H740" s="7"/>
      <c r="I740" s="7"/>
      <c r="J740" s="8"/>
      <c r="K740" s="8"/>
      <c r="L740" s="8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8" customHeight="1">
      <c r="A741" s="8"/>
      <c r="B741" s="8"/>
      <c r="C741" s="7"/>
      <c r="D741" s="7"/>
      <c r="E741" s="7"/>
      <c r="F741" s="7"/>
      <c r="G741" s="7"/>
      <c r="H741" s="7"/>
      <c r="I741" s="7"/>
      <c r="J741" s="8"/>
      <c r="K741" s="8"/>
      <c r="L741" s="8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8" customHeight="1">
      <c r="A742" s="8"/>
      <c r="B742" s="8"/>
      <c r="C742" s="7"/>
      <c r="D742" s="7"/>
      <c r="E742" s="7"/>
      <c r="F742" s="7"/>
      <c r="G742" s="7"/>
      <c r="H742" s="7"/>
      <c r="I742" s="7"/>
      <c r="J742" s="8"/>
      <c r="K742" s="8"/>
      <c r="L742" s="8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8" customHeight="1">
      <c r="A743" s="8"/>
      <c r="B743" s="8"/>
      <c r="C743" s="7"/>
      <c r="D743" s="7"/>
      <c r="E743" s="7"/>
      <c r="F743" s="7"/>
      <c r="G743" s="7"/>
      <c r="H743" s="7"/>
      <c r="I743" s="7"/>
      <c r="J743" s="8"/>
      <c r="K743" s="8"/>
      <c r="L743" s="8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8" customHeight="1">
      <c r="A744" s="8"/>
      <c r="B744" s="8"/>
      <c r="C744" s="7"/>
      <c r="D744" s="7"/>
      <c r="E744" s="7"/>
      <c r="F744" s="7"/>
      <c r="G744" s="7"/>
      <c r="H744" s="7"/>
      <c r="I744" s="7"/>
      <c r="J744" s="8"/>
      <c r="K744" s="8"/>
      <c r="L744" s="8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8" customHeight="1">
      <c r="A745" s="8"/>
      <c r="B745" s="8"/>
      <c r="C745" s="7"/>
      <c r="D745" s="7"/>
      <c r="E745" s="7"/>
      <c r="F745" s="7"/>
      <c r="G745" s="7"/>
      <c r="H745" s="7"/>
      <c r="I745" s="7"/>
      <c r="J745" s="8"/>
      <c r="K745" s="8"/>
      <c r="L745" s="8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8" customHeight="1">
      <c r="A746" s="8"/>
      <c r="B746" s="8"/>
      <c r="C746" s="7"/>
      <c r="D746" s="7"/>
      <c r="E746" s="7"/>
      <c r="F746" s="7"/>
      <c r="G746" s="7"/>
      <c r="H746" s="7"/>
      <c r="I746" s="7"/>
      <c r="J746" s="8"/>
      <c r="K746" s="8"/>
      <c r="L746" s="8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8" customHeight="1">
      <c r="A747" s="8"/>
      <c r="B747" s="8"/>
      <c r="C747" s="7"/>
      <c r="D747" s="7"/>
      <c r="E747" s="7"/>
      <c r="F747" s="7"/>
      <c r="G747" s="7"/>
      <c r="H747" s="7"/>
      <c r="I747" s="7"/>
      <c r="J747" s="8"/>
      <c r="K747" s="8"/>
      <c r="L747" s="8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8" customHeight="1">
      <c r="A748" s="8"/>
      <c r="B748" s="8"/>
      <c r="C748" s="7"/>
      <c r="D748" s="7"/>
      <c r="E748" s="7"/>
      <c r="F748" s="7"/>
      <c r="G748" s="7"/>
      <c r="H748" s="7"/>
      <c r="I748" s="7"/>
      <c r="J748" s="8"/>
      <c r="K748" s="8"/>
      <c r="L748" s="8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8" customHeight="1">
      <c r="A749" s="8"/>
      <c r="B749" s="8"/>
      <c r="C749" s="7"/>
      <c r="D749" s="7"/>
      <c r="E749" s="7"/>
      <c r="F749" s="7"/>
      <c r="G749" s="7"/>
      <c r="H749" s="7"/>
      <c r="I749" s="7"/>
      <c r="J749" s="8"/>
      <c r="K749" s="8"/>
      <c r="L749" s="8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8" customHeight="1">
      <c r="A750" s="8"/>
      <c r="B750" s="8"/>
      <c r="C750" s="7"/>
      <c r="D750" s="7"/>
      <c r="E750" s="7"/>
      <c r="F750" s="7"/>
      <c r="G750" s="7"/>
      <c r="H750" s="7"/>
      <c r="I750" s="7"/>
      <c r="J750" s="8"/>
      <c r="K750" s="8"/>
      <c r="L750" s="8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8" customHeight="1">
      <c r="A751" s="8"/>
      <c r="B751" s="8"/>
      <c r="C751" s="7"/>
      <c r="D751" s="7"/>
      <c r="E751" s="7"/>
      <c r="F751" s="7"/>
      <c r="G751" s="7"/>
      <c r="H751" s="7"/>
      <c r="I751" s="7"/>
      <c r="J751" s="8"/>
      <c r="K751" s="8"/>
      <c r="L751" s="8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8" customHeight="1">
      <c r="A752" s="8"/>
      <c r="B752" s="8"/>
      <c r="C752" s="7"/>
      <c r="D752" s="7"/>
      <c r="E752" s="7"/>
      <c r="F752" s="7"/>
      <c r="G752" s="7"/>
      <c r="H752" s="7"/>
      <c r="I752" s="7"/>
      <c r="J752" s="8"/>
      <c r="K752" s="8"/>
      <c r="L752" s="8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8" customHeight="1">
      <c r="A753" s="8"/>
      <c r="B753" s="8"/>
      <c r="C753" s="7"/>
      <c r="D753" s="7"/>
      <c r="E753" s="7"/>
      <c r="F753" s="7"/>
      <c r="G753" s="7"/>
      <c r="H753" s="7"/>
      <c r="I753" s="7"/>
      <c r="J753" s="8"/>
      <c r="K753" s="8"/>
      <c r="L753" s="8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8" customHeight="1">
      <c r="A754" s="8"/>
      <c r="B754" s="8"/>
      <c r="C754" s="7"/>
      <c r="D754" s="7"/>
      <c r="E754" s="7"/>
      <c r="F754" s="7"/>
      <c r="G754" s="7"/>
      <c r="H754" s="7"/>
      <c r="I754" s="7"/>
      <c r="J754" s="8"/>
      <c r="K754" s="8"/>
      <c r="L754" s="8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8" customHeight="1">
      <c r="A755" s="8"/>
      <c r="B755" s="8"/>
      <c r="C755" s="7"/>
      <c r="D755" s="7"/>
      <c r="E755" s="7"/>
      <c r="F755" s="7"/>
      <c r="G755" s="7"/>
      <c r="H755" s="7"/>
      <c r="I755" s="7"/>
      <c r="J755" s="8"/>
      <c r="K755" s="8"/>
      <c r="L755" s="8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8" customHeight="1">
      <c r="A756" s="8"/>
      <c r="B756" s="8"/>
      <c r="C756" s="7"/>
      <c r="D756" s="7"/>
      <c r="E756" s="7"/>
      <c r="F756" s="7"/>
      <c r="G756" s="7"/>
      <c r="H756" s="7"/>
      <c r="I756" s="7"/>
      <c r="J756" s="8"/>
      <c r="K756" s="8"/>
      <c r="L756" s="8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8" customHeight="1">
      <c r="A757" s="8"/>
      <c r="B757" s="8"/>
      <c r="C757" s="7"/>
      <c r="D757" s="7"/>
      <c r="E757" s="7"/>
      <c r="F757" s="7"/>
      <c r="G757" s="7"/>
      <c r="H757" s="7"/>
      <c r="I757" s="7"/>
      <c r="J757" s="8"/>
      <c r="K757" s="8"/>
      <c r="L757" s="8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8" customHeight="1">
      <c r="A758" s="8"/>
      <c r="B758" s="8"/>
      <c r="C758" s="7"/>
      <c r="D758" s="7"/>
      <c r="E758" s="7"/>
      <c r="F758" s="7"/>
      <c r="G758" s="7"/>
      <c r="H758" s="7"/>
      <c r="I758" s="7"/>
      <c r="J758" s="8"/>
      <c r="K758" s="8"/>
      <c r="L758" s="8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8" customHeight="1">
      <c r="A759" s="8"/>
      <c r="B759" s="8"/>
      <c r="C759" s="7"/>
      <c r="D759" s="7"/>
      <c r="E759" s="7"/>
      <c r="F759" s="7"/>
      <c r="G759" s="7"/>
      <c r="H759" s="7"/>
      <c r="I759" s="7"/>
      <c r="J759" s="8"/>
      <c r="K759" s="8"/>
      <c r="L759" s="8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8" customHeight="1">
      <c r="A760" s="8"/>
      <c r="B760" s="8"/>
      <c r="C760" s="7"/>
      <c r="D760" s="7"/>
      <c r="E760" s="7"/>
      <c r="F760" s="7"/>
      <c r="G760" s="7"/>
      <c r="H760" s="7"/>
      <c r="I760" s="7"/>
      <c r="J760" s="8"/>
      <c r="K760" s="8"/>
      <c r="L760" s="8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8" customHeight="1">
      <c r="A761" s="8"/>
      <c r="B761" s="8"/>
      <c r="C761" s="7"/>
      <c r="D761" s="7"/>
      <c r="E761" s="7"/>
      <c r="F761" s="7"/>
      <c r="G761" s="7"/>
      <c r="H761" s="7"/>
      <c r="I761" s="7"/>
      <c r="J761" s="8"/>
      <c r="K761" s="8"/>
      <c r="L761" s="8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8" customHeight="1">
      <c r="A762" s="8"/>
      <c r="B762" s="8"/>
      <c r="C762" s="7"/>
      <c r="D762" s="7"/>
      <c r="E762" s="7"/>
      <c r="F762" s="7"/>
      <c r="G762" s="7"/>
      <c r="H762" s="7"/>
      <c r="I762" s="7"/>
      <c r="J762" s="8"/>
      <c r="K762" s="8"/>
      <c r="L762" s="8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8" customHeight="1">
      <c r="A763" s="8"/>
      <c r="B763" s="8"/>
      <c r="C763" s="7"/>
      <c r="D763" s="7"/>
      <c r="E763" s="7"/>
      <c r="F763" s="7"/>
      <c r="G763" s="7"/>
      <c r="H763" s="7"/>
      <c r="I763" s="7"/>
      <c r="J763" s="8"/>
      <c r="K763" s="8"/>
      <c r="L763" s="8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8" customHeight="1">
      <c r="A764" s="8"/>
      <c r="B764" s="8"/>
      <c r="C764" s="7"/>
      <c r="D764" s="7"/>
      <c r="E764" s="7"/>
      <c r="F764" s="7"/>
      <c r="G764" s="7"/>
      <c r="H764" s="7"/>
      <c r="I764" s="7"/>
      <c r="J764" s="8"/>
      <c r="K764" s="8"/>
      <c r="L764" s="8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8" customHeight="1">
      <c r="A765" s="8"/>
      <c r="B765" s="8"/>
      <c r="C765" s="7"/>
      <c r="D765" s="7"/>
      <c r="E765" s="7"/>
      <c r="F765" s="7"/>
      <c r="G765" s="7"/>
      <c r="H765" s="7"/>
      <c r="I765" s="7"/>
      <c r="J765" s="8"/>
      <c r="K765" s="8"/>
      <c r="L765" s="8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8" customHeight="1">
      <c r="A766" s="8"/>
      <c r="B766" s="8"/>
      <c r="C766" s="7"/>
      <c r="D766" s="7"/>
      <c r="E766" s="7"/>
      <c r="F766" s="7"/>
      <c r="G766" s="7"/>
      <c r="H766" s="7"/>
      <c r="I766" s="7"/>
      <c r="J766" s="8"/>
      <c r="K766" s="8"/>
      <c r="L766" s="8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8" customHeight="1">
      <c r="A767" s="8"/>
      <c r="B767" s="8"/>
      <c r="C767" s="7"/>
      <c r="D767" s="7"/>
      <c r="E767" s="7"/>
      <c r="F767" s="7"/>
      <c r="G767" s="7"/>
      <c r="H767" s="7"/>
      <c r="I767" s="7"/>
      <c r="J767" s="8"/>
      <c r="K767" s="8"/>
      <c r="L767" s="8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8" customHeight="1">
      <c r="A768" s="8"/>
      <c r="B768" s="8"/>
      <c r="C768" s="7"/>
      <c r="D768" s="7"/>
      <c r="E768" s="7"/>
      <c r="F768" s="7"/>
      <c r="G768" s="7"/>
      <c r="H768" s="7"/>
      <c r="I768" s="7"/>
      <c r="J768" s="8"/>
      <c r="K768" s="8"/>
      <c r="L768" s="8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8" customHeight="1">
      <c r="A769" s="8"/>
      <c r="B769" s="8"/>
      <c r="C769" s="7"/>
      <c r="D769" s="7"/>
      <c r="E769" s="7"/>
      <c r="F769" s="7"/>
      <c r="G769" s="7"/>
      <c r="H769" s="7"/>
      <c r="I769" s="7"/>
      <c r="J769" s="8"/>
      <c r="K769" s="8"/>
      <c r="L769" s="8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8" customHeight="1">
      <c r="A770" s="8"/>
      <c r="B770" s="8"/>
      <c r="C770" s="7"/>
      <c r="D770" s="7"/>
      <c r="E770" s="7"/>
      <c r="F770" s="7"/>
      <c r="G770" s="7"/>
      <c r="H770" s="7"/>
      <c r="I770" s="7"/>
      <c r="J770" s="8"/>
      <c r="K770" s="8"/>
      <c r="L770" s="8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8" customHeight="1">
      <c r="A771" s="8"/>
      <c r="B771" s="8"/>
      <c r="C771" s="7"/>
      <c r="D771" s="7"/>
      <c r="E771" s="7"/>
      <c r="F771" s="7"/>
      <c r="G771" s="7"/>
      <c r="H771" s="7"/>
      <c r="I771" s="7"/>
      <c r="J771" s="8"/>
      <c r="K771" s="8"/>
      <c r="L771" s="8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8" customHeight="1">
      <c r="A772" s="8"/>
      <c r="B772" s="8"/>
      <c r="C772" s="7"/>
      <c r="D772" s="7"/>
      <c r="E772" s="7"/>
      <c r="F772" s="7"/>
      <c r="G772" s="7"/>
      <c r="H772" s="7"/>
      <c r="I772" s="7"/>
      <c r="J772" s="8"/>
      <c r="K772" s="8"/>
      <c r="L772" s="8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8" customHeight="1">
      <c r="A773" s="8"/>
      <c r="B773" s="8"/>
      <c r="C773" s="7"/>
      <c r="D773" s="7"/>
      <c r="E773" s="7"/>
      <c r="F773" s="7"/>
      <c r="G773" s="7"/>
      <c r="H773" s="7"/>
      <c r="I773" s="7"/>
      <c r="J773" s="8"/>
      <c r="K773" s="8"/>
      <c r="L773" s="8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8" customHeight="1">
      <c r="A774" s="8"/>
      <c r="B774" s="8"/>
      <c r="C774" s="7"/>
      <c r="D774" s="7"/>
      <c r="E774" s="7"/>
      <c r="F774" s="7"/>
      <c r="G774" s="7"/>
      <c r="H774" s="7"/>
      <c r="I774" s="7"/>
      <c r="J774" s="8"/>
      <c r="K774" s="8"/>
      <c r="L774" s="8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8" customHeight="1">
      <c r="A775" s="8"/>
      <c r="B775" s="8"/>
      <c r="C775" s="7"/>
      <c r="D775" s="7"/>
      <c r="E775" s="7"/>
      <c r="F775" s="7"/>
      <c r="G775" s="7"/>
      <c r="H775" s="7"/>
      <c r="I775" s="7"/>
      <c r="J775" s="8"/>
      <c r="K775" s="8"/>
      <c r="L775" s="8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8" customHeight="1">
      <c r="A776" s="8"/>
      <c r="B776" s="8"/>
      <c r="C776" s="7"/>
      <c r="D776" s="7"/>
      <c r="E776" s="7"/>
      <c r="F776" s="7"/>
      <c r="G776" s="7"/>
      <c r="H776" s="7"/>
      <c r="I776" s="7"/>
      <c r="J776" s="8"/>
      <c r="K776" s="8"/>
      <c r="L776" s="8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8" customHeight="1">
      <c r="A777" s="8"/>
      <c r="B777" s="8"/>
      <c r="C777" s="7"/>
      <c r="D777" s="7"/>
      <c r="E777" s="7"/>
      <c r="F777" s="7"/>
      <c r="G777" s="7"/>
      <c r="H777" s="7"/>
      <c r="I777" s="7"/>
      <c r="J777" s="8"/>
      <c r="K777" s="8"/>
      <c r="L777" s="8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8" customHeight="1">
      <c r="A778" s="8"/>
      <c r="B778" s="8"/>
      <c r="C778" s="7"/>
      <c r="D778" s="7"/>
      <c r="E778" s="7"/>
      <c r="F778" s="7"/>
      <c r="G778" s="7"/>
      <c r="H778" s="7"/>
      <c r="I778" s="7"/>
      <c r="J778" s="8"/>
      <c r="K778" s="8"/>
      <c r="L778" s="8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8" customHeight="1">
      <c r="A779" s="8"/>
      <c r="B779" s="8"/>
      <c r="C779" s="7"/>
      <c r="D779" s="7"/>
      <c r="E779" s="7"/>
      <c r="F779" s="7"/>
      <c r="G779" s="7"/>
      <c r="H779" s="7"/>
      <c r="I779" s="7"/>
      <c r="J779" s="8"/>
      <c r="K779" s="8"/>
      <c r="L779" s="8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8" customHeight="1">
      <c r="A780" s="8"/>
      <c r="B780" s="8"/>
      <c r="C780" s="7"/>
      <c r="D780" s="7"/>
      <c r="E780" s="7"/>
      <c r="F780" s="7"/>
      <c r="G780" s="7"/>
      <c r="H780" s="7"/>
      <c r="I780" s="7"/>
      <c r="J780" s="8"/>
      <c r="K780" s="8"/>
      <c r="L780" s="8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8" customHeight="1">
      <c r="A781" s="8"/>
      <c r="B781" s="8"/>
      <c r="C781" s="7"/>
      <c r="D781" s="7"/>
      <c r="E781" s="7"/>
      <c r="F781" s="7"/>
      <c r="G781" s="7"/>
      <c r="H781" s="7"/>
      <c r="I781" s="7"/>
      <c r="J781" s="8"/>
      <c r="K781" s="8"/>
      <c r="L781" s="8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8" customHeight="1">
      <c r="A782" s="8"/>
      <c r="B782" s="8"/>
      <c r="C782" s="7"/>
      <c r="D782" s="7"/>
      <c r="E782" s="7"/>
      <c r="F782" s="7"/>
      <c r="G782" s="7"/>
      <c r="H782" s="7"/>
      <c r="I782" s="7"/>
      <c r="J782" s="8"/>
      <c r="K782" s="8"/>
      <c r="L782" s="8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8" customHeight="1">
      <c r="A783" s="8"/>
      <c r="B783" s="8"/>
      <c r="C783" s="7"/>
      <c r="D783" s="7"/>
      <c r="E783" s="7"/>
      <c r="F783" s="7"/>
      <c r="G783" s="7"/>
      <c r="H783" s="7"/>
      <c r="I783" s="7"/>
      <c r="J783" s="8"/>
      <c r="K783" s="8"/>
      <c r="L783" s="8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8" customHeight="1">
      <c r="A784" s="8"/>
      <c r="B784" s="8"/>
      <c r="C784" s="7"/>
      <c r="D784" s="7"/>
      <c r="E784" s="7"/>
      <c r="F784" s="7"/>
      <c r="G784" s="7"/>
      <c r="H784" s="7"/>
      <c r="I784" s="7"/>
      <c r="J784" s="8"/>
      <c r="K784" s="8"/>
      <c r="L784" s="8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8" customHeight="1">
      <c r="A785" s="8"/>
      <c r="B785" s="8"/>
      <c r="C785" s="7"/>
      <c r="D785" s="7"/>
      <c r="E785" s="7"/>
      <c r="F785" s="7"/>
      <c r="G785" s="7"/>
      <c r="H785" s="7"/>
      <c r="I785" s="7"/>
      <c r="J785" s="8"/>
      <c r="K785" s="8"/>
      <c r="L785" s="8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8" customHeight="1">
      <c r="A786" s="8"/>
      <c r="B786" s="8"/>
      <c r="C786" s="7"/>
      <c r="D786" s="7"/>
      <c r="E786" s="7"/>
      <c r="F786" s="7"/>
      <c r="G786" s="7"/>
      <c r="H786" s="7"/>
      <c r="I786" s="7"/>
      <c r="J786" s="8"/>
      <c r="K786" s="8"/>
      <c r="L786" s="8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8" customHeight="1">
      <c r="A787" s="8"/>
      <c r="B787" s="8"/>
      <c r="C787" s="7"/>
      <c r="D787" s="7"/>
      <c r="E787" s="7"/>
      <c r="F787" s="7"/>
      <c r="G787" s="7"/>
      <c r="H787" s="7"/>
      <c r="I787" s="7"/>
      <c r="J787" s="8"/>
      <c r="K787" s="8"/>
      <c r="L787" s="8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8" customHeight="1">
      <c r="A788" s="8"/>
      <c r="B788" s="8"/>
      <c r="C788" s="7"/>
      <c r="D788" s="7"/>
      <c r="E788" s="7"/>
      <c r="F788" s="7"/>
      <c r="G788" s="7"/>
      <c r="H788" s="7"/>
      <c r="I788" s="7"/>
      <c r="J788" s="8"/>
      <c r="K788" s="8"/>
      <c r="L788" s="8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8" customHeight="1">
      <c r="A789" s="8"/>
      <c r="B789" s="8"/>
      <c r="C789" s="7"/>
      <c r="D789" s="7"/>
      <c r="E789" s="7"/>
      <c r="F789" s="7"/>
      <c r="G789" s="7"/>
      <c r="H789" s="7"/>
      <c r="I789" s="7"/>
      <c r="J789" s="8"/>
      <c r="K789" s="8"/>
      <c r="L789" s="8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8" customHeight="1">
      <c r="A790" s="8"/>
      <c r="B790" s="8"/>
      <c r="C790" s="7"/>
      <c r="D790" s="7"/>
      <c r="E790" s="7"/>
      <c r="F790" s="7"/>
      <c r="G790" s="7"/>
      <c r="H790" s="7"/>
      <c r="I790" s="7"/>
      <c r="J790" s="8"/>
      <c r="K790" s="8"/>
      <c r="L790" s="8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8" customHeight="1">
      <c r="A791" s="8"/>
      <c r="B791" s="8"/>
      <c r="C791" s="7"/>
      <c r="D791" s="7"/>
      <c r="E791" s="7"/>
      <c r="F791" s="7"/>
      <c r="G791" s="7"/>
      <c r="H791" s="7"/>
      <c r="I791" s="7"/>
      <c r="J791" s="8"/>
      <c r="K791" s="8"/>
      <c r="L791" s="8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8" customHeight="1">
      <c r="A792" s="8"/>
      <c r="B792" s="8"/>
      <c r="C792" s="7"/>
      <c r="D792" s="7"/>
      <c r="E792" s="7"/>
      <c r="F792" s="7"/>
      <c r="G792" s="7"/>
      <c r="H792" s="7"/>
      <c r="I792" s="7"/>
      <c r="J792" s="8"/>
      <c r="K792" s="8"/>
      <c r="L792" s="8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8" customHeight="1">
      <c r="A793" s="8"/>
      <c r="B793" s="8"/>
      <c r="C793" s="7"/>
      <c r="D793" s="7"/>
      <c r="E793" s="7"/>
      <c r="F793" s="7"/>
      <c r="G793" s="7"/>
      <c r="H793" s="7"/>
      <c r="I793" s="7"/>
      <c r="J793" s="8"/>
      <c r="K793" s="8"/>
      <c r="L793" s="8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8" customHeight="1">
      <c r="A794" s="8"/>
      <c r="B794" s="8"/>
      <c r="C794" s="7"/>
      <c r="D794" s="7"/>
      <c r="E794" s="7"/>
      <c r="F794" s="7"/>
      <c r="G794" s="7"/>
      <c r="H794" s="7"/>
      <c r="I794" s="7"/>
      <c r="J794" s="8"/>
      <c r="K794" s="8"/>
      <c r="L794" s="8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8" customHeight="1">
      <c r="A795" s="8"/>
      <c r="B795" s="8"/>
      <c r="C795" s="7"/>
      <c r="D795" s="7"/>
      <c r="E795" s="7"/>
      <c r="F795" s="7"/>
      <c r="G795" s="7"/>
      <c r="H795" s="7"/>
      <c r="I795" s="7"/>
      <c r="J795" s="8"/>
      <c r="K795" s="8"/>
      <c r="L795" s="8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8" customHeight="1">
      <c r="A796" s="8"/>
      <c r="B796" s="8"/>
      <c r="C796" s="7"/>
      <c r="D796" s="7"/>
      <c r="E796" s="7"/>
      <c r="F796" s="7"/>
      <c r="G796" s="7"/>
      <c r="H796" s="7"/>
      <c r="I796" s="7"/>
      <c r="J796" s="8"/>
      <c r="K796" s="8"/>
      <c r="L796" s="8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8" customHeight="1">
      <c r="A797" s="8"/>
      <c r="B797" s="8"/>
      <c r="C797" s="7"/>
      <c r="D797" s="7"/>
      <c r="E797" s="7"/>
      <c r="F797" s="7"/>
      <c r="G797" s="7"/>
      <c r="H797" s="7"/>
      <c r="I797" s="7"/>
      <c r="J797" s="8"/>
      <c r="K797" s="8"/>
      <c r="L797" s="8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8" customHeight="1">
      <c r="A798" s="8"/>
      <c r="B798" s="8"/>
      <c r="C798" s="7"/>
      <c r="D798" s="7"/>
      <c r="E798" s="7"/>
      <c r="F798" s="7"/>
      <c r="G798" s="7"/>
      <c r="H798" s="7"/>
      <c r="I798" s="7"/>
      <c r="J798" s="8"/>
      <c r="K798" s="8"/>
      <c r="L798" s="8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8" customHeight="1">
      <c r="A799" s="8"/>
      <c r="B799" s="8"/>
      <c r="C799" s="7"/>
      <c r="D799" s="7"/>
      <c r="E799" s="7"/>
      <c r="F799" s="7"/>
      <c r="G799" s="7"/>
      <c r="H799" s="7"/>
      <c r="I799" s="7"/>
      <c r="J799" s="8"/>
      <c r="K799" s="8"/>
      <c r="L799" s="8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8" customHeight="1">
      <c r="A800" s="8"/>
      <c r="B800" s="8"/>
      <c r="C800" s="7"/>
      <c r="D800" s="7"/>
      <c r="E800" s="7"/>
      <c r="F800" s="7"/>
      <c r="G800" s="7"/>
      <c r="H800" s="7"/>
      <c r="I800" s="7"/>
      <c r="J800" s="8"/>
      <c r="K800" s="8"/>
      <c r="L800" s="8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8" customHeight="1">
      <c r="A801" s="8"/>
      <c r="B801" s="8"/>
      <c r="C801" s="7"/>
      <c r="D801" s="7"/>
      <c r="E801" s="7"/>
      <c r="F801" s="7"/>
      <c r="G801" s="7"/>
      <c r="H801" s="7"/>
      <c r="I801" s="7"/>
      <c r="J801" s="8"/>
      <c r="K801" s="8"/>
      <c r="L801" s="8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8" customHeight="1">
      <c r="A802" s="8"/>
      <c r="B802" s="8"/>
      <c r="C802" s="7"/>
      <c r="D802" s="7"/>
      <c r="E802" s="7"/>
      <c r="F802" s="7"/>
      <c r="G802" s="7"/>
      <c r="H802" s="7"/>
      <c r="I802" s="7"/>
      <c r="J802" s="8"/>
      <c r="K802" s="8"/>
      <c r="L802" s="8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8" customHeight="1">
      <c r="A803" s="8"/>
      <c r="B803" s="8"/>
      <c r="C803" s="7"/>
      <c r="D803" s="7"/>
      <c r="E803" s="7"/>
      <c r="F803" s="7"/>
      <c r="G803" s="7"/>
      <c r="H803" s="7"/>
      <c r="I803" s="7"/>
      <c r="J803" s="8"/>
      <c r="K803" s="8"/>
      <c r="L803" s="8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8" customHeight="1">
      <c r="A804" s="8"/>
      <c r="B804" s="8"/>
      <c r="C804" s="7"/>
      <c r="D804" s="7"/>
      <c r="E804" s="7"/>
      <c r="F804" s="7"/>
      <c r="G804" s="7"/>
      <c r="H804" s="7"/>
      <c r="I804" s="7"/>
      <c r="J804" s="8"/>
      <c r="K804" s="8"/>
      <c r="L804" s="8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8" customHeight="1">
      <c r="A805" s="8"/>
      <c r="B805" s="8"/>
      <c r="C805" s="7"/>
      <c r="D805" s="7"/>
      <c r="E805" s="7"/>
      <c r="F805" s="7"/>
      <c r="G805" s="7"/>
      <c r="H805" s="7"/>
      <c r="I805" s="7"/>
      <c r="J805" s="8"/>
      <c r="K805" s="8"/>
      <c r="L805" s="8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8" customHeight="1">
      <c r="A806" s="8"/>
      <c r="B806" s="8"/>
      <c r="C806" s="7"/>
      <c r="D806" s="7"/>
      <c r="E806" s="7"/>
      <c r="F806" s="7"/>
      <c r="G806" s="7"/>
      <c r="H806" s="7"/>
      <c r="I806" s="7"/>
      <c r="J806" s="8"/>
      <c r="K806" s="8"/>
      <c r="L806" s="8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8" customHeight="1">
      <c r="A807" s="8"/>
      <c r="B807" s="8"/>
      <c r="C807" s="7"/>
      <c r="D807" s="7"/>
      <c r="E807" s="7"/>
      <c r="F807" s="7"/>
      <c r="G807" s="7"/>
      <c r="H807" s="7"/>
      <c r="I807" s="7"/>
      <c r="J807" s="8"/>
      <c r="K807" s="8"/>
      <c r="L807" s="8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8" customHeight="1">
      <c r="A808" s="8"/>
      <c r="B808" s="8"/>
      <c r="C808" s="7"/>
      <c r="D808" s="7"/>
      <c r="E808" s="7"/>
      <c r="F808" s="7"/>
      <c r="G808" s="7"/>
      <c r="H808" s="7"/>
      <c r="I808" s="7"/>
      <c r="J808" s="8"/>
      <c r="K808" s="8"/>
      <c r="L808" s="8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8" customHeight="1">
      <c r="A809" s="8"/>
      <c r="B809" s="8"/>
      <c r="C809" s="7"/>
      <c r="D809" s="7"/>
      <c r="E809" s="7"/>
      <c r="F809" s="7"/>
      <c r="G809" s="7"/>
      <c r="H809" s="7"/>
      <c r="I809" s="7"/>
      <c r="J809" s="8"/>
      <c r="K809" s="8"/>
      <c r="L809" s="8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8" customHeight="1">
      <c r="A810" s="8"/>
      <c r="B810" s="8"/>
      <c r="C810" s="7"/>
      <c r="D810" s="7"/>
      <c r="E810" s="7"/>
      <c r="F810" s="7"/>
      <c r="G810" s="7"/>
      <c r="H810" s="7"/>
      <c r="I810" s="7"/>
      <c r="J810" s="8"/>
      <c r="K810" s="8"/>
      <c r="L810" s="8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8" customHeight="1">
      <c r="A811" s="8"/>
      <c r="B811" s="8"/>
      <c r="C811" s="7"/>
      <c r="D811" s="7"/>
      <c r="E811" s="7"/>
      <c r="F811" s="7"/>
      <c r="G811" s="7"/>
      <c r="H811" s="7"/>
      <c r="I811" s="7"/>
      <c r="J811" s="8"/>
      <c r="K811" s="8"/>
      <c r="L811" s="8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8" customHeight="1">
      <c r="A812" s="8"/>
      <c r="B812" s="8"/>
      <c r="C812" s="7"/>
      <c r="D812" s="7"/>
      <c r="E812" s="7"/>
      <c r="F812" s="7"/>
      <c r="G812" s="7"/>
      <c r="H812" s="7"/>
      <c r="I812" s="7"/>
      <c r="J812" s="8"/>
      <c r="K812" s="8"/>
      <c r="L812" s="8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8" customHeight="1">
      <c r="A813" s="8"/>
      <c r="B813" s="8"/>
      <c r="C813" s="7"/>
      <c r="D813" s="7"/>
      <c r="E813" s="7"/>
      <c r="F813" s="7"/>
      <c r="G813" s="7"/>
      <c r="H813" s="7"/>
      <c r="I813" s="7"/>
      <c r="J813" s="8"/>
      <c r="K813" s="8"/>
      <c r="L813" s="8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8" customHeight="1">
      <c r="A814" s="8"/>
      <c r="B814" s="8"/>
      <c r="C814" s="7"/>
      <c r="D814" s="7"/>
      <c r="E814" s="7"/>
      <c r="F814" s="7"/>
      <c r="G814" s="7"/>
      <c r="H814" s="7"/>
      <c r="I814" s="7"/>
      <c r="J814" s="8"/>
      <c r="K814" s="8"/>
      <c r="L814" s="8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8" customHeight="1">
      <c r="A815" s="8"/>
      <c r="B815" s="8"/>
      <c r="C815" s="7"/>
      <c r="D815" s="7"/>
      <c r="E815" s="7"/>
      <c r="F815" s="7"/>
      <c r="G815" s="7"/>
      <c r="H815" s="7"/>
      <c r="I815" s="7"/>
      <c r="J815" s="8"/>
      <c r="K815" s="8"/>
      <c r="L815" s="8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8" customHeight="1">
      <c r="A816" s="8"/>
      <c r="B816" s="8"/>
      <c r="C816" s="7"/>
      <c r="D816" s="7"/>
      <c r="E816" s="7"/>
      <c r="F816" s="7"/>
      <c r="G816" s="7"/>
      <c r="H816" s="7"/>
      <c r="I816" s="7"/>
      <c r="J816" s="8"/>
      <c r="K816" s="8"/>
      <c r="L816" s="8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8" customHeight="1">
      <c r="A817" s="8"/>
      <c r="B817" s="8"/>
      <c r="C817" s="7"/>
      <c r="D817" s="7"/>
      <c r="E817" s="7"/>
      <c r="F817" s="7"/>
      <c r="G817" s="7"/>
      <c r="H817" s="7"/>
      <c r="I817" s="7"/>
      <c r="J817" s="8"/>
      <c r="K817" s="8"/>
      <c r="L817" s="8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8" customHeight="1">
      <c r="A818" s="8"/>
      <c r="B818" s="8"/>
      <c r="C818" s="7"/>
      <c r="D818" s="7"/>
      <c r="E818" s="7"/>
      <c r="F818" s="7"/>
      <c r="G818" s="7"/>
      <c r="H818" s="7"/>
      <c r="I818" s="7"/>
      <c r="J818" s="8"/>
      <c r="K818" s="8"/>
      <c r="L818" s="8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8" customHeight="1">
      <c r="A819" s="8"/>
      <c r="B819" s="8"/>
      <c r="C819" s="7"/>
      <c r="D819" s="7"/>
      <c r="E819" s="7"/>
      <c r="F819" s="7"/>
      <c r="G819" s="7"/>
      <c r="H819" s="7"/>
      <c r="I819" s="7"/>
      <c r="J819" s="8"/>
      <c r="K819" s="8"/>
      <c r="L819" s="8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8" customHeight="1">
      <c r="A820" s="8"/>
      <c r="B820" s="8"/>
      <c r="C820" s="7"/>
      <c r="D820" s="7"/>
      <c r="E820" s="7"/>
      <c r="F820" s="7"/>
      <c r="G820" s="7"/>
      <c r="H820" s="7"/>
      <c r="I820" s="7"/>
      <c r="J820" s="8"/>
      <c r="K820" s="8"/>
      <c r="L820" s="8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8" customHeight="1">
      <c r="A821" s="8"/>
      <c r="B821" s="8"/>
      <c r="C821" s="7"/>
      <c r="D821" s="7"/>
      <c r="E821" s="7"/>
      <c r="F821" s="7"/>
      <c r="G821" s="7"/>
      <c r="H821" s="7"/>
      <c r="I821" s="7"/>
      <c r="J821" s="8"/>
      <c r="K821" s="8"/>
      <c r="L821" s="8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8" customHeight="1">
      <c r="A822" s="8"/>
      <c r="B822" s="8"/>
      <c r="C822" s="7"/>
      <c r="D822" s="7"/>
      <c r="E822" s="7"/>
      <c r="F822" s="7"/>
      <c r="G822" s="7"/>
      <c r="H822" s="7"/>
      <c r="I822" s="7"/>
      <c r="J822" s="8"/>
      <c r="K822" s="8"/>
      <c r="L822" s="8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8" customHeight="1">
      <c r="A823" s="8"/>
      <c r="B823" s="8"/>
      <c r="C823" s="7"/>
      <c r="D823" s="7"/>
      <c r="E823" s="7"/>
      <c r="F823" s="7"/>
      <c r="G823" s="7"/>
      <c r="H823" s="7"/>
      <c r="I823" s="7"/>
      <c r="J823" s="8"/>
      <c r="K823" s="8"/>
      <c r="L823" s="8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8" customHeight="1">
      <c r="A824" s="8"/>
      <c r="B824" s="8"/>
      <c r="C824" s="7"/>
      <c r="D824" s="7"/>
      <c r="E824" s="7"/>
      <c r="F824" s="7"/>
      <c r="G824" s="7"/>
      <c r="H824" s="7"/>
      <c r="I824" s="7"/>
      <c r="J824" s="8"/>
      <c r="K824" s="8"/>
      <c r="L824" s="8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8" customHeight="1">
      <c r="A825" s="8"/>
      <c r="B825" s="8"/>
      <c r="C825" s="7"/>
      <c r="D825" s="7"/>
      <c r="E825" s="7"/>
      <c r="F825" s="7"/>
      <c r="G825" s="7"/>
      <c r="H825" s="7"/>
      <c r="I825" s="7"/>
      <c r="J825" s="8"/>
      <c r="K825" s="8"/>
      <c r="L825" s="8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8" customHeight="1">
      <c r="A826" s="8"/>
      <c r="B826" s="8"/>
      <c r="C826" s="7"/>
      <c r="D826" s="7"/>
      <c r="E826" s="7"/>
      <c r="F826" s="7"/>
      <c r="G826" s="7"/>
      <c r="H826" s="7"/>
      <c r="I826" s="7"/>
      <c r="J826" s="8"/>
      <c r="K826" s="8"/>
      <c r="L826" s="8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8" customHeight="1">
      <c r="A827" s="8"/>
      <c r="B827" s="8"/>
      <c r="C827" s="7"/>
      <c r="D827" s="7"/>
      <c r="E827" s="7"/>
      <c r="F827" s="7"/>
      <c r="G827" s="7"/>
      <c r="H827" s="7"/>
      <c r="I827" s="7"/>
      <c r="J827" s="8"/>
      <c r="K827" s="8"/>
      <c r="L827" s="8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8" customHeight="1">
      <c r="A828" s="8"/>
      <c r="B828" s="8"/>
      <c r="C828" s="7"/>
      <c r="D828" s="7"/>
      <c r="E828" s="7"/>
      <c r="F828" s="7"/>
      <c r="G828" s="7"/>
      <c r="H828" s="7"/>
      <c r="I828" s="7"/>
      <c r="J828" s="8"/>
      <c r="K828" s="8"/>
      <c r="L828" s="8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8" customHeight="1">
      <c r="A829" s="8"/>
      <c r="B829" s="8"/>
      <c r="C829" s="7"/>
      <c r="D829" s="7"/>
      <c r="E829" s="7"/>
      <c r="F829" s="7"/>
      <c r="G829" s="7"/>
      <c r="H829" s="7"/>
      <c r="I829" s="7"/>
      <c r="J829" s="8"/>
      <c r="K829" s="8"/>
      <c r="L829" s="8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8" customHeight="1">
      <c r="A830" s="8"/>
      <c r="B830" s="8"/>
      <c r="C830" s="7"/>
      <c r="D830" s="7"/>
      <c r="E830" s="7"/>
      <c r="F830" s="7"/>
      <c r="G830" s="7"/>
      <c r="H830" s="7"/>
      <c r="I830" s="7"/>
      <c r="J830" s="8"/>
      <c r="K830" s="8"/>
      <c r="L830" s="8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8" customHeight="1">
      <c r="A831" s="8"/>
      <c r="B831" s="8"/>
      <c r="C831" s="7"/>
      <c r="D831" s="7"/>
      <c r="E831" s="7"/>
      <c r="F831" s="7"/>
      <c r="G831" s="7"/>
      <c r="H831" s="7"/>
      <c r="I831" s="7"/>
      <c r="J831" s="8"/>
      <c r="K831" s="8"/>
      <c r="L831" s="8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8" customHeight="1">
      <c r="A832" s="8"/>
      <c r="B832" s="8"/>
      <c r="C832" s="7"/>
      <c r="D832" s="7"/>
      <c r="E832" s="7"/>
      <c r="F832" s="7"/>
      <c r="G832" s="7"/>
      <c r="H832" s="7"/>
      <c r="I832" s="7"/>
      <c r="J832" s="8"/>
      <c r="K832" s="8"/>
      <c r="L832" s="8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8" customHeight="1">
      <c r="A833" s="8"/>
      <c r="B833" s="8"/>
      <c r="C833" s="7"/>
      <c r="D833" s="7"/>
      <c r="E833" s="7"/>
      <c r="F833" s="7"/>
      <c r="G833" s="7"/>
      <c r="H833" s="7"/>
      <c r="I833" s="7"/>
      <c r="J833" s="8"/>
      <c r="K833" s="8"/>
      <c r="L833" s="8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8" customHeight="1">
      <c r="A834" s="8"/>
      <c r="B834" s="8"/>
      <c r="C834" s="7"/>
      <c r="D834" s="7"/>
      <c r="E834" s="7"/>
      <c r="F834" s="7"/>
      <c r="G834" s="7"/>
      <c r="H834" s="7"/>
      <c r="I834" s="7"/>
      <c r="J834" s="8"/>
      <c r="K834" s="8"/>
      <c r="L834" s="8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8" customHeight="1">
      <c r="A835" s="8"/>
      <c r="B835" s="8"/>
      <c r="C835" s="7"/>
      <c r="D835" s="7"/>
      <c r="E835" s="7"/>
      <c r="F835" s="7"/>
      <c r="G835" s="7"/>
      <c r="H835" s="7"/>
      <c r="I835" s="7"/>
      <c r="J835" s="8"/>
      <c r="K835" s="8"/>
      <c r="L835" s="8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8" customHeight="1">
      <c r="A836" s="8"/>
      <c r="B836" s="8"/>
      <c r="C836" s="7"/>
      <c r="D836" s="7"/>
      <c r="E836" s="7"/>
      <c r="F836" s="7"/>
      <c r="G836" s="7"/>
      <c r="H836" s="7"/>
      <c r="I836" s="7"/>
      <c r="J836" s="8"/>
      <c r="K836" s="8"/>
      <c r="L836" s="8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8" customHeight="1">
      <c r="A837" s="8"/>
      <c r="B837" s="8"/>
      <c r="C837" s="7"/>
      <c r="D837" s="7"/>
      <c r="E837" s="7"/>
      <c r="F837" s="7"/>
      <c r="G837" s="7"/>
      <c r="H837" s="7"/>
      <c r="I837" s="7"/>
      <c r="J837" s="8"/>
      <c r="K837" s="8"/>
      <c r="L837" s="8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8" customHeight="1">
      <c r="A838" s="8"/>
      <c r="B838" s="8"/>
      <c r="C838" s="7"/>
      <c r="D838" s="7"/>
      <c r="E838" s="7"/>
      <c r="F838" s="7"/>
      <c r="G838" s="7"/>
      <c r="H838" s="7"/>
      <c r="I838" s="7"/>
      <c r="J838" s="8"/>
      <c r="K838" s="8"/>
      <c r="L838" s="8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8" customHeight="1">
      <c r="A839" s="8"/>
      <c r="B839" s="8"/>
      <c r="C839" s="7"/>
      <c r="D839" s="7"/>
      <c r="E839" s="7"/>
      <c r="F839" s="7"/>
      <c r="G839" s="7"/>
      <c r="H839" s="7"/>
      <c r="I839" s="7"/>
      <c r="J839" s="8"/>
      <c r="K839" s="8"/>
      <c r="L839" s="8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8" customHeight="1">
      <c r="A840" s="8"/>
      <c r="B840" s="8"/>
      <c r="C840" s="7"/>
      <c r="D840" s="7"/>
      <c r="E840" s="7"/>
      <c r="F840" s="7"/>
      <c r="G840" s="7"/>
      <c r="H840" s="7"/>
      <c r="I840" s="7"/>
      <c r="J840" s="8"/>
      <c r="K840" s="8"/>
      <c r="L840" s="8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8" customHeight="1">
      <c r="A841" s="8"/>
      <c r="B841" s="8"/>
      <c r="C841" s="7"/>
      <c r="D841" s="7"/>
      <c r="E841" s="7"/>
      <c r="F841" s="7"/>
      <c r="G841" s="7"/>
      <c r="H841" s="7"/>
      <c r="I841" s="7"/>
      <c r="J841" s="8"/>
      <c r="K841" s="8"/>
      <c r="L841" s="8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8" customHeight="1">
      <c r="A842" s="8"/>
      <c r="B842" s="8"/>
      <c r="C842" s="7"/>
      <c r="D842" s="7"/>
      <c r="E842" s="7"/>
      <c r="F842" s="7"/>
      <c r="G842" s="7"/>
      <c r="H842" s="7"/>
      <c r="I842" s="7"/>
      <c r="J842" s="8"/>
      <c r="K842" s="8"/>
      <c r="L842" s="8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8" customHeight="1">
      <c r="A843" s="8"/>
      <c r="B843" s="8"/>
      <c r="C843" s="7"/>
      <c r="D843" s="7"/>
      <c r="E843" s="7"/>
      <c r="F843" s="7"/>
      <c r="G843" s="7"/>
      <c r="H843" s="7"/>
      <c r="I843" s="7"/>
      <c r="J843" s="8"/>
      <c r="K843" s="8"/>
      <c r="L843" s="8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8" customHeight="1">
      <c r="A844" s="8"/>
      <c r="B844" s="8"/>
      <c r="C844" s="7"/>
      <c r="D844" s="7"/>
      <c r="E844" s="7"/>
      <c r="F844" s="7"/>
      <c r="G844" s="7"/>
      <c r="H844" s="7"/>
      <c r="I844" s="7"/>
      <c r="J844" s="8"/>
      <c r="K844" s="8"/>
      <c r="L844" s="8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8" customHeight="1">
      <c r="A845" s="8"/>
      <c r="B845" s="8"/>
      <c r="C845" s="7"/>
      <c r="D845" s="7"/>
      <c r="E845" s="7"/>
      <c r="F845" s="7"/>
      <c r="G845" s="7"/>
      <c r="H845" s="7"/>
      <c r="I845" s="7"/>
      <c r="J845" s="8"/>
      <c r="K845" s="8"/>
      <c r="L845" s="8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8" customHeight="1">
      <c r="A846" s="8"/>
      <c r="B846" s="8"/>
      <c r="C846" s="7"/>
      <c r="D846" s="7"/>
      <c r="E846" s="7"/>
      <c r="F846" s="7"/>
      <c r="G846" s="7"/>
      <c r="H846" s="7"/>
      <c r="I846" s="7"/>
      <c r="J846" s="8"/>
      <c r="K846" s="8"/>
      <c r="L846" s="8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8" customHeight="1">
      <c r="A847" s="8"/>
      <c r="B847" s="8"/>
      <c r="C847" s="7"/>
      <c r="D847" s="7"/>
      <c r="E847" s="7"/>
      <c r="F847" s="7"/>
      <c r="G847" s="7"/>
      <c r="H847" s="7"/>
      <c r="I847" s="7"/>
      <c r="J847" s="8"/>
      <c r="K847" s="8"/>
      <c r="L847" s="8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8" customHeight="1">
      <c r="A848" s="8"/>
      <c r="B848" s="8"/>
      <c r="C848" s="7"/>
      <c r="D848" s="7"/>
      <c r="E848" s="7"/>
      <c r="F848" s="7"/>
      <c r="G848" s="7"/>
      <c r="H848" s="7"/>
      <c r="I848" s="7"/>
      <c r="J848" s="8"/>
      <c r="K848" s="8"/>
      <c r="L848" s="8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8" customHeight="1">
      <c r="A849" s="8"/>
      <c r="B849" s="8"/>
      <c r="C849" s="7"/>
      <c r="D849" s="7"/>
      <c r="E849" s="7"/>
      <c r="F849" s="7"/>
      <c r="G849" s="7"/>
      <c r="H849" s="7"/>
      <c r="I849" s="7"/>
      <c r="J849" s="8"/>
      <c r="K849" s="8"/>
      <c r="L849" s="8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8" customHeight="1">
      <c r="A850" s="8"/>
      <c r="B850" s="8"/>
      <c r="C850" s="7"/>
      <c r="D850" s="7"/>
      <c r="E850" s="7"/>
      <c r="F850" s="7"/>
      <c r="G850" s="7"/>
      <c r="H850" s="7"/>
      <c r="I850" s="7"/>
      <c r="J850" s="8"/>
      <c r="K850" s="8"/>
      <c r="L850" s="8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8" customHeight="1">
      <c r="A851" s="8"/>
      <c r="B851" s="8"/>
      <c r="C851" s="7"/>
      <c r="D851" s="7"/>
      <c r="E851" s="7"/>
      <c r="F851" s="7"/>
      <c r="G851" s="7"/>
      <c r="H851" s="7"/>
      <c r="I851" s="7"/>
      <c r="J851" s="8"/>
      <c r="K851" s="8"/>
      <c r="L851" s="8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8" customHeight="1">
      <c r="A852" s="8"/>
      <c r="B852" s="8"/>
      <c r="C852" s="7"/>
      <c r="D852" s="7"/>
      <c r="E852" s="7"/>
      <c r="F852" s="7"/>
      <c r="G852" s="7"/>
      <c r="H852" s="7"/>
      <c r="I852" s="7"/>
      <c r="J852" s="8"/>
      <c r="K852" s="8"/>
      <c r="L852" s="8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8" customHeight="1">
      <c r="A853" s="8"/>
      <c r="B853" s="8"/>
      <c r="C853" s="7"/>
      <c r="D853" s="7"/>
      <c r="E853" s="7"/>
      <c r="F853" s="7"/>
      <c r="G853" s="7"/>
      <c r="H853" s="7"/>
      <c r="I853" s="7"/>
      <c r="J853" s="8"/>
      <c r="K853" s="8"/>
      <c r="L853" s="8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8" customHeight="1">
      <c r="A854" s="8"/>
      <c r="B854" s="8"/>
      <c r="C854" s="7"/>
      <c r="D854" s="7"/>
      <c r="E854" s="7"/>
      <c r="F854" s="7"/>
      <c r="G854" s="7"/>
      <c r="H854" s="7"/>
      <c r="I854" s="7"/>
      <c r="J854" s="8"/>
      <c r="K854" s="8"/>
      <c r="L854" s="8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8" customHeight="1">
      <c r="A855" s="8"/>
      <c r="B855" s="8"/>
      <c r="C855" s="7"/>
      <c r="D855" s="7"/>
      <c r="E855" s="7"/>
      <c r="F855" s="7"/>
      <c r="G855" s="7"/>
      <c r="H855" s="7"/>
      <c r="I855" s="7"/>
      <c r="J855" s="8"/>
      <c r="K855" s="8"/>
      <c r="L855" s="8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8" customHeight="1">
      <c r="A856" s="8"/>
      <c r="B856" s="8"/>
      <c r="C856" s="7"/>
      <c r="D856" s="7"/>
      <c r="E856" s="7"/>
      <c r="F856" s="7"/>
      <c r="G856" s="7"/>
      <c r="H856" s="7"/>
      <c r="I856" s="7"/>
      <c r="J856" s="8"/>
      <c r="K856" s="8"/>
      <c r="L856" s="8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8" customHeight="1">
      <c r="A857" s="8"/>
      <c r="B857" s="8"/>
      <c r="C857" s="7"/>
      <c r="D857" s="7"/>
      <c r="E857" s="7"/>
      <c r="F857" s="7"/>
      <c r="G857" s="7"/>
      <c r="H857" s="7"/>
      <c r="I857" s="7"/>
      <c r="J857" s="8"/>
      <c r="K857" s="8"/>
      <c r="L857" s="8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8" customHeight="1">
      <c r="A858" s="8"/>
      <c r="B858" s="8"/>
      <c r="C858" s="7"/>
      <c r="D858" s="7"/>
      <c r="E858" s="7"/>
      <c r="F858" s="7"/>
      <c r="G858" s="7"/>
      <c r="H858" s="7"/>
      <c r="I858" s="7"/>
      <c r="J858" s="8"/>
      <c r="K858" s="8"/>
      <c r="L858" s="8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8" customHeight="1">
      <c r="A859" s="8"/>
      <c r="B859" s="8"/>
      <c r="C859" s="7"/>
      <c r="D859" s="7"/>
      <c r="E859" s="7"/>
      <c r="F859" s="7"/>
      <c r="G859" s="7"/>
      <c r="H859" s="7"/>
      <c r="I859" s="7"/>
      <c r="J859" s="8"/>
      <c r="K859" s="8"/>
      <c r="L859" s="8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8" customHeight="1">
      <c r="A860" s="8"/>
      <c r="B860" s="8"/>
      <c r="C860" s="7"/>
      <c r="D860" s="7"/>
      <c r="E860" s="7"/>
      <c r="F860" s="7"/>
      <c r="G860" s="7"/>
      <c r="H860" s="7"/>
      <c r="I860" s="7"/>
      <c r="J860" s="8"/>
      <c r="K860" s="8"/>
      <c r="L860" s="8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8" customHeight="1">
      <c r="A861" s="8"/>
      <c r="B861" s="8"/>
      <c r="C861" s="7"/>
      <c r="D861" s="7"/>
      <c r="E861" s="7"/>
      <c r="F861" s="7"/>
      <c r="G861" s="7"/>
      <c r="H861" s="7"/>
      <c r="I861" s="7"/>
      <c r="J861" s="8"/>
      <c r="K861" s="8"/>
      <c r="L861" s="8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8" customHeight="1">
      <c r="A862" s="8"/>
      <c r="B862" s="8"/>
      <c r="C862" s="7"/>
      <c r="D862" s="7"/>
      <c r="E862" s="7"/>
      <c r="F862" s="7"/>
      <c r="G862" s="7"/>
      <c r="H862" s="7"/>
      <c r="I862" s="7"/>
      <c r="J862" s="8"/>
      <c r="K862" s="8"/>
      <c r="L862" s="8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8" customHeight="1">
      <c r="A863" s="8"/>
      <c r="B863" s="8"/>
      <c r="C863" s="7"/>
      <c r="D863" s="7"/>
      <c r="E863" s="7"/>
      <c r="F863" s="7"/>
      <c r="G863" s="7"/>
      <c r="H863" s="7"/>
      <c r="I863" s="7"/>
      <c r="J863" s="8"/>
      <c r="K863" s="8"/>
      <c r="L863" s="8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8" customHeight="1">
      <c r="A864" s="8"/>
      <c r="B864" s="8"/>
      <c r="C864" s="7"/>
      <c r="D864" s="7"/>
      <c r="E864" s="7"/>
      <c r="F864" s="7"/>
      <c r="G864" s="7"/>
      <c r="H864" s="7"/>
      <c r="I864" s="7"/>
      <c r="J864" s="8"/>
      <c r="K864" s="8"/>
      <c r="L864" s="8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8" customHeight="1">
      <c r="A865" s="8"/>
      <c r="B865" s="8"/>
      <c r="C865" s="7"/>
      <c r="D865" s="7"/>
      <c r="E865" s="7"/>
      <c r="F865" s="7"/>
      <c r="G865" s="7"/>
      <c r="H865" s="7"/>
      <c r="I865" s="7"/>
      <c r="J865" s="8"/>
      <c r="K865" s="8"/>
      <c r="L865" s="8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8" customHeight="1">
      <c r="A866" s="8"/>
      <c r="B866" s="8"/>
      <c r="C866" s="7"/>
      <c r="D866" s="7"/>
      <c r="E866" s="7"/>
      <c r="F866" s="7"/>
      <c r="G866" s="7"/>
      <c r="H866" s="7"/>
      <c r="I866" s="7"/>
      <c r="J866" s="8"/>
      <c r="K866" s="8"/>
      <c r="L866" s="8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8" customHeight="1">
      <c r="A867" s="8"/>
      <c r="B867" s="8"/>
      <c r="C867" s="7"/>
      <c r="D867" s="7"/>
      <c r="E867" s="7"/>
      <c r="F867" s="7"/>
      <c r="G867" s="7"/>
      <c r="H867" s="7"/>
      <c r="I867" s="7"/>
      <c r="J867" s="8"/>
      <c r="K867" s="8"/>
      <c r="L867" s="8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8" customHeight="1">
      <c r="A868" s="8"/>
      <c r="B868" s="8"/>
      <c r="C868" s="7"/>
      <c r="D868" s="7"/>
      <c r="E868" s="7"/>
      <c r="F868" s="7"/>
      <c r="G868" s="7"/>
      <c r="H868" s="7"/>
      <c r="I868" s="7"/>
      <c r="J868" s="8"/>
      <c r="K868" s="8"/>
      <c r="L868" s="8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8" customHeight="1">
      <c r="A869" s="8"/>
      <c r="B869" s="8"/>
      <c r="C869" s="7"/>
      <c r="D869" s="7"/>
      <c r="E869" s="7"/>
      <c r="F869" s="7"/>
      <c r="G869" s="7"/>
      <c r="H869" s="7"/>
      <c r="I869" s="7"/>
      <c r="J869" s="8"/>
      <c r="K869" s="8"/>
      <c r="L869" s="8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8" customHeight="1">
      <c r="A870" s="8"/>
      <c r="B870" s="8"/>
      <c r="C870" s="7"/>
      <c r="D870" s="7"/>
      <c r="E870" s="7"/>
      <c r="F870" s="7"/>
      <c r="G870" s="7"/>
      <c r="H870" s="7"/>
      <c r="I870" s="7"/>
      <c r="J870" s="8"/>
      <c r="K870" s="8"/>
      <c r="L870" s="8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8" customHeight="1">
      <c r="A871" s="8"/>
      <c r="B871" s="8"/>
      <c r="C871" s="7"/>
      <c r="D871" s="7"/>
      <c r="E871" s="7"/>
      <c r="F871" s="7"/>
      <c r="G871" s="7"/>
      <c r="H871" s="7"/>
      <c r="I871" s="7"/>
      <c r="J871" s="8"/>
      <c r="K871" s="8"/>
      <c r="L871" s="8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8" customHeight="1">
      <c r="A872" s="8"/>
      <c r="B872" s="8"/>
      <c r="C872" s="7"/>
      <c r="D872" s="7"/>
      <c r="E872" s="7"/>
      <c r="F872" s="7"/>
      <c r="G872" s="7"/>
      <c r="H872" s="7"/>
      <c r="I872" s="7"/>
      <c r="J872" s="8"/>
      <c r="K872" s="8"/>
      <c r="L872" s="8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8" customHeight="1">
      <c r="A873" s="8"/>
      <c r="B873" s="8"/>
      <c r="C873" s="7"/>
      <c r="D873" s="7"/>
      <c r="E873" s="7"/>
      <c r="F873" s="7"/>
      <c r="G873" s="7"/>
      <c r="H873" s="7"/>
      <c r="I873" s="7"/>
      <c r="J873" s="8"/>
      <c r="K873" s="8"/>
      <c r="L873" s="8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8" customHeight="1">
      <c r="A874" s="8"/>
      <c r="B874" s="8"/>
      <c r="C874" s="7"/>
      <c r="D874" s="7"/>
      <c r="E874" s="7"/>
      <c r="F874" s="7"/>
      <c r="G874" s="7"/>
      <c r="H874" s="7"/>
      <c r="I874" s="7"/>
      <c r="J874" s="8"/>
      <c r="K874" s="8"/>
      <c r="L874" s="8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8" customHeight="1">
      <c r="A875" s="8"/>
      <c r="B875" s="8"/>
      <c r="C875" s="7"/>
      <c r="D875" s="7"/>
      <c r="E875" s="7"/>
      <c r="F875" s="7"/>
      <c r="G875" s="7"/>
      <c r="H875" s="7"/>
      <c r="I875" s="7"/>
      <c r="J875" s="8"/>
      <c r="K875" s="8"/>
      <c r="L875" s="8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8" customHeight="1">
      <c r="A876" s="8"/>
      <c r="B876" s="8"/>
      <c r="C876" s="7"/>
      <c r="D876" s="7"/>
      <c r="E876" s="7"/>
      <c r="F876" s="7"/>
      <c r="G876" s="7"/>
      <c r="H876" s="7"/>
      <c r="I876" s="7"/>
      <c r="J876" s="8"/>
      <c r="K876" s="8"/>
      <c r="L876" s="8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8" customHeight="1">
      <c r="A877" s="8"/>
      <c r="B877" s="8"/>
      <c r="C877" s="7"/>
      <c r="D877" s="7"/>
      <c r="E877" s="7"/>
      <c r="F877" s="7"/>
      <c r="G877" s="7"/>
      <c r="H877" s="7"/>
      <c r="I877" s="7"/>
      <c r="J877" s="8"/>
      <c r="K877" s="8"/>
      <c r="L877" s="8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8" customHeight="1">
      <c r="A878" s="8"/>
      <c r="B878" s="8"/>
      <c r="C878" s="7"/>
      <c r="D878" s="7"/>
      <c r="E878" s="7"/>
      <c r="F878" s="7"/>
      <c r="G878" s="7"/>
      <c r="H878" s="7"/>
      <c r="I878" s="7"/>
      <c r="J878" s="8"/>
      <c r="K878" s="8"/>
      <c r="L878" s="8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8" customHeight="1">
      <c r="A879" s="8"/>
      <c r="B879" s="8"/>
      <c r="C879" s="7"/>
      <c r="D879" s="7"/>
      <c r="E879" s="7"/>
      <c r="F879" s="7"/>
      <c r="G879" s="7"/>
      <c r="H879" s="7"/>
      <c r="I879" s="7"/>
      <c r="J879" s="8"/>
      <c r="K879" s="8"/>
      <c r="L879" s="8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8" customHeight="1">
      <c r="A880" s="8"/>
      <c r="B880" s="8"/>
      <c r="C880" s="7"/>
      <c r="D880" s="7"/>
      <c r="E880" s="7"/>
      <c r="F880" s="7"/>
      <c r="G880" s="7"/>
      <c r="H880" s="7"/>
      <c r="I880" s="7"/>
      <c r="J880" s="8"/>
      <c r="K880" s="8"/>
      <c r="L880" s="8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8" customHeight="1">
      <c r="A881" s="8"/>
      <c r="B881" s="8"/>
      <c r="C881" s="7"/>
      <c r="D881" s="7"/>
      <c r="E881" s="7"/>
      <c r="F881" s="7"/>
      <c r="G881" s="7"/>
      <c r="H881" s="7"/>
      <c r="I881" s="7"/>
      <c r="J881" s="8"/>
      <c r="K881" s="8"/>
      <c r="L881" s="8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8" customHeight="1">
      <c r="A882" s="8"/>
      <c r="B882" s="8"/>
      <c r="C882" s="7"/>
      <c r="D882" s="7"/>
      <c r="E882" s="7"/>
      <c r="F882" s="7"/>
      <c r="G882" s="7"/>
      <c r="H882" s="7"/>
      <c r="I882" s="7"/>
      <c r="J882" s="8"/>
      <c r="K882" s="8"/>
      <c r="L882" s="8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8" customHeight="1">
      <c r="A883" s="8"/>
      <c r="B883" s="8"/>
      <c r="C883" s="7"/>
      <c r="D883" s="7"/>
      <c r="E883" s="7"/>
      <c r="F883" s="7"/>
      <c r="G883" s="7"/>
      <c r="H883" s="7"/>
      <c r="I883" s="7"/>
      <c r="J883" s="8"/>
      <c r="K883" s="8"/>
      <c r="L883" s="8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8" customHeight="1">
      <c r="A884" s="8"/>
      <c r="B884" s="8"/>
      <c r="C884" s="7"/>
      <c r="D884" s="7"/>
      <c r="E884" s="7"/>
      <c r="F884" s="7"/>
      <c r="G884" s="7"/>
      <c r="H884" s="7"/>
      <c r="I884" s="7"/>
      <c r="J884" s="8"/>
      <c r="K884" s="8"/>
      <c r="L884" s="8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8" customHeight="1">
      <c r="A885" s="8"/>
      <c r="B885" s="8"/>
      <c r="C885" s="7"/>
      <c r="D885" s="7"/>
      <c r="E885" s="7"/>
      <c r="F885" s="7"/>
      <c r="G885" s="7"/>
      <c r="H885" s="7"/>
      <c r="I885" s="7"/>
      <c r="J885" s="8"/>
      <c r="K885" s="8"/>
      <c r="L885" s="8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8" customHeight="1">
      <c r="A886" s="8"/>
      <c r="B886" s="8"/>
      <c r="C886" s="7"/>
      <c r="D886" s="7"/>
      <c r="E886" s="7"/>
      <c r="F886" s="7"/>
      <c r="G886" s="7"/>
      <c r="H886" s="7"/>
      <c r="I886" s="7"/>
      <c r="J886" s="8"/>
      <c r="K886" s="8"/>
      <c r="L886" s="8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8" customHeight="1">
      <c r="A887" s="8"/>
      <c r="B887" s="8"/>
      <c r="C887" s="7"/>
      <c r="D887" s="7"/>
      <c r="E887" s="7"/>
      <c r="F887" s="7"/>
      <c r="G887" s="7"/>
      <c r="H887" s="7"/>
      <c r="I887" s="7"/>
      <c r="J887" s="8"/>
      <c r="K887" s="8"/>
      <c r="L887" s="8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8" customHeight="1">
      <c r="A888" s="8"/>
      <c r="B888" s="8"/>
      <c r="C888" s="7"/>
      <c r="D888" s="7"/>
      <c r="E888" s="7"/>
      <c r="F888" s="7"/>
      <c r="G888" s="7"/>
      <c r="H888" s="7"/>
      <c r="I888" s="7"/>
      <c r="J888" s="8"/>
      <c r="K888" s="8"/>
      <c r="L888" s="8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8" customHeight="1">
      <c r="A889" s="8"/>
      <c r="B889" s="8"/>
      <c r="C889" s="7"/>
      <c r="D889" s="7"/>
      <c r="E889" s="7"/>
      <c r="F889" s="7"/>
      <c r="G889" s="7"/>
      <c r="H889" s="7"/>
      <c r="I889" s="7"/>
      <c r="J889" s="8"/>
      <c r="K889" s="8"/>
      <c r="L889" s="8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8" customHeight="1">
      <c r="A890" s="8"/>
      <c r="B890" s="8"/>
      <c r="C890" s="7"/>
      <c r="D890" s="7"/>
      <c r="E890" s="7"/>
      <c r="F890" s="7"/>
      <c r="G890" s="7"/>
      <c r="H890" s="7"/>
      <c r="I890" s="7"/>
      <c r="J890" s="8"/>
      <c r="K890" s="8"/>
      <c r="L890" s="8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8" customHeight="1">
      <c r="A891" s="8"/>
      <c r="B891" s="8"/>
      <c r="C891" s="7"/>
      <c r="D891" s="7"/>
      <c r="E891" s="7"/>
      <c r="F891" s="7"/>
      <c r="G891" s="7"/>
      <c r="H891" s="7"/>
      <c r="I891" s="7"/>
      <c r="J891" s="8"/>
      <c r="K891" s="8"/>
      <c r="L891" s="8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8" customHeight="1">
      <c r="A892" s="8"/>
      <c r="B892" s="8"/>
      <c r="C892" s="7"/>
      <c r="D892" s="7"/>
      <c r="E892" s="7"/>
      <c r="F892" s="7"/>
      <c r="G892" s="7"/>
      <c r="H892" s="7"/>
      <c r="I892" s="7"/>
      <c r="J892" s="8"/>
      <c r="K892" s="8"/>
      <c r="L892" s="8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8" customHeight="1">
      <c r="A893" s="8"/>
      <c r="B893" s="8"/>
      <c r="C893" s="7"/>
      <c r="D893" s="7"/>
      <c r="E893" s="7"/>
      <c r="F893" s="7"/>
      <c r="G893" s="7"/>
      <c r="H893" s="7"/>
      <c r="I893" s="7"/>
      <c r="J893" s="8"/>
      <c r="K893" s="8"/>
      <c r="L893" s="8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8" customHeight="1">
      <c r="A894" s="8"/>
      <c r="B894" s="8"/>
      <c r="C894" s="7"/>
      <c r="D894" s="7"/>
      <c r="E894" s="7"/>
      <c r="F894" s="7"/>
      <c r="G894" s="7"/>
      <c r="H894" s="7"/>
      <c r="I894" s="7"/>
      <c r="J894" s="8"/>
      <c r="K894" s="8"/>
      <c r="L894" s="8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8" customHeight="1">
      <c r="A895" s="8"/>
      <c r="B895" s="8"/>
      <c r="C895" s="7"/>
      <c r="D895" s="7"/>
      <c r="E895" s="7"/>
      <c r="F895" s="7"/>
      <c r="G895" s="7"/>
      <c r="H895" s="7"/>
      <c r="I895" s="7"/>
      <c r="J895" s="8"/>
      <c r="K895" s="8"/>
      <c r="L895" s="8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8" customHeight="1">
      <c r="A896" s="8"/>
      <c r="B896" s="8"/>
      <c r="C896" s="7"/>
      <c r="D896" s="7"/>
      <c r="E896" s="7"/>
      <c r="F896" s="7"/>
      <c r="G896" s="7"/>
      <c r="H896" s="7"/>
      <c r="I896" s="7"/>
      <c r="J896" s="8"/>
      <c r="K896" s="8"/>
      <c r="L896" s="8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8" customHeight="1">
      <c r="A897" s="8"/>
      <c r="B897" s="8"/>
      <c r="C897" s="7"/>
      <c r="D897" s="7"/>
      <c r="E897" s="7"/>
      <c r="F897" s="7"/>
      <c r="G897" s="7"/>
      <c r="H897" s="7"/>
      <c r="I897" s="7"/>
      <c r="J897" s="8"/>
      <c r="K897" s="8"/>
      <c r="L897" s="8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8" customHeight="1">
      <c r="A898" s="8"/>
      <c r="B898" s="8"/>
      <c r="C898" s="7"/>
      <c r="D898" s="7"/>
      <c r="E898" s="7"/>
      <c r="F898" s="7"/>
      <c r="G898" s="7"/>
      <c r="H898" s="7"/>
      <c r="I898" s="7"/>
      <c r="J898" s="8"/>
      <c r="K898" s="8"/>
      <c r="L898" s="8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8" customHeight="1">
      <c r="A899" s="8"/>
      <c r="B899" s="8"/>
      <c r="C899" s="7"/>
      <c r="D899" s="7"/>
      <c r="E899" s="7"/>
      <c r="F899" s="7"/>
      <c r="G899" s="7"/>
      <c r="H899" s="7"/>
      <c r="I899" s="7"/>
      <c r="J899" s="8"/>
      <c r="K899" s="8"/>
      <c r="L899" s="8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8" customHeight="1">
      <c r="A900" s="8"/>
      <c r="B900" s="8"/>
      <c r="C900" s="7"/>
      <c r="D900" s="7"/>
      <c r="E900" s="7"/>
      <c r="F900" s="7"/>
      <c r="G900" s="7"/>
      <c r="H900" s="7"/>
      <c r="I900" s="7"/>
      <c r="J900" s="8"/>
      <c r="K900" s="8"/>
      <c r="L900" s="8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8" customHeight="1">
      <c r="A901" s="8"/>
      <c r="B901" s="8"/>
      <c r="C901" s="7"/>
      <c r="D901" s="7"/>
      <c r="E901" s="7"/>
      <c r="F901" s="7"/>
      <c r="G901" s="7"/>
      <c r="H901" s="7"/>
      <c r="I901" s="7"/>
      <c r="J901" s="8"/>
      <c r="K901" s="8"/>
      <c r="L901" s="8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8" customHeight="1">
      <c r="A902" s="8"/>
      <c r="B902" s="8"/>
      <c r="C902" s="7"/>
      <c r="D902" s="7"/>
      <c r="E902" s="7"/>
      <c r="F902" s="7"/>
      <c r="G902" s="7"/>
      <c r="H902" s="7"/>
      <c r="I902" s="7"/>
      <c r="J902" s="8"/>
      <c r="K902" s="8"/>
      <c r="L902" s="8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8" customHeight="1">
      <c r="A903" s="8"/>
      <c r="B903" s="8"/>
      <c r="C903" s="7"/>
      <c r="D903" s="7"/>
      <c r="E903" s="7"/>
      <c r="F903" s="7"/>
      <c r="G903" s="7"/>
      <c r="H903" s="7"/>
      <c r="I903" s="7"/>
      <c r="J903" s="8"/>
      <c r="K903" s="8"/>
      <c r="L903" s="8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8" customHeight="1">
      <c r="A904" s="8"/>
      <c r="B904" s="8"/>
      <c r="C904" s="7"/>
      <c r="D904" s="7"/>
      <c r="E904" s="7"/>
      <c r="F904" s="7"/>
      <c r="G904" s="7"/>
      <c r="H904" s="7"/>
      <c r="I904" s="7"/>
      <c r="J904" s="8"/>
      <c r="K904" s="8"/>
      <c r="L904" s="8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8" customHeight="1">
      <c r="A905" s="8"/>
      <c r="B905" s="8"/>
      <c r="C905" s="7"/>
      <c r="D905" s="7"/>
      <c r="E905" s="7"/>
      <c r="F905" s="7"/>
      <c r="G905" s="7"/>
      <c r="H905" s="7"/>
      <c r="I905" s="7"/>
      <c r="J905" s="8"/>
      <c r="K905" s="8"/>
      <c r="L905" s="8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8" customHeight="1">
      <c r="A906" s="8"/>
      <c r="B906" s="8"/>
      <c r="C906" s="7"/>
      <c r="D906" s="7"/>
      <c r="E906" s="7"/>
      <c r="F906" s="7"/>
      <c r="G906" s="7"/>
      <c r="H906" s="7"/>
      <c r="I906" s="7"/>
      <c r="J906" s="8"/>
      <c r="K906" s="8"/>
      <c r="L906" s="8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8" customHeight="1">
      <c r="A907" s="8"/>
      <c r="B907" s="8"/>
      <c r="C907" s="7"/>
      <c r="D907" s="7"/>
      <c r="E907" s="7"/>
      <c r="F907" s="7"/>
      <c r="G907" s="7"/>
      <c r="H907" s="7"/>
      <c r="I907" s="7"/>
      <c r="J907" s="8"/>
      <c r="K907" s="8"/>
      <c r="L907" s="8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8" customHeight="1">
      <c r="A908" s="8"/>
      <c r="B908" s="8"/>
      <c r="C908" s="7"/>
      <c r="D908" s="7"/>
      <c r="E908" s="7"/>
      <c r="F908" s="7"/>
      <c r="G908" s="7"/>
      <c r="H908" s="7"/>
      <c r="I908" s="7"/>
      <c r="J908" s="8"/>
      <c r="K908" s="8"/>
      <c r="L908" s="8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8" customHeight="1">
      <c r="A909" s="8"/>
      <c r="B909" s="8"/>
      <c r="C909" s="7"/>
      <c r="D909" s="7"/>
      <c r="E909" s="7"/>
      <c r="F909" s="7"/>
      <c r="G909" s="7"/>
      <c r="H909" s="7"/>
      <c r="I909" s="7"/>
      <c r="J909" s="8"/>
      <c r="K909" s="8"/>
      <c r="L909" s="8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8" customHeight="1">
      <c r="A910" s="8"/>
      <c r="B910" s="8"/>
      <c r="C910" s="7"/>
      <c r="D910" s="7"/>
      <c r="E910" s="7"/>
      <c r="F910" s="7"/>
      <c r="G910" s="7"/>
      <c r="H910" s="7"/>
      <c r="I910" s="7"/>
      <c r="J910" s="8"/>
      <c r="K910" s="8"/>
      <c r="L910" s="8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8" customHeight="1">
      <c r="A911" s="8"/>
      <c r="B911" s="8"/>
      <c r="C911" s="7"/>
      <c r="D911" s="7"/>
      <c r="E911" s="7"/>
      <c r="F911" s="7"/>
      <c r="G911" s="7"/>
      <c r="H911" s="7"/>
      <c r="I911" s="7"/>
      <c r="J911" s="8"/>
      <c r="K911" s="8"/>
      <c r="L911" s="8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8" customHeight="1">
      <c r="A912" s="8"/>
      <c r="B912" s="8"/>
      <c r="C912" s="7"/>
      <c r="D912" s="7"/>
      <c r="E912" s="7"/>
      <c r="F912" s="7"/>
      <c r="G912" s="7"/>
      <c r="H912" s="7"/>
      <c r="I912" s="7"/>
      <c r="J912" s="8"/>
      <c r="K912" s="8"/>
      <c r="L912" s="8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8" customHeight="1">
      <c r="A913" s="8"/>
      <c r="B913" s="8"/>
      <c r="C913" s="7"/>
      <c r="D913" s="7"/>
      <c r="E913" s="7"/>
      <c r="F913" s="7"/>
      <c r="G913" s="7"/>
      <c r="H913" s="7"/>
      <c r="I913" s="7"/>
      <c r="J913" s="8"/>
      <c r="K913" s="8"/>
      <c r="L913" s="8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8" customHeight="1">
      <c r="A914" s="8"/>
      <c r="B914" s="8"/>
      <c r="C914" s="7"/>
      <c r="D914" s="7"/>
      <c r="E914" s="7"/>
      <c r="F914" s="7"/>
      <c r="G914" s="7"/>
      <c r="H914" s="7"/>
      <c r="I914" s="7"/>
      <c r="J914" s="8"/>
      <c r="K914" s="8"/>
      <c r="L914" s="8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8" customHeight="1">
      <c r="A915" s="8"/>
      <c r="B915" s="8"/>
      <c r="C915" s="7"/>
      <c r="D915" s="7"/>
      <c r="E915" s="7"/>
      <c r="F915" s="7"/>
      <c r="G915" s="7"/>
      <c r="H915" s="7"/>
      <c r="I915" s="7"/>
      <c r="J915" s="8"/>
      <c r="K915" s="8"/>
      <c r="L915" s="8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8" customHeight="1">
      <c r="A916" s="8"/>
      <c r="B916" s="8"/>
      <c r="C916" s="7"/>
      <c r="D916" s="7"/>
      <c r="E916" s="7"/>
      <c r="F916" s="7"/>
      <c r="G916" s="7"/>
      <c r="H916" s="7"/>
      <c r="I916" s="7"/>
      <c r="J916" s="8"/>
      <c r="K916" s="8"/>
      <c r="L916" s="8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8" customHeight="1">
      <c r="A917" s="8"/>
      <c r="B917" s="8"/>
      <c r="C917" s="7"/>
      <c r="D917" s="7"/>
      <c r="E917" s="7"/>
      <c r="F917" s="7"/>
      <c r="G917" s="7"/>
      <c r="H917" s="7"/>
      <c r="I917" s="7"/>
      <c r="J917" s="8"/>
      <c r="K917" s="8"/>
      <c r="L917" s="8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8" customHeight="1">
      <c r="A918" s="8"/>
      <c r="B918" s="8"/>
      <c r="C918" s="7"/>
      <c r="D918" s="7"/>
      <c r="E918" s="7"/>
      <c r="F918" s="7"/>
      <c r="G918" s="7"/>
      <c r="H918" s="7"/>
      <c r="I918" s="7"/>
      <c r="J918" s="8"/>
      <c r="K918" s="8"/>
      <c r="L918" s="8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8" customHeight="1">
      <c r="A919" s="8"/>
      <c r="B919" s="8"/>
      <c r="C919" s="7"/>
      <c r="D919" s="7"/>
      <c r="E919" s="7"/>
      <c r="F919" s="7"/>
      <c r="G919" s="7"/>
      <c r="H919" s="7"/>
      <c r="I919" s="7"/>
      <c r="J919" s="8"/>
      <c r="K919" s="8"/>
      <c r="L919" s="8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8" customHeight="1">
      <c r="A920" s="8"/>
      <c r="B920" s="8"/>
      <c r="C920" s="7"/>
      <c r="D920" s="7"/>
      <c r="E920" s="7"/>
      <c r="F920" s="7"/>
      <c r="G920" s="7"/>
      <c r="H920" s="7"/>
      <c r="I920" s="7"/>
      <c r="J920" s="8"/>
      <c r="K920" s="8"/>
      <c r="L920" s="8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8" customHeight="1">
      <c r="A921" s="8"/>
      <c r="B921" s="8"/>
      <c r="C921" s="7"/>
      <c r="D921" s="7"/>
      <c r="E921" s="7"/>
      <c r="F921" s="7"/>
      <c r="G921" s="7"/>
      <c r="H921" s="7"/>
      <c r="I921" s="7"/>
      <c r="J921" s="8"/>
      <c r="K921" s="8"/>
      <c r="L921" s="8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8" customHeight="1">
      <c r="A922" s="8"/>
      <c r="B922" s="8"/>
      <c r="C922" s="7"/>
      <c r="D922" s="7"/>
      <c r="E922" s="7"/>
      <c r="F922" s="7"/>
      <c r="G922" s="7"/>
      <c r="H922" s="7"/>
      <c r="I922" s="7"/>
      <c r="J922" s="8"/>
      <c r="K922" s="8"/>
      <c r="L922" s="8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8" customHeight="1">
      <c r="A923" s="8"/>
      <c r="B923" s="8"/>
      <c r="C923" s="7"/>
      <c r="D923" s="7"/>
      <c r="E923" s="7"/>
      <c r="F923" s="7"/>
      <c r="G923" s="7"/>
      <c r="H923" s="7"/>
      <c r="I923" s="7"/>
      <c r="J923" s="8"/>
      <c r="K923" s="8"/>
      <c r="L923" s="8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8" customHeight="1">
      <c r="A924" s="8"/>
      <c r="B924" s="8"/>
      <c r="C924" s="7"/>
      <c r="D924" s="7"/>
      <c r="E924" s="7"/>
      <c r="F924" s="7"/>
      <c r="G924" s="7"/>
      <c r="H924" s="7"/>
      <c r="I924" s="7"/>
      <c r="J924" s="8"/>
      <c r="K924" s="8"/>
      <c r="L924" s="8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8" customHeight="1">
      <c r="A925" s="8"/>
      <c r="B925" s="8"/>
      <c r="C925" s="7"/>
      <c r="D925" s="7"/>
      <c r="E925" s="7"/>
      <c r="F925" s="7"/>
      <c r="G925" s="7"/>
      <c r="H925" s="7"/>
      <c r="I925" s="7"/>
      <c r="J925" s="8"/>
      <c r="K925" s="8"/>
      <c r="L925" s="8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8" customHeight="1">
      <c r="A926" s="8"/>
      <c r="B926" s="8"/>
      <c r="C926" s="7"/>
      <c r="D926" s="7"/>
      <c r="E926" s="7"/>
      <c r="F926" s="7"/>
      <c r="G926" s="7"/>
      <c r="H926" s="7"/>
      <c r="I926" s="7"/>
      <c r="J926" s="8"/>
      <c r="K926" s="8"/>
      <c r="L926" s="8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8" customHeight="1">
      <c r="A927" s="8"/>
      <c r="B927" s="8"/>
      <c r="C927" s="7"/>
      <c r="D927" s="7"/>
      <c r="E927" s="7"/>
      <c r="F927" s="7"/>
      <c r="G927" s="7"/>
      <c r="H927" s="7"/>
      <c r="I927" s="7"/>
      <c r="J927" s="8"/>
      <c r="K927" s="8"/>
      <c r="L927" s="8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8" customHeight="1">
      <c r="A928" s="8"/>
      <c r="B928" s="8"/>
      <c r="C928" s="7"/>
      <c r="D928" s="7"/>
      <c r="E928" s="7"/>
      <c r="F928" s="7"/>
      <c r="G928" s="7"/>
      <c r="H928" s="7"/>
      <c r="I928" s="7"/>
      <c r="J928" s="8"/>
      <c r="K928" s="8"/>
      <c r="L928" s="8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8" customHeight="1">
      <c r="A929" s="8"/>
      <c r="B929" s="8"/>
      <c r="C929" s="7"/>
      <c r="D929" s="7"/>
      <c r="E929" s="7"/>
      <c r="F929" s="7"/>
      <c r="G929" s="7"/>
      <c r="H929" s="7"/>
      <c r="I929" s="7"/>
      <c r="J929" s="8"/>
      <c r="K929" s="8"/>
      <c r="L929" s="8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8" customHeight="1">
      <c r="A930" s="8"/>
      <c r="B930" s="8"/>
      <c r="C930" s="7"/>
      <c r="D930" s="7"/>
      <c r="E930" s="7"/>
      <c r="F930" s="7"/>
      <c r="G930" s="7"/>
      <c r="H930" s="7"/>
      <c r="I930" s="7"/>
      <c r="J930" s="8"/>
      <c r="K930" s="8"/>
      <c r="L930" s="8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8" customHeight="1">
      <c r="A931" s="8"/>
      <c r="B931" s="8"/>
      <c r="C931" s="7"/>
      <c r="D931" s="7"/>
      <c r="E931" s="7"/>
      <c r="F931" s="7"/>
      <c r="G931" s="7"/>
      <c r="H931" s="7"/>
      <c r="I931" s="7"/>
      <c r="J931" s="8"/>
      <c r="K931" s="8"/>
      <c r="L931" s="8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8" customHeight="1">
      <c r="A932" s="8"/>
      <c r="B932" s="8"/>
      <c r="C932" s="7"/>
      <c r="D932" s="7"/>
      <c r="E932" s="7"/>
      <c r="F932" s="7"/>
      <c r="G932" s="7"/>
      <c r="H932" s="7"/>
      <c r="I932" s="7"/>
      <c r="J932" s="8"/>
      <c r="K932" s="8"/>
      <c r="L932" s="8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8" customHeight="1">
      <c r="A933" s="8"/>
      <c r="B933" s="8"/>
      <c r="C933" s="7"/>
      <c r="D933" s="7"/>
      <c r="E933" s="7"/>
      <c r="F933" s="7"/>
      <c r="G933" s="7"/>
      <c r="H933" s="7"/>
      <c r="I933" s="7"/>
      <c r="J933" s="8"/>
      <c r="K933" s="8"/>
      <c r="L933" s="8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8" customHeight="1">
      <c r="A934" s="8"/>
      <c r="B934" s="8"/>
      <c r="C934" s="7"/>
      <c r="D934" s="7"/>
      <c r="E934" s="7"/>
      <c r="F934" s="7"/>
      <c r="G934" s="7"/>
      <c r="H934" s="7"/>
      <c r="I934" s="7"/>
      <c r="J934" s="8"/>
      <c r="K934" s="8"/>
      <c r="L934" s="8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8" customHeight="1">
      <c r="A935" s="8"/>
      <c r="B935" s="8"/>
      <c r="C935" s="7"/>
      <c r="D935" s="7"/>
      <c r="E935" s="7"/>
      <c r="F935" s="7"/>
      <c r="G935" s="7"/>
      <c r="H935" s="7"/>
      <c r="I935" s="7"/>
      <c r="J935" s="8"/>
      <c r="K935" s="8"/>
      <c r="L935" s="8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8" customHeight="1">
      <c r="A936" s="8"/>
      <c r="B936" s="8"/>
      <c r="C936" s="7"/>
      <c r="D936" s="7"/>
      <c r="E936" s="7"/>
      <c r="F936" s="7"/>
      <c r="G936" s="7"/>
      <c r="H936" s="7"/>
      <c r="I936" s="7"/>
      <c r="J936" s="8"/>
      <c r="K936" s="8"/>
      <c r="L936" s="8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8" customHeight="1">
      <c r="A937" s="8"/>
      <c r="B937" s="8"/>
      <c r="C937" s="7"/>
      <c r="D937" s="7"/>
      <c r="E937" s="7"/>
      <c r="F937" s="7"/>
      <c r="G937" s="7"/>
      <c r="H937" s="7"/>
      <c r="I937" s="7"/>
      <c r="J937" s="8"/>
      <c r="K937" s="8"/>
      <c r="L937" s="8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8" customHeight="1">
      <c r="A938" s="8"/>
      <c r="B938" s="8"/>
      <c r="C938" s="7"/>
      <c r="D938" s="7"/>
      <c r="E938" s="7"/>
      <c r="F938" s="7"/>
      <c r="G938" s="7"/>
      <c r="H938" s="7"/>
      <c r="I938" s="7"/>
      <c r="J938" s="8"/>
      <c r="K938" s="8"/>
      <c r="L938" s="8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8" customHeight="1">
      <c r="A939" s="8"/>
      <c r="B939" s="8"/>
      <c r="C939" s="7"/>
      <c r="D939" s="7"/>
      <c r="E939" s="7"/>
      <c r="F939" s="7"/>
      <c r="G939" s="7"/>
      <c r="H939" s="7"/>
      <c r="I939" s="7"/>
      <c r="J939" s="8"/>
      <c r="K939" s="8"/>
      <c r="L939" s="8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8" customHeight="1">
      <c r="A940" s="8"/>
      <c r="B940" s="8"/>
      <c r="C940" s="7"/>
      <c r="D940" s="7"/>
      <c r="E940" s="7"/>
      <c r="F940" s="7"/>
      <c r="G940" s="7"/>
      <c r="H940" s="7"/>
      <c r="I940" s="7"/>
      <c r="J940" s="8"/>
      <c r="K940" s="8"/>
      <c r="L940" s="8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8" customHeight="1">
      <c r="A941" s="8"/>
      <c r="B941" s="8"/>
      <c r="C941" s="7"/>
      <c r="D941" s="7"/>
      <c r="E941" s="7"/>
      <c r="F941" s="7"/>
      <c r="G941" s="7"/>
      <c r="H941" s="7"/>
      <c r="I941" s="7"/>
      <c r="J941" s="8"/>
      <c r="K941" s="8"/>
      <c r="L941" s="8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8" customHeight="1">
      <c r="A942" s="8"/>
      <c r="B942" s="8"/>
      <c r="C942" s="7"/>
      <c r="D942" s="7"/>
      <c r="E942" s="7"/>
      <c r="F942" s="7"/>
      <c r="G942" s="7"/>
      <c r="H942" s="7"/>
      <c r="I942" s="7"/>
      <c r="J942" s="8"/>
      <c r="K942" s="8"/>
      <c r="L942" s="8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8" customHeight="1">
      <c r="A943" s="8"/>
      <c r="B943" s="8"/>
      <c r="C943" s="7"/>
      <c r="D943" s="7"/>
      <c r="E943" s="7"/>
      <c r="F943" s="7"/>
      <c r="G943" s="7"/>
      <c r="H943" s="7"/>
      <c r="I943" s="7"/>
      <c r="J943" s="8"/>
      <c r="K943" s="8"/>
      <c r="L943" s="8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8" customHeight="1">
      <c r="A944" s="8"/>
      <c r="B944" s="8"/>
      <c r="C944" s="7"/>
      <c r="D944" s="7"/>
      <c r="E944" s="7"/>
      <c r="F944" s="7"/>
      <c r="G944" s="7"/>
      <c r="H944" s="7"/>
      <c r="I944" s="7"/>
      <c r="J944" s="8"/>
      <c r="K944" s="8"/>
      <c r="L944" s="8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8" customHeight="1">
      <c r="A945" s="8"/>
      <c r="B945" s="8"/>
      <c r="C945" s="7"/>
      <c r="D945" s="7"/>
      <c r="E945" s="7"/>
      <c r="F945" s="7"/>
      <c r="G945" s="7"/>
      <c r="H945" s="7"/>
      <c r="I945" s="7"/>
      <c r="J945" s="8"/>
      <c r="K945" s="8"/>
      <c r="L945" s="8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8" customHeight="1">
      <c r="A946" s="8"/>
      <c r="B946" s="8"/>
      <c r="C946" s="7"/>
      <c r="D946" s="7"/>
      <c r="E946" s="7"/>
      <c r="F946" s="7"/>
      <c r="G946" s="7"/>
      <c r="H946" s="7"/>
      <c r="I946" s="7"/>
      <c r="J946" s="8"/>
      <c r="K946" s="8"/>
      <c r="L946" s="8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8" customHeight="1">
      <c r="A947" s="8"/>
      <c r="B947" s="8"/>
      <c r="C947" s="7"/>
      <c r="D947" s="7"/>
      <c r="E947" s="7"/>
      <c r="F947" s="7"/>
      <c r="G947" s="7"/>
      <c r="H947" s="7"/>
      <c r="I947" s="7"/>
      <c r="J947" s="8"/>
      <c r="K947" s="8"/>
      <c r="L947" s="8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8" customHeight="1">
      <c r="A948" s="8"/>
      <c r="B948" s="8"/>
      <c r="C948" s="7"/>
      <c r="D948" s="7"/>
      <c r="E948" s="7"/>
      <c r="F948" s="7"/>
      <c r="G948" s="7"/>
      <c r="H948" s="7"/>
      <c r="I948" s="7"/>
      <c r="J948" s="8"/>
      <c r="K948" s="8"/>
      <c r="L948" s="8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8" customHeight="1">
      <c r="A949" s="8"/>
      <c r="B949" s="8"/>
      <c r="C949" s="7"/>
      <c r="D949" s="7"/>
      <c r="E949" s="7"/>
      <c r="F949" s="7"/>
      <c r="G949" s="7"/>
      <c r="H949" s="7"/>
      <c r="I949" s="7"/>
      <c r="J949" s="8"/>
      <c r="K949" s="8"/>
      <c r="L949" s="8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8" customHeight="1">
      <c r="A950" s="8"/>
      <c r="B950" s="8"/>
      <c r="C950" s="7"/>
      <c r="D950" s="7"/>
      <c r="E950" s="7"/>
      <c r="F950" s="7"/>
      <c r="G950" s="7"/>
      <c r="H950" s="7"/>
      <c r="I950" s="7"/>
      <c r="J950" s="8"/>
      <c r="K950" s="8"/>
      <c r="L950" s="8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8" customHeight="1">
      <c r="A951" s="8"/>
      <c r="B951" s="8"/>
      <c r="C951" s="7"/>
      <c r="D951" s="7"/>
      <c r="E951" s="7"/>
      <c r="F951" s="7"/>
      <c r="G951" s="7"/>
      <c r="H951" s="7"/>
      <c r="I951" s="7"/>
      <c r="J951" s="8"/>
      <c r="K951" s="8"/>
      <c r="L951" s="8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8" customHeight="1">
      <c r="A952" s="8"/>
      <c r="B952" s="8"/>
      <c r="C952" s="7"/>
      <c r="D952" s="7"/>
      <c r="E952" s="7"/>
      <c r="F952" s="7"/>
      <c r="G952" s="7"/>
      <c r="H952" s="7"/>
      <c r="I952" s="7"/>
      <c r="J952" s="8"/>
      <c r="K952" s="8"/>
      <c r="L952" s="8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8" customHeight="1">
      <c r="A953" s="8"/>
      <c r="B953" s="8"/>
      <c r="C953" s="7"/>
      <c r="D953" s="7"/>
      <c r="E953" s="7"/>
      <c r="F953" s="7"/>
      <c r="G953" s="7"/>
      <c r="H953" s="7"/>
      <c r="I953" s="7"/>
      <c r="J953" s="8"/>
      <c r="K953" s="8"/>
      <c r="L953" s="8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8" customHeight="1">
      <c r="A954" s="8"/>
      <c r="B954" s="8"/>
      <c r="C954" s="7"/>
      <c r="D954" s="7"/>
      <c r="E954" s="7"/>
      <c r="F954" s="7"/>
      <c r="G954" s="7"/>
      <c r="H954" s="7"/>
      <c r="I954" s="7"/>
      <c r="J954" s="8"/>
      <c r="K954" s="8"/>
      <c r="L954" s="8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8" customHeight="1">
      <c r="A955" s="8"/>
      <c r="B955" s="8"/>
      <c r="C955" s="7"/>
      <c r="D955" s="7"/>
      <c r="E955" s="7"/>
      <c r="F955" s="7"/>
      <c r="G955" s="7"/>
      <c r="H955" s="7"/>
      <c r="I955" s="7"/>
      <c r="J955" s="8"/>
      <c r="K955" s="8"/>
      <c r="L955" s="8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8" customHeight="1">
      <c r="A956" s="8"/>
      <c r="B956" s="8"/>
      <c r="C956" s="7"/>
      <c r="D956" s="7"/>
      <c r="E956" s="7"/>
      <c r="F956" s="7"/>
      <c r="G956" s="7"/>
      <c r="H956" s="7"/>
      <c r="I956" s="7"/>
      <c r="J956" s="8"/>
      <c r="K956" s="8"/>
      <c r="L956" s="8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8" customHeight="1">
      <c r="A957" s="8"/>
      <c r="B957" s="8"/>
      <c r="C957" s="7"/>
      <c r="D957" s="7"/>
      <c r="E957" s="7"/>
      <c r="F957" s="7"/>
      <c r="G957" s="7"/>
      <c r="H957" s="7"/>
      <c r="I957" s="7"/>
      <c r="J957" s="8"/>
      <c r="K957" s="8"/>
      <c r="L957" s="8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8" customHeight="1">
      <c r="A958" s="8"/>
      <c r="B958" s="8"/>
      <c r="C958" s="7"/>
      <c r="D958" s="7"/>
      <c r="E958" s="7"/>
      <c r="F958" s="7"/>
      <c r="G958" s="7"/>
      <c r="H958" s="7"/>
      <c r="I958" s="7"/>
      <c r="J958" s="8"/>
      <c r="K958" s="8"/>
      <c r="L958" s="8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8" customHeight="1">
      <c r="A959" s="8"/>
      <c r="B959" s="8"/>
      <c r="C959" s="7"/>
      <c r="D959" s="7"/>
      <c r="E959" s="7"/>
      <c r="F959" s="7"/>
      <c r="G959" s="7"/>
      <c r="H959" s="7"/>
      <c r="I959" s="7"/>
      <c r="J959" s="8"/>
      <c r="K959" s="8"/>
      <c r="L959" s="8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8" customHeight="1">
      <c r="A960" s="8"/>
      <c r="B960" s="8"/>
      <c r="C960" s="7"/>
      <c r="D960" s="7"/>
      <c r="E960" s="7"/>
      <c r="F960" s="7"/>
      <c r="G960" s="7"/>
      <c r="H960" s="7"/>
      <c r="I960" s="7"/>
      <c r="J960" s="8"/>
      <c r="K960" s="8"/>
      <c r="L960" s="8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8" customHeight="1">
      <c r="A961" s="8"/>
      <c r="B961" s="8"/>
      <c r="C961" s="7"/>
      <c r="D961" s="7"/>
      <c r="E961" s="7"/>
      <c r="F961" s="7"/>
      <c r="G961" s="7"/>
      <c r="H961" s="7"/>
      <c r="I961" s="7"/>
      <c r="J961" s="8"/>
      <c r="K961" s="8"/>
      <c r="L961" s="8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8" customHeight="1">
      <c r="A962" s="8"/>
      <c r="B962" s="8"/>
      <c r="C962" s="7"/>
      <c r="D962" s="7"/>
      <c r="E962" s="7"/>
      <c r="F962" s="7"/>
      <c r="G962" s="7"/>
      <c r="H962" s="7"/>
      <c r="I962" s="7"/>
      <c r="J962" s="8"/>
      <c r="K962" s="8"/>
      <c r="L962" s="8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8" customHeight="1">
      <c r="A963" s="8"/>
      <c r="B963" s="8"/>
      <c r="C963" s="7"/>
      <c r="D963" s="7"/>
      <c r="E963" s="7"/>
      <c r="F963" s="7"/>
      <c r="G963" s="7"/>
      <c r="H963" s="7"/>
      <c r="I963" s="7"/>
      <c r="J963" s="8"/>
      <c r="K963" s="8"/>
      <c r="L963" s="8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8" customHeight="1">
      <c r="A964" s="8"/>
      <c r="B964" s="8"/>
      <c r="C964" s="7"/>
      <c r="D964" s="7"/>
      <c r="E964" s="7"/>
      <c r="F964" s="7"/>
      <c r="G964" s="7"/>
      <c r="H964" s="7"/>
      <c r="I964" s="7"/>
      <c r="J964" s="8"/>
      <c r="K964" s="8"/>
      <c r="L964" s="8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8" customHeight="1">
      <c r="A965" s="8"/>
      <c r="B965" s="8"/>
      <c r="C965" s="7"/>
      <c r="D965" s="7"/>
      <c r="E965" s="7"/>
      <c r="F965" s="7"/>
      <c r="G965" s="7"/>
      <c r="H965" s="7"/>
      <c r="I965" s="7"/>
      <c r="J965" s="8"/>
      <c r="K965" s="8"/>
      <c r="L965" s="8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8" customHeight="1">
      <c r="A966" s="8"/>
      <c r="B966" s="8"/>
      <c r="C966" s="7"/>
      <c r="D966" s="7"/>
      <c r="E966" s="7"/>
      <c r="F966" s="7"/>
      <c r="G966" s="7"/>
      <c r="H966" s="7"/>
      <c r="I966" s="7"/>
      <c r="J966" s="8"/>
      <c r="K966" s="8"/>
      <c r="L966" s="8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8" customHeight="1">
      <c r="A967" s="8"/>
      <c r="B967" s="8"/>
      <c r="C967" s="7"/>
      <c r="D967" s="7"/>
      <c r="E967" s="7"/>
      <c r="F967" s="7"/>
      <c r="G967" s="7"/>
      <c r="H967" s="7"/>
      <c r="I967" s="7"/>
      <c r="J967" s="8"/>
      <c r="K967" s="8"/>
      <c r="L967" s="8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8" customHeight="1">
      <c r="A968" s="8"/>
      <c r="B968" s="8"/>
      <c r="C968" s="7"/>
      <c r="D968" s="7"/>
      <c r="E968" s="7"/>
      <c r="F968" s="7"/>
      <c r="G968" s="7"/>
      <c r="H968" s="7"/>
      <c r="I968" s="7"/>
      <c r="J968" s="8"/>
      <c r="K968" s="8"/>
      <c r="L968" s="8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8" customHeight="1">
      <c r="A969" s="8"/>
      <c r="B969" s="8"/>
      <c r="C969" s="7"/>
      <c r="D969" s="7"/>
      <c r="E969" s="7"/>
      <c r="F969" s="7"/>
      <c r="G969" s="7"/>
      <c r="H969" s="7"/>
      <c r="I969" s="7"/>
      <c r="J969" s="8"/>
      <c r="K969" s="8"/>
      <c r="L969" s="8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8" customHeight="1">
      <c r="A970" s="8"/>
      <c r="B970" s="8"/>
      <c r="C970" s="7"/>
      <c r="D970" s="7"/>
      <c r="E970" s="7"/>
      <c r="F970" s="7"/>
      <c r="G970" s="7"/>
      <c r="H970" s="7"/>
      <c r="I970" s="7"/>
      <c r="J970" s="8"/>
      <c r="K970" s="8"/>
      <c r="L970" s="8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8" customHeight="1">
      <c r="A971" s="8"/>
      <c r="B971" s="8"/>
      <c r="C971" s="7"/>
      <c r="D971" s="7"/>
      <c r="E971" s="7"/>
      <c r="F971" s="7"/>
      <c r="G971" s="7"/>
      <c r="H971" s="7"/>
      <c r="I971" s="7"/>
      <c r="J971" s="8"/>
      <c r="K971" s="8"/>
      <c r="L971" s="8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8" customHeight="1">
      <c r="A972" s="8"/>
      <c r="B972" s="8"/>
      <c r="C972" s="7"/>
      <c r="D972" s="7"/>
      <c r="E972" s="7"/>
      <c r="F972" s="7"/>
      <c r="G972" s="7"/>
      <c r="H972" s="7"/>
      <c r="I972" s="7"/>
      <c r="J972" s="8"/>
      <c r="K972" s="8"/>
      <c r="L972" s="8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8" customHeight="1">
      <c r="A973" s="8"/>
      <c r="B973" s="8"/>
      <c r="C973" s="7"/>
      <c r="D973" s="7"/>
      <c r="E973" s="7"/>
      <c r="F973" s="7"/>
      <c r="G973" s="7"/>
      <c r="H973" s="7"/>
      <c r="I973" s="7"/>
      <c r="J973" s="8"/>
      <c r="K973" s="8"/>
      <c r="L973" s="8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8" customHeight="1">
      <c r="A974" s="8"/>
      <c r="B974" s="8"/>
      <c r="C974" s="7"/>
      <c r="D974" s="7"/>
      <c r="E974" s="7"/>
      <c r="F974" s="7"/>
      <c r="G974" s="7"/>
      <c r="H974" s="7"/>
      <c r="I974" s="7"/>
      <c r="J974" s="8"/>
      <c r="K974" s="8"/>
      <c r="L974" s="8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8" customHeight="1">
      <c r="A975" s="8"/>
      <c r="B975" s="8"/>
      <c r="C975" s="7"/>
      <c r="D975" s="7"/>
      <c r="E975" s="7"/>
      <c r="F975" s="7"/>
      <c r="G975" s="7"/>
      <c r="H975" s="7"/>
      <c r="I975" s="7"/>
      <c r="J975" s="8"/>
      <c r="K975" s="8"/>
      <c r="L975" s="8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8" customHeight="1">
      <c r="A976" s="8"/>
      <c r="B976" s="8"/>
      <c r="C976" s="7"/>
      <c r="D976" s="7"/>
      <c r="E976" s="7"/>
      <c r="F976" s="7"/>
      <c r="G976" s="7"/>
      <c r="H976" s="7"/>
      <c r="I976" s="7"/>
      <c r="J976" s="8"/>
      <c r="K976" s="8"/>
      <c r="L976" s="8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8" customHeight="1">
      <c r="A977" s="8"/>
      <c r="B977" s="8"/>
      <c r="C977" s="7"/>
      <c r="D977" s="7"/>
      <c r="E977" s="7"/>
      <c r="F977" s="7"/>
      <c r="G977" s="7"/>
      <c r="H977" s="7"/>
      <c r="I977" s="7"/>
      <c r="J977" s="8"/>
      <c r="K977" s="8"/>
      <c r="L977" s="8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8" customHeight="1">
      <c r="A978" s="8"/>
      <c r="B978" s="8"/>
      <c r="C978" s="7"/>
      <c r="D978" s="7"/>
      <c r="E978" s="7"/>
      <c r="F978" s="7"/>
      <c r="G978" s="7"/>
      <c r="H978" s="7"/>
      <c r="I978" s="7"/>
      <c r="J978" s="8"/>
      <c r="K978" s="8"/>
      <c r="L978" s="8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8" customHeight="1">
      <c r="A979" s="8"/>
      <c r="B979" s="8"/>
      <c r="C979" s="7"/>
      <c r="D979" s="7"/>
      <c r="E979" s="7"/>
      <c r="F979" s="7"/>
      <c r="G979" s="7"/>
      <c r="H979" s="7"/>
      <c r="I979" s="7"/>
      <c r="J979" s="8"/>
      <c r="K979" s="8"/>
      <c r="L979" s="8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8" customHeight="1">
      <c r="A980" s="8"/>
      <c r="B980" s="8"/>
      <c r="C980" s="7"/>
      <c r="D980" s="7"/>
      <c r="E980" s="7"/>
      <c r="F980" s="7"/>
      <c r="G980" s="7"/>
      <c r="H980" s="7"/>
      <c r="I980" s="7"/>
      <c r="J980" s="8"/>
      <c r="K980" s="8"/>
      <c r="L980" s="8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8" customHeight="1">
      <c r="A981" s="8"/>
      <c r="B981" s="8"/>
      <c r="C981" s="7"/>
      <c r="D981" s="7"/>
      <c r="E981" s="7"/>
      <c r="F981" s="7"/>
      <c r="G981" s="7"/>
      <c r="H981" s="7"/>
      <c r="I981" s="7"/>
      <c r="J981" s="8"/>
      <c r="K981" s="8"/>
      <c r="L981" s="8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8" customHeight="1">
      <c r="A982" s="8"/>
      <c r="B982" s="8"/>
      <c r="C982" s="7"/>
      <c r="D982" s="7"/>
      <c r="E982" s="7"/>
      <c r="F982" s="7"/>
      <c r="G982" s="7"/>
      <c r="H982" s="7"/>
      <c r="I982" s="7"/>
      <c r="J982" s="8"/>
      <c r="K982" s="8"/>
      <c r="L982" s="8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8" customHeight="1">
      <c r="A983" s="8"/>
      <c r="B983" s="8"/>
      <c r="C983" s="7"/>
      <c r="D983" s="7"/>
      <c r="E983" s="7"/>
      <c r="F983" s="7"/>
      <c r="G983" s="7"/>
      <c r="H983" s="7"/>
      <c r="I983" s="7"/>
      <c r="J983" s="8"/>
      <c r="K983" s="8"/>
      <c r="L983" s="8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8" customHeight="1">
      <c r="A984" s="8"/>
      <c r="B984" s="8"/>
      <c r="C984" s="7"/>
      <c r="D984" s="7"/>
      <c r="E984" s="7"/>
      <c r="F984" s="7"/>
      <c r="G984" s="7"/>
      <c r="H984" s="7"/>
      <c r="I984" s="7"/>
      <c r="J984" s="8"/>
      <c r="K984" s="8"/>
      <c r="L984" s="8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8" customHeight="1">
      <c r="A985" s="8"/>
      <c r="B985" s="8"/>
      <c r="C985" s="7"/>
      <c r="D985" s="7"/>
      <c r="E985" s="7"/>
      <c r="F985" s="7"/>
      <c r="G985" s="7"/>
      <c r="H985" s="7"/>
      <c r="I985" s="7"/>
      <c r="J985" s="8"/>
      <c r="K985" s="8"/>
      <c r="L985" s="8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8" customHeight="1">
      <c r="A986" s="8"/>
      <c r="B986" s="8"/>
      <c r="C986" s="7"/>
      <c r="D986" s="7"/>
      <c r="E986" s="7"/>
      <c r="F986" s="7"/>
      <c r="G986" s="7"/>
      <c r="H986" s="7"/>
      <c r="I986" s="7"/>
      <c r="J986" s="8"/>
      <c r="K986" s="8"/>
      <c r="L986" s="8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8" customHeight="1">
      <c r="A987" s="8"/>
      <c r="B987" s="8"/>
      <c r="C987" s="7"/>
      <c r="D987" s="7"/>
      <c r="E987" s="7"/>
      <c r="F987" s="7"/>
      <c r="G987" s="7"/>
      <c r="H987" s="7"/>
      <c r="I987" s="7"/>
      <c r="J987" s="8"/>
      <c r="K987" s="8"/>
      <c r="L987" s="8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8" customHeight="1">
      <c r="A988" s="8"/>
      <c r="B988" s="8"/>
      <c r="C988" s="7"/>
      <c r="D988" s="7"/>
      <c r="E988" s="7"/>
      <c r="F988" s="7"/>
      <c r="G988" s="7"/>
      <c r="H988" s="7"/>
      <c r="I988" s="7"/>
      <c r="J988" s="8"/>
      <c r="K988" s="8"/>
      <c r="L988" s="8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8" customHeight="1">
      <c r="A989" s="8"/>
      <c r="B989" s="8"/>
      <c r="C989" s="7"/>
      <c r="D989" s="7"/>
      <c r="E989" s="7"/>
      <c r="F989" s="7"/>
      <c r="G989" s="7"/>
      <c r="H989" s="7"/>
      <c r="I989" s="7"/>
      <c r="J989" s="8"/>
      <c r="K989" s="8"/>
      <c r="L989" s="8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8" customHeight="1">
      <c r="A990" s="8"/>
      <c r="B990" s="8"/>
      <c r="C990" s="7"/>
      <c r="D990" s="7"/>
      <c r="E990" s="7"/>
      <c r="F990" s="7"/>
      <c r="G990" s="7"/>
      <c r="H990" s="7"/>
      <c r="I990" s="7"/>
      <c r="J990" s="8"/>
      <c r="K990" s="8"/>
      <c r="L990" s="8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8" customHeight="1">
      <c r="A991" s="8"/>
      <c r="B991" s="8"/>
      <c r="C991" s="7"/>
      <c r="D991" s="7"/>
      <c r="E991" s="7"/>
      <c r="F991" s="7"/>
      <c r="G991" s="7"/>
      <c r="H991" s="7"/>
      <c r="I991" s="7"/>
      <c r="J991" s="8"/>
      <c r="K991" s="8"/>
      <c r="L991" s="8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8" customHeight="1">
      <c r="A992" s="8"/>
      <c r="B992" s="8"/>
      <c r="C992" s="7"/>
      <c r="D992" s="7"/>
      <c r="E992" s="7"/>
      <c r="F992" s="7"/>
      <c r="G992" s="7"/>
      <c r="H992" s="7"/>
      <c r="I992" s="7"/>
      <c r="J992" s="8"/>
      <c r="K992" s="8"/>
      <c r="L992" s="8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8" customHeight="1">
      <c r="A993" s="8"/>
      <c r="B993" s="8"/>
      <c r="C993" s="7"/>
      <c r="D993" s="7"/>
      <c r="E993" s="7"/>
      <c r="F993" s="7"/>
      <c r="G993" s="7"/>
      <c r="H993" s="7"/>
      <c r="I993" s="7"/>
      <c r="J993" s="8"/>
      <c r="K993" s="8"/>
      <c r="L993" s="8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8" customHeight="1">
      <c r="A994" s="8"/>
      <c r="B994" s="8"/>
      <c r="C994" s="7"/>
      <c r="D994" s="7"/>
      <c r="E994" s="7"/>
      <c r="F994" s="7"/>
      <c r="G994" s="7"/>
      <c r="H994" s="7"/>
      <c r="I994" s="7"/>
      <c r="J994" s="8"/>
      <c r="K994" s="8"/>
      <c r="L994" s="8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8" customHeight="1">
      <c r="A995" s="8"/>
      <c r="B995" s="8"/>
      <c r="C995" s="7"/>
      <c r="D995" s="7"/>
      <c r="E995" s="7"/>
      <c r="F995" s="7"/>
      <c r="G995" s="7"/>
      <c r="H995" s="7"/>
      <c r="I995" s="7"/>
      <c r="J995" s="8"/>
      <c r="K995" s="8"/>
      <c r="L995" s="8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8" customHeight="1">
      <c r="A996" s="8"/>
      <c r="B996" s="8"/>
      <c r="C996" s="7"/>
      <c r="D996" s="7"/>
      <c r="E996" s="7"/>
      <c r="F996" s="7"/>
      <c r="G996" s="7"/>
      <c r="H996" s="7"/>
      <c r="I996" s="7"/>
      <c r="J996" s="8"/>
      <c r="K996" s="8"/>
      <c r="L996" s="8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8" customHeight="1">
      <c r="A997" s="8"/>
      <c r="B997" s="8"/>
      <c r="C997" s="7"/>
      <c r="D997" s="7"/>
      <c r="E997" s="7"/>
      <c r="F997" s="7"/>
      <c r="G997" s="7"/>
      <c r="H997" s="7"/>
      <c r="I997" s="7"/>
      <c r="J997" s="8"/>
      <c r="K997" s="8"/>
      <c r="L997" s="8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8" customHeight="1">
      <c r="A998" s="8"/>
      <c r="B998" s="8"/>
      <c r="C998" s="7"/>
      <c r="D998" s="7"/>
      <c r="E998" s="7"/>
      <c r="F998" s="7"/>
      <c r="G998" s="7"/>
      <c r="H998" s="7"/>
      <c r="I998" s="7"/>
      <c r="J998" s="8"/>
      <c r="K998" s="8"/>
      <c r="L998" s="8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8" customHeight="1">
      <c r="A999" s="8"/>
      <c r="B999" s="8"/>
      <c r="C999" s="7"/>
      <c r="D999" s="7"/>
      <c r="E999" s="7"/>
      <c r="F999" s="7"/>
      <c r="G999" s="7"/>
      <c r="H999" s="7"/>
      <c r="I999" s="7"/>
      <c r="J999" s="8"/>
      <c r="K999" s="8"/>
      <c r="L999" s="8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8" customHeight="1">
      <c r="A1000" s="8"/>
      <c r="B1000" s="8"/>
      <c r="C1000" s="7"/>
      <c r="D1000" s="7"/>
      <c r="E1000" s="7"/>
      <c r="F1000" s="7"/>
      <c r="G1000" s="7"/>
      <c r="H1000" s="7"/>
      <c r="I1000" s="7"/>
      <c r="J1000" s="8"/>
      <c r="K1000" s="8"/>
      <c r="L1000" s="8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5">
    <mergeCell ref="K1:L1"/>
    <mergeCell ref="M1:M2"/>
    <mergeCell ref="I27:J27"/>
    <mergeCell ref="I28:J28"/>
    <mergeCell ref="I29:J2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YEON</dc:creator>
  <cp:keywords/>
  <dc:description/>
  <cp:lastModifiedBy/>
  <cp:revision/>
  <dcterms:created xsi:type="dcterms:W3CDTF">2023-07-07T09:10:40Z</dcterms:created>
  <dcterms:modified xsi:type="dcterms:W3CDTF">2024-02-22T13:02:08Z</dcterms:modified>
  <cp:category/>
  <cp:contentStatus/>
</cp:coreProperties>
</file>