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Anvay Document\ANVAY-PORTFOLIO-WEBSITE\assets\excel\"/>
    </mc:Choice>
  </mc:AlternateContent>
  <xr:revisionPtr revIDLastSave="0" documentId="13_ncr:1_{B0A739FE-37F7-412A-B50E-4E500AFE7C9F}" xr6:coauthVersionLast="47" xr6:coauthVersionMax="47" xr10:uidLastSave="{00000000-0000-0000-0000-000000000000}"/>
  <bookViews>
    <workbookView xWindow="-108" yWindow="-108" windowWidth="23256" windowHeight="12456" tabRatio="867" xr2:uid="{00000000-000D-0000-FFFF-FFFF00000000}"/>
  </bookViews>
  <sheets>
    <sheet name="Cover" sheetId="11" r:id="rId1"/>
    <sheet name="Overview" sheetId="2" r:id="rId2"/>
    <sheet name="Bond Data" sheetId="3" r:id="rId3"/>
    <sheet name="Cash Flows" sheetId="4" r:id="rId4"/>
    <sheet name="Valuation" sheetId="5" r:id="rId5"/>
    <sheet name="Sensitivity" sheetId="6" r:id="rId6"/>
    <sheet name="Scenarios" sheetId="7" r:id="rId7"/>
    <sheet name="Credit Risk" sheetId="8" r:id="rId8"/>
    <sheet name="Relative Valuation" sheetId="9" r:id="rId9"/>
    <sheet name="Risk Review" sheetId="10" r:id="rId10"/>
    <sheet name="DASHBOARD" sheetId="12" r:id="rId11"/>
  </sheets>
  <definedNames>
    <definedName name="Accrued_Interest">Overview!$F$13</definedName>
    <definedName name="clean_Price">'Cash Flows'!$C$20</definedName>
    <definedName name="Convexity">Valuation!$C$25</definedName>
    <definedName name="Coupon_Amount">Overview!$F$6</definedName>
    <definedName name="Coupon_Frequency">Overview!$C$9</definedName>
    <definedName name="Coupon_Rate">Overview!$C$8</definedName>
    <definedName name="Current_Market_Pirce">Overview!$C$12</definedName>
    <definedName name="Current_Yield">Valuation!$C$18</definedName>
    <definedName name="Current_YTM">Overview!$C$13</definedName>
    <definedName name="Day_Count_Conention">Overview!$C$14</definedName>
    <definedName name="Days_Accrued">Overview!$F$12</definedName>
    <definedName name="Dirty_Price">'Cash Flows'!$C$18</definedName>
    <definedName name="Face_Value">Overview!$C$7</definedName>
    <definedName name="Issue_Date">Overview!$C$10</definedName>
    <definedName name="Macaulay_Duration">Valuation!$C$20</definedName>
    <definedName name="Maturity_Date">Overview!$C$11</definedName>
    <definedName name="Modified_Duration">Valuation!$C$21</definedName>
    <definedName name="_xlnm.Print_Area" localSheetId="7">'Credit Risk'!$A$1:$I$40</definedName>
    <definedName name="Remaining_Tenor">Overview!$F$8</definedName>
    <definedName name="Settlement_Date">Overview!$C$6</definedName>
    <definedName name="Total_Duration">'Cash Flows'!$K$14</definedName>
    <definedName name="Total_Present_Value">'Cash Flows'!$J$14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2" i="8" l="1"/>
  <c r="G42" i="8" s="1"/>
  <c r="H42" i="8" s="1"/>
  <c r="E42" i="8"/>
  <c r="D42" i="8"/>
  <c r="E6" i="9"/>
  <c r="D16" i="10"/>
  <c r="C16" i="10"/>
  <c r="C28" i="8"/>
  <c r="H29" i="8"/>
  <c r="H19" i="8"/>
  <c r="E13" i="7" l="1"/>
  <c r="C13" i="5"/>
  <c r="I9" i="5"/>
  <c r="L4" i="4" l="1"/>
  <c r="F9" i="3"/>
  <c r="C13" i="3"/>
  <c r="C12" i="3"/>
  <c r="C11" i="3"/>
  <c r="G10" i="9"/>
  <c r="G7" i="9"/>
  <c r="G8" i="9"/>
  <c r="G9" i="9"/>
  <c r="F6" i="9"/>
  <c r="G6" i="9" s="1"/>
  <c r="F7" i="3"/>
  <c r="F16" i="3"/>
  <c r="C23" i="8"/>
  <c r="E6" i="8"/>
  <c r="D6" i="8"/>
  <c r="H21" i="8"/>
  <c r="G30" i="8"/>
  <c r="D20" i="8"/>
  <c r="H7" i="8"/>
  <c r="H13" i="8"/>
  <c r="H11" i="8"/>
  <c r="H9" i="8"/>
  <c r="H5" i="8"/>
  <c r="H26" i="8"/>
  <c r="H24" i="8"/>
  <c r="I39" i="8"/>
  <c r="I40" i="8"/>
  <c r="I38" i="8"/>
  <c r="I36" i="8"/>
  <c r="I35" i="8"/>
  <c r="I34" i="8"/>
  <c r="I37" i="8"/>
  <c r="F27" i="8"/>
  <c r="G27" i="8"/>
  <c r="E27" i="8"/>
  <c r="D27" i="8"/>
  <c r="G25" i="8"/>
  <c r="F25" i="8"/>
  <c r="E25" i="8"/>
  <c r="D25" i="8"/>
  <c r="G22" i="8"/>
  <c r="F22" i="8"/>
  <c r="E22" i="8"/>
  <c r="D22" i="8"/>
  <c r="G20" i="8"/>
  <c r="F20" i="8"/>
  <c r="E20" i="8"/>
  <c r="G14" i="8"/>
  <c r="F14" i="8"/>
  <c r="E14" i="8"/>
  <c r="D14" i="8"/>
  <c r="G12" i="8"/>
  <c r="F12" i="8"/>
  <c r="E12" i="8"/>
  <c r="D12" i="8"/>
  <c r="G10" i="8"/>
  <c r="F10" i="8"/>
  <c r="E10" i="8"/>
  <c r="D10" i="8"/>
  <c r="G8" i="8"/>
  <c r="F8" i="8"/>
  <c r="E8" i="8"/>
  <c r="D8" i="8"/>
  <c r="G6" i="8"/>
  <c r="F6" i="8"/>
  <c r="F30" i="8"/>
  <c r="E30" i="8"/>
  <c r="D30" i="8"/>
  <c r="G23" i="8"/>
  <c r="G28" i="8" s="1"/>
  <c r="C13" i="7"/>
  <c r="C12" i="7"/>
  <c r="D13" i="7"/>
  <c r="E12" i="7"/>
  <c r="D6" i="7"/>
  <c r="D12" i="7" s="1"/>
  <c r="D12" i="6"/>
  <c r="E12" i="6" s="1"/>
  <c r="D11" i="6"/>
  <c r="E11" i="6" s="1"/>
  <c r="D10" i="6"/>
  <c r="E10" i="6" s="1"/>
  <c r="D9" i="6"/>
  <c r="E9" i="6" s="1"/>
  <c r="D8" i="6"/>
  <c r="E8" i="6" s="1"/>
  <c r="D7" i="6"/>
  <c r="E7" i="6" s="1"/>
  <c r="D6" i="6"/>
  <c r="E6" i="6" s="1"/>
  <c r="D5" i="6"/>
  <c r="E5" i="6" s="1"/>
  <c r="D4" i="6"/>
  <c r="E4" i="6" s="1"/>
  <c r="I8" i="5"/>
  <c r="F8" i="5"/>
  <c r="F7" i="5"/>
  <c r="F5" i="5"/>
  <c r="C9" i="5"/>
  <c r="C8" i="5"/>
  <c r="C7" i="5"/>
  <c r="C6" i="5"/>
  <c r="C5" i="5"/>
  <c r="F10" i="2"/>
  <c r="F12" i="2" s="1"/>
  <c r="F13" i="2" s="1"/>
  <c r="C15" i="5" s="1"/>
  <c r="F11" i="2"/>
  <c r="F9" i="2"/>
  <c r="F8" i="2"/>
  <c r="C10" i="5" s="1"/>
  <c r="F7" i="2"/>
  <c r="C14" i="3" s="1"/>
  <c r="F6" i="2"/>
  <c r="F5" i="3"/>
  <c r="F11" i="4"/>
  <c r="D4" i="4"/>
  <c r="E4" i="4" s="1"/>
  <c r="G4" i="4"/>
  <c r="G5" i="4"/>
  <c r="F18" i="3"/>
  <c r="F17" i="3"/>
  <c r="C20" i="3"/>
  <c r="F23" i="8"/>
  <c r="F28" i="8" s="1"/>
  <c r="E23" i="8"/>
  <c r="E28" i="8" s="1"/>
  <c r="D23" i="8"/>
  <c r="D28" i="8" s="1"/>
  <c r="G13" i="4"/>
  <c r="F13" i="4"/>
  <c r="D13" i="4"/>
  <c r="E13" i="4" s="1"/>
  <c r="G12" i="4"/>
  <c r="F12" i="4"/>
  <c r="D12" i="4"/>
  <c r="E12" i="4" s="1"/>
  <c r="G11" i="4"/>
  <c r="D11" i="4"/>
  <c r="E11" i="4" s="1"/>
  <c r="G10" i="4"/>
  <c r="F10" i="4"/>
  <c r="D10" i="4"/>
  <c r="E10" i="4" s="1"/>
  <c r="G9" i="4"/>
  <c r="F9" i="4"/>
  <c r="D9" i="4"/>
  <c r="E9" i="4" s="1"/>
  <c r="G8" i="4"/>
  <c r="F8" i="4"/>
  <c r="D8" i="4"/>
  <c r="E8" i="4" s="1"/>
  <c r="G7" i="4"/>
  <c r="F7" i="4"/>
  <c r="D7" i="4"/>
  <c r="E7" i="4" s="1"/>
  <c r="G6" i="4"/>
  <c r="F6" i="4"/>
  <c r="D6" i="4"/>
  <c r="E6" i="4" s="1"/>
  <c r="F5" i="4"/>
  <c r="D5" i="4"/>
  <c r="E5" i="4" s="1"/>
  <c r="F4" i="4"/>
  <c r="I8" i="9" l="1"/>
  <c r="I9" i="9"/>
  <c r="H9" i="9"/>
  <c r="H7" i="9"/>
  <c r="H8" i="9"/>
  <c r="I10" i="9"/>
  <c r="H10" i="9"/>
  <c r="I7" i="9"/>
  <c r="H12" i="4"/>
  <c r="H13" i="4"/>
  <c r="H11" i="4"/>
  <c r="F6" i="3"/>
  <c r="C14" i="5"/>
  <c r="F9" i="5"/>
  <c r="F14" i="4"/>
  <c r="C19" i="4"/>
  <c r="G14" i="4"/>
  <c r="H5" i="4"/>
  <c r="I4" i="4"/>
  <c r="H6" i="4"/>
  <c r="H9" i="4"/>
  <c r="H7" i="4"/>
  <c r="H4" i="4"/>
  <c r="H10" i="4"/>
  <c r="H8" i="4"/>
  <c r="I9" i="4"/>
  <c r="I10" i="4"/>
  <c r="I5" i="4"/>
  <c r="I13" i="4"/>
  <c r="I12" i="4"/>
  <c r="J12" i="4" s="1"/>
  <c r="I7" i="4"/>
  <c r="I8" i="4"/>
  <c r="I11" i="4"/>
  <c r="I6" i="4"/>
  <c r="J6" i="4" l="1"/>
  <c r="K6" i="4" s="1"/>
  <c r="J13" i="4"/>
  <c r="K13" i="4" s="1"/>
  <c r="J11" i="4"/>
  <c r="L11" i="4" s="1"/>
  <c r="J5" i="4"/>
  <c r="K5" i="4" s="1"/>
  <c r="J9" i="4"/>
  <c r="L9" i="4" s="1"/>
  <c r="J10" i="4"/>
  <c r="K10" i="4" s="1"/>
  <c r="J4" i="4"/>
  <c r="J7" i="4"/>
  <c r="K12" i="4"/>
  <c r="L12" i="4"/>
  <c r="J8" i="4"/>
  <c r="H14" i="4"/>
  <c r="L6" i="4" l="1"/>
  <c r="L13" i="4"/>
  <c r="K11" i="4"/>
  <c r="K9" i="4"/>
  <c r="L5" i="4"/>
  <c r="L10" i="4"/>
  <c r="C18" i="4"/>
  <c r="F8" i="3" s="1"/>
  <c r="J14" i="4"/>
  <c r="K4" i="4"/>
  <c r="K8" i="4"/>
  <c r="L8" i="4"/>
  <c r="K7" i="4"/>
  <c r="L7" i="4"/>
  <c r="K14" i="4" l="1"/>
  <c r="C20" i="5" s="1"/>
  <c r="L14" i="4"/>
  <c r="C25" i="5" s="1"/>
  <c r="F15" i="3" s="1"/>
  <c r="C20" i="4"/>
  <c r="F10" i="3" s="1"/>
  <c r="I5" i="5"/>
  <c r="I6" i="5"/>
  <c r="C12" i="5"/>
  <c r="C21" i="5" l="1"/>
  <c r="I6" i="6" s="1"/>
  <c r="F12" i="3"/>
  <c r="C21" i="4"/>
  <c r="J6" i="6"/>
  <c r="J5" i="6"/>
  <c r="J4" i="6"/>
  <c r="J8" i="6"/>
  <c r="J11" i="6"/>
  <c r="J7" i="6"/>
  <c r="J12" i="6"/>
  <c r="J10" i="6"/>
  <c r="J9" i="6"/>
  <c r="F10" i="6"/>
  <c r="G10" i="6" s="1"/>
  <c r="F8" i="6"/>
  <c r="G8" i="6" s="1"/>
  <c r="F12" i="6"/>
  <c r="G12" i="6" s="1"/>
  <c r="F11" i="6"/>
  <c r="G11" i="6" s="1"/>
  <c r="D14" i="7"/>
  <c r="D15" i="7" s="1"/>
  <c r="D16" i="7" s="1"/>
  <c r="F4" i="6"/>
  <c r="G4" i="6" s="1"/>
  <c r="F5" i="6"/>
  <c r="G5" i="6" s="1"/>
  <c r="F9" i="6"/>
  <c r="G9" i="6" s="1"/>
  <c r="C14" i="7"/>
  <c r="C15" i="7" s="1"/>
  <c r="C16" i="7" s="1"/>
  <c r="F6" i="6"/>
  <c r="G6" i="6" s="1"/>
  <c r="F7" i="6"/>
  <c r="G7" i="6" s="1"/>
  <c r="E14" i="7"/>
  <c r="E15" i="7" s="1"/>
  <c r="E16" i="7" s="1"/>
  <c r="F6" i="5"/>
  <c r="C16" i="5"/>
  <c r="I8" i="6" l="1"/>
  <c r="I12" i="6"/>
  <c r="H8" i="6"/>
  <c r="I11" i="6"/>
  <c r="H9" i="6"/>
  <c r="I7" i="6"/>
  <c r="H7" i="6"/>
  <c r="I5" i="6"/>
  <c r="C23" i="5"/>
  <c r="C24" i="5" s="1"/>
  <c r="I10" i="6"/>
  <c r="H10" i="6"/>
  <c r="C22" i="5"/>
  <c r="H4" i="6"/>
  <c r="H5" i="6"/>
  <c r="I4" i="6"/>
  <c r="H12" i="6"/>
  <c r="I9" i="6"/>
  <c r="H11" i="6"/>
  <c r="H6" i="6"/>
  <c r="I7" i="5"/>
  <c r="F13" i="3"/>
  <c r="D7" i="7"/>
  <c r="E7" i="7"/>
  <c r="C7" i="7"/>
  <c r="C18" i="5"/>
  <c r="F11" i="3" s="1"/>
  <c r="C18" i="6"/>
  <c r="F14" i="3" l="1"/>
  <c r="C1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E13" authorId="0" shapeId="0" xr:uid="{A64CABE3-4A2B-4A52-B2BE-81ED98BCD0A0}">
      <text>
        <r>
          <rPr>
            <b/>
            <sz val="9"/>
            <color indexed="81"/>
            <rFont val="Tahoma"/>
            <family val="2"/>
          </rPr>
          <t>Anvay:</t>
        </r>
        <r>
          <rPr>
            <sz val="9"/>
            <color indexed="81"/>
            <rFont val="Tahoma"/>
            <family val="2"/>
          </rPr>
          <t xml:space="preserve">
When you buy a bond in the secondary market, you must pay the previous owner the interest they earned from 22-Jan to 09-Jun (138 days). This amount is called Accrued Interest, which is ₹27.03.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C18" authorId="0" shapeId="0" xr:uid="{A5813137-0763-41FC-B276-EF030B2D96E1}">
      <text>
        <r>
          <rPr>
            <b/>
            <sz val="9"/>
            <color indexed="81"/>
            <rFont val="Tahoma"/>
            <family val="2"/>
          </rPr>
          <t>Anvay:</t>
        </r>
        <r>
          <rPr>
            <sz val="9"/>
            <color indexed="81"/>
            <rFont val="Tahoma"/>
            <family val="2"/>
          </rPr>
          <t xml:space="preserve">
This is the bond's total present value (PV). If someone buys the bond today, they will have to pay exactly this amount of money to purchase it.</t>
        </r>
      </text>
    </comment>
    <comment ref="C20" authorId="0" shapeId="0" xr:uid="{F76AEE84-3E8E-4399-85EC-5B793D4367B5}">
      <text>
        <r>
          <rPr>
            <b/>
            <sz val="9"/>
            <color indexed="81"/>
            <rFont val="Tahoma"/>
            <family val="2"/>
          </rPr>
          <t>Anvay:</t>
        </r>
        <r>
          <rPr>
            <sz val="9"/>
            <color indexed="81"/>
            <rFont val="Tahoma"/>
            <family val="2"/>
          </rPr>
          <t xml:space="preserve">
This is the bond's actual market price (quoted price), excluding any accrued interest. Notice that it is lower than the ₹1,000 face value. This means the bond is trading at a discount because its market yield (7.75%) is now higher than its coupon rate (7.15%).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F4" authorId="0" shapeId="0" xr:uid="{89D92BD2-0A9D-4DC1-A60B-D1F77EB6A675}">
      <text>
        <r>
          <rPr>
            <b/>
            <sz val="9"/>
            <color indexed="81"/>
            <rFont val="Tahoma"/>
            <family val="2"/>
          </rPr>
          <t>Anvay:</t>
        </r>
        <r>
          <rPr>
            <sz val="9"/>
            <color indexed="81"/>
            <rFont val="Tahoma"/>
            <family val="2"/>
          </rPr>
          <t xml:space="preserve">
Note: 0.31 INR variance between Manual DCF and Excel PRICE function is due to standard ACT/365 compounding conventions over partial periods.</t>
        </r>
      </text>
    </comment>
    <comment ref="C18" authorId="0" shapeId="0" xr:uid="{5B0E02B1-6E52-400F-8FE3-187810F276F4}">
      <text>
        <r>
          <rPr>
            <b/>
            <sz val="9"/>
            <color indexed="81"/>
            <rFont val="Tahoma"/>
            <family val="2"/>
          </rPr>
          <t>Anvay:</t>
        </r>
        <r>
          <rPr>
            <sz val="9"/>
            <color indexed="81"/>
            <rFont val="Tahoma"/>
            <family val="2"/>
          </rPr>
          <t xml:space="preserve">
This is similar to a stock's Dividend Yield. It shows the percentage of cash income you earn based on the bond's current market price (Clean Price). Since the bond is currently trading at a discount and costs only ₹959.40, its Current Yield (7.45%) is higher than its Coupon Rate (7.15%).</t>
        </r>
      </text>
    </comment>
    <comment ref="C20" authorId="0" shapeId="0" xr:uid="{CBFA0EB6-4962-430A-97AE-88AB9D7A4AD6}">
      <text>
        <r>
          <rPr>
            <b/>
            <sz val="9"/>
            <color indexed="81"/>
            <rFont val="Tahoma"/>
            <family val="2"/>
          </rPr>
          <t>Anvay:</t>
        </r>
        <r>
          <rPr>
            <sz val="9"/>
            <color indexed="81"/>
            <rFont val="Tahoma"/>
            <family val="2"/>
          </rPr>
          <t xml:space="preserve">
This simply represents time. When you invest in this bond, you keep receiving coupon (interest) payments over the years. So, instead of waiting until the final maturity date, how long does it effectively take for you to recover your investment through all the bond's cash flows?
For this bond, the answer is 7.04 years. Even though the bond matures in 2036, the regular coupon payments make its effective payback period only about 7 years.</t>
        </r>
      </text>
    </comment>
    <comment ref="C21" authorId="0" shapeId="0" xr:uid="{5AE2A962-0123-43D2-B7BA-952DFFCCE76F}">
      <text>
        <r>
          <rPr>
            <b/>
            <sz val="9"/>
            <color indexed="81"/>
            <rFont val="Tahoma"/>
            <family val="2"/>
          </rPr>
          <t>Anvay:</t>
        </r>
        <r>
          <rPr>
            <sz val="9"/>
            <color indexed="81"/>
            <rFont val="Tahoma"/>
            <family val="2"/>
          </rPr>
          <t xml:space="preserve">
This works like a stock's Beta (β). It is a measure of the bond's interest rate risk. It shows how much the bond's price is expected to change if market interest rates move up or down by 1% (100 basis points).
Here, the Modified Duration (Dmod) is 6.53. This means that if interest rates rise by 1%, the bond's price is expected to fall by about 6.53%. If interest rates fall by 1%, the bond's price is expected to rise by about 6.53%.</t>
        </r>
      </text>
    </comment>
    <comment ref="C22" authorId="0" shapeId="0" xr:uid="{640B7F91-4B18-4728-8F80-6C6D5E9BF1F0}">
      <text>
        <r>
          <rPr>
            <b/>
            <sz val="9"/>
            <color indexed="81"/>
            <rFont val="Tahoma"/>
            <family val="2"/>
          </rPr>
          <t>Anvay:</t>
        </r>
        <r>
          <rPr>
            <sz val="9"/>
            <color indexed="81"/>
            <rFont val="Tahoma"/>
            <family val="2"/>
          </rPr>
          <t xml:space="preserve">
Modified Duration tells you the price change in percentage terms. But traders often want to know the actual gain or loss in rupees.
Dollar Duration gives that answer. It shows how much the bond's price will change in rupee terms if interest rates move by 1% (100 basis points).
For this bond, a 1% change in interest rates would cause its price to move by approximately ₹64.45, either up or down.</t>
        </r>
      </text>
    </comment>
    <comment ref="C23" authorId="0" shapeId="0" xr:uid="{2A275692-E7BF-45DA-B9E4-BD22904CF252}">
      <text>
        <r>
          <rPr>
            <b/>
            <sz val="9"/>
            <color indexed="81"/>
            <rFont val="Tahoma"/>
            <family val="2"/>
          </rPr>
          <t>Anvay:</t>
        </r>
        <r>
          <rPr>
            <sz val="9"/>
            <color indexed="81"/>
            <rFont val="Tahoma"/>
            <family val="2"/>
          </rPr>
          <t xml:space="preserve">
Traders do not usually wait for interest rates to move by 1% (100 basis points). In reality, rates often move by just 1 to 2 basis points (0.01% to 0.02%) in a day.
DV01 shows how much the bond's price will change in rupees when interest rates move by just 1 basis point (0.01%).
For this bond, if interest rates move by 1 basis point, the bond's price will change by approximately ₹0.6446, either up or down.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D4" authorId="0" shapeId="0" xr:uid="{68EC6917-88AB-443A-A942-4CC7F34DA079}">
      <text>
        <r>
          <rPr>
            <b/>
            <sz val="9"/>
            <color indexed="81"/>
            <rFont val="Tahoma"/>
            <family val="2"/>
          </rPr>
          <t>Anvay:</t>
        </r>
        <r>
          <rPr>
            <sz val="9"/>
            <color indexed="81"/>
            <rFont val="Tahoma"/>
            <family val="2"/>
          </rPr>
          <t xml:space="preserve">
If the bond's current YTM is 7.75% and market interest rates fall by 2% (200 basis points), the bond's new YTM will become 5.75%.</t>
        </r>
      </text>
    </comment>
    <comment ref="E4" authorId="0" shapeId="0" xr:uid="{1EDB71F9-FBB3-45B7-9EA5-0E780A90167A}">
      <text>
        <r>
          <rPr>
            <b/>
            <sz val="9"/>
            <color indexed="81"/>
            <rFont val="Tahoma"/>
            <family val="2"/>
          </rPr>
          <t>Anvay:</t>
        </r>
        <r>
          <rPr>
            <sz val="9"/>
            <color indexed="81"/>
            <rFont val="Tahoma"/>
            <family val="2"/>
          </rPr>
          <t xml:space="preserve">
This is the actual bond price. If interest rates fall by 200 basis points (2%), the bond's exact price will increase to ₹1,100.83. This represents the bond's true value after the change in interest rates.</t>
        </r>
      </text>
    </comment>
    <comment ref="F4" authorId="0" shapeId="0" xr:uid="{265E0466-CAFB-43C5-AC70-19AE33766B28}">
      <text>
        <r>
          <rPr>
            <b/>
            <sz val="9"/>
            <color indexed="81"/>
            <rFont val="Tahoma"/>
            <family val="2"/>
          </rPr>
          <t>Anvay:</t>
        </r>
        <r>
          <rPr>
            <sz val="9"/>
            <color indexed="81"/>
            <rFont val="Tahoma"/>
            <family val="2"/>
          </rPr>
          <t xml:space="preserve">
This shows your profit or loss directly. If interest rates fall by 200 basis points (2%), you will make a profit of ₹141.43, which is a 14.74% return on your investment.</t>
        </r>
      </text>
    </comment>
    <comment ref="H4" authorId="0" shapeId="0" xr:uid="{CD6E8C26-D2D3-4675-8685-620CE3B07623}">
      <text>
        <r>
          <rPr>
            <b/>
            <sz val="9"/>
            <color indexed="81"/>
            <rFont val="Tahoma"/>
            <family val="2"/>
          </rPr>
          <t xml:space="preserve">Anvay:
</t>
        </r>
        <r>
          <rPr>
            <sz val="9"/>
            <color indexed="81"/>
            <rFont val="Tahoma"/>
            <family val="2"/>
          </rPr>
          <t>Look at Row 4 (-200 bps). Duration estimated that the bond's price would be ₹1,084.78. However, the actual price (shown in Column D) is ₹1,100.83.
Why is there a difference of about ₹16?
Because Duration is only a linear approximation. In reality, bond prices do not move in a straight line they move along a curve. This difference between the estimated price and the actual price is caused by that curvature. The next formula is designed to capture this effect and improve the accuracy of the price estimate.</t>
        </r>
      </text>
    </comment>
    <comment ref="I4" authorId="0" shapeId="0" xr:uid="{2107389F-B07C-4296-93BA-0F74AA86303E}">
      <text>
        <r>
          <rPr>
            <b/>
            <sz val="9"/>
            <color indexed="81"/>
            <rFont val="Tahoma"/>
            <family val="2"/>
          </rPr>
          <t xml:space="preserve">Anvay:
</t>
        </r>
        <r>
          <rPr>
            <sz val="9"/>
            <color indexed="81"/>
            <rFont val="Tahoma"/>
            <family val="2"/>
          </rPr>
          <t>Look at Row 4 (-200 bps). The Duration + Convexity estimate gives a price of ₹1,095.89. This is much closer to the actual bond price of ₹1,100.83 than the Duration-only estimate.
By including the bond's curve effect, Convexity makes the price estimate much more accurate.</t>
        </r>
      </text>
    </comment>
    <comment ref="J4" authorId="0" shapeId="0" xr:uid="{6B050735-15FF-48BF-BB6B-974614DCFB10}">
      <text>
        <r>
          <rPr>
            <b/>
            <sz val="9"/>
            <color indexed="81"/>
            <rFont val="Tahoma"/>
            <family val="2"/>
          </rPr>
          <t>Anvay:</t>
        </r>
        <r>
          <rPr>
            <sz val="9"/>
            <color indexed="81"/>
            <rFont val="Tahoma"/>
            <family val="2"/>
          </rPr>
          <t xml:space="preserve">
This formula calculates the difference between the Duration only price estimate (₹1,084.78) and the Duration + Convexity estimate (₹1,095.89). In this case, the difference is ₹11.11.
Experienced bond traders prefer bonds with high convexity. Notice that whether interest rates fall by 200 bps or rise by 200 bps, the Convexity Contribution remains positive (₹11.11).
This is important because convexity works in your favor:
When rates fall, it increases your gains.
When rates rise, it reduces your losses.</t>
        </r>
      </text>
    </comment>
  </commentList>
</comments>
</file>

<file path=xl/sharedStrings.xml><?xml version="1.0" encoding="utf-8"?>
<sst xmlns="http://schemas.openxmlformats.org/spreadsheetml/2006/main" count="317" uniqueCount="254">
  <si>
    <t>ISIN</t>
  </si>
  <si>
    <t>INE134E07AT8</t>
  </si>
  <si>
    <t>Issuer</t>
  </si>
  <si>
    <t>Power Finance Corporation Ltd</t>
  </si>
  <si>
    <t>Domestic Rating</t>
  </si>
  <si>
    <t>International Rating</t>
  </si>
  <si>
    <t>Settlement Date</t>
  </si>
  <si>
    <t>Coupon Rate</t>
  </si>
  <si>
    <t>Current YTM</t>
  </si>
  <si>
    <t>Clean Price (₹)</t>
  </si>
  <si>
    <t>Macaulay Duration</t>
  </si>
  <si>
    <t>CONTROL PANEL – KEY ASSUMPTIONS</t>
  </si>
  <si>
    <t>Parameter</t>
  </si>
  <si>
    <t>Face Value (₹)</t>
  </si>
  <si>
    <t>Coupon Frequency</t>
  </si>
  <si>
    <t>Issue Date</t>
  </si>
  <si>
    <t>Maturity Date</t>
  </si>
  <si>
    <t>Current YTM (Base)</t>
  </si>
  <si>
    <t>Day Count Convention</t>
  </si>
  <si>
    <t>ACT/365</t>
  </si>
  <si>
    <t>Credit Rating</t>
  </si>
  <si>
    <t>AAA / Stable</t>
  </si>
  <si>
    <t>10Y G-Sec Yield</t>
  </si>
  <si>
    <t>AAA Corp 10Y Low</t>
  </si>
  <si>
    <t>AAA Corp 10Y High</t>
  </si>
  <si>
    <t>Coupon Amount (₹)</t>
  </si>
  <si>
    <t>Original Tenor (yrs)</t>
  </si>
  <si>
    <t>Remaining Tenor (yrs)</t>
  </si>
  <si>
    <t>Days to Maturity</t>
  </si>
  <si>
    <t>Last Coupon Date</t>
  </si>
  <si>
    <t>Next Coupon Date</t>
  </si>
  <si>
    <t>Days Accrued</t>
  </si>
  <si>
    <t>Accrued Interest (Rs)</t>
  </si>
  <si>
    <t>#</t>
  </si>
  <si>
    <t>BOND INFORMATION DASHBOARD – INE134E07AT8</t>
  </si>
  <si>
    <t>BSE Symbol</t>
  </si>
  <si>
    <t>715PFCL36</t>
  </si>
  <si>
    <t>Instrument Type</t>
  </si>
  <si>
    <t>Secured, Rated, Listed NCD</t>
  </si>
  <si>
    <t>Seniority</t>
  </si>
  <si>
    <t>Senior Secured</t>
  </si>
  <si>
    <t>Security</t>
  </si>
  <si>
    <t>Asset coverage for principal + interest</t>
  </si>
  <si>
    <t>Coupon</t>
  </si>
  <si>
    <t>Original Tenor</t>
  </si>
  <si>
    <t>Outstanding Issue</t>
  </si>
  <si>
    <t>₹1,330.05 crore (Series VII Tranche I)</t>
  </si>
  <si>
    <t>Put / Call Options</t>
  </si>
  <si>
    <t>None – Bullet Maturity</t>
  </si>
  <si>
    <t>Tax Status</t>
  </si>
  <si>
    <t>Taxable NCD (TDS applicable)</t>
  </si>
  <si>
    <t>NRI Eligible</t>
  </si>
  <si>
    <t>Yes</t>
  </si>
  <si>
    <t>Listing</t>
  </si>
  <si>
    <t>BSE Listed</t>
  </si>
  <si>
    <t>Day Count</t>
  </si>
  <si>
    <t>Dirty Price (₹)</t>
  </si>
  <si>
    <t>Accrued Interest (₹)</t>
  </si>
  <si>
    <t>Current Yield</t>
  </si>
  <si>
    <t>Macaulay Duration (yrs)</t>
  </si>
  <si>
    <t>Modified Duration (yrs)</t>
  </si>
  <si>
    <t>DV01 (₹ per ₹1,000 FV)</t>
  </si>
  <si>
    <t>Convexity</t>
  </si>
  <si>
    <t>Spread vs G-Sec (bps)</t>
  </si>
  <si>
    <t>Spread vs AAA Low (bps)</t>
  </si>
  <si>
    <t>Spread vs AAA High (bps)</t>
  </si>
  <si>
    <t>CARE AAA / ICRA AAA / Stable</t>
  </si>
  <si>
    <t>Fitch BBB- / Moody's Baa3 / Stable</t>
  </si>
  <si>
    <t>Payment Date</t>
  </si>
  <si>
    <t>Coupon (₹)</t>
  </si>
  <si>
    <t>Principal (₹)</t>
  </si>
  <si>
    <t>Total CF (₹)</t>
  </si>
  <si>
    <t>Present Value (₹)</t>
  </si>
  <si>
    <t>TOTAL</t>
  </si>
  <si>
    <t>Dirty Price Check</t>
  </si>
  <si>
    <t>BOND VALUATION – FULL ANALYTICS</t>
  </si>
  <si>
    <t>A) Manual / DCF Method</t>
  </si>
  <si>
    <t>B) Excel Built-in Functions</t>
  </si>
  <si>
    <t>MODEL ERROR CHECKS</t>
  </si>
  <si>
    <t>Metric</t>
  </si>
  <si>
    <t>Value</t>
  </si>
  <si>
    <t>Check</t>
  </si>
  <si>
    <t>Result</t>
  </si>
  <si>
    <t>Clean Price (PRICE)</t>
  </si>
  <si>
    <t>Check 1: PV of CF = Dirty Price</t>
  </si>
  <si>
    <t>YTM (YIELD)</t>
  </si>
  <si>
    <t>Check 2: Dirty − AI = Clean</t>
  </si>
  <si>
    <t>YTM (Base)</t>
  </si>
  <si>
    <t>Check 3: ModD &lt; MacD</t>
  </si>
  <si>
    <t>Modified Duration</t>
  </si>
  <si>
    <t>Check 4: Yield↑ → Price↓</t>
  </si>
  <si>
    <t>Accrued Interest</t>
  </si>
  <si>
    <t>Check 5: CF Total Principal = FV</t>
  </si>
  <si>
    <t>Remaining Tenor</t>
  </si>
  <si>
    <t>Dollar Duration (₹)</t>
  </si>
  <si>
    <t>DV01 / PVBP (₹ per bps)</t>
  </si>
  <si>
    <t>PVBP = DV01 (₹)</t>
  </si>
  <si>
    <t>Scenario</t>
  </si>
  <si>
    <t>Yield Shock (bps)</t>
  </si>
  <si>
    <t>New YTM (%)</t>
  </si>
  <si>
    <t>Bond Price (₹)</t>
  </si>
  <si>
    <t>Price Change (₹)</t>
  </si>
  <si>
    <t>% Price Change</t>
  </si>
  <si>
    <t>Duration Approx Price</t>
  </si>
  <si>
    <t>Dur+Conv Approx Price</t>
  </si>
  <si>
    <t>Convexity Contribution (₹)</t>
  </si>
  <si>
    <t>-200 bps</t>
  </si>
  <si>
    <t>-150 bps</t>
  </si>
  <si>
    <t>-100 bps</t>
  </si>
  <si>
    <t>-50 bps</t>
  </si>
  <si>
    <t>BASE</t>
  </si>
  <si>
    <t>+50 bps</t>
  </si>
  <si>
    <t>+100 bps</t>
  </si>
  <si>
    <t>+150 bps</t>
  </si>
  <si>
    <t>+200 bps</t>
  </si>
  <si>
    <t>DV01 / PVBP Reference</t>
  </si>
  <si>
    <t>Assumption</t>
  </si>
  <si>
    <t>Bull</t>
  </si>
  <si>
    <t>Base</t>
  </si>
  <si>
    <t>Bear</t>
  </si>
  <si>
    <t>YTM in 1 Year (%)</t>
  </si>
  <si>
    <t>Entry Clean Price (₹)</t>
  </si>
  <si>
    <t>Return Component</t>
  </si>
  <si>
    <t>Exit Clean Price (₹)</t>
  </si>
  <si>
    <t>Coupon Income (₹)</t>
  </si>
  <si>
    <t>Capital Gain / (Loss) (₹)</t>
  </si>
  <si>
    <t>Total Return (₹)</t>
  </si>
  <si>
    <t>1-Year Holding Period Return (%)</t>
  </si>
  <si>
    <t>PFC CREDIT DASHBOARD – 5-YEAR FINANCIAL TREND (Consolidated)</t>
  </si>
  <si>
    <t>Income Statement (₹ Crore, Consolidated)</t>
  </si>
  <si>
    <t>FY22</t>
  </si>
  <si>
    <t>FY23</t>
  </si>
  <si>
    <t>FY24</t>
  </si>
  <si>
    <t>FY25</t>
  </si>
  <si>
    <t>FY26(TTM)</t>
  </si>
  <si>
    <t>CAGR (FY22-26)</t>
  </si>
  <si>
    <t>Interest Income (₹ cr)</t>
  </si>
  <si>
    <t>Financing Profit (₹ cr)</t>
  </si>
  <si>
    <t>PBT (₹ cr)</t>
  </si>
  <si>
    <t>PAT (₹ cr)</t>
  </si>
  <si>
    <t>Balance Sheet (₹ Crore, Consolidated)</t>
  </si>
  <si>
    <t>CAGR</t>
  </si>
  <si>
    <t>Equity Capital (₹ cr)</t>
  </si>
  <si>
    <t>Reserves (₹ cr)</t>
  </si>
  <si>
    <t>Total Borrowings (₹ cr)</t>
  </si>
  <si>
    <t>Debt / Equity</t>
  </si>
  <si>
    <t>Loan Assets – Standalone (₹ cr)</t>
  </si>
  <si>
    <t>Asset Quality &amp; Capital Adequacy</t>
  </si>
  <si>
    <t>FY21</t>
  </si>
  <si>
    <t>9M FY26</t>
  </si>
  <si>
    <t>Trend</t>
  </si>
  <si>
    <t>N/A</t>
  </si>
  <si>
    <t>RELATIVE VALUE ANALYSIS – PFC vs PEERS</t>
  </si>
  <si>
    <t>Instrument</t>
  </si>
  <si>
    <t>Rating</t>
  </si>
  <si>
    <t>Maturity</t>
  </si>
  <si>
    <t>GoI 10Y G-Sec</t>
  </si>
  <si>
    <t>Sovereign</t>
  </si>
  <si>
    <t>—</t>
  </si>
  <si>
    <t>PFC 7.15% 2036 (This Bond)</t>
  </si>
  <si>
    <t>AAA</t>
  </si>
  <si>
    <t>22-Jan-2036</t>
  </si>
  <si>
    <t>Other PFC INR 2031-38</t>
  </si>
  <si>
    <t>REC 54EC 5Y Bonds</t>
  </si>
  <si>
    <t>5Y</t>
  </si>
  <si>
    <t>NABARD AAA Bonds</t>
  </si>
  <si>
    <t>Generic AAA Corp 10Y</t>
  </si>
  <si>
    <t>~10Y</t>
  </si>
  <si>
    <t>RELATIVE VALUE CONCLUSION</t>
  </si>
  <si>
    <t>RISK DASHBOARD – BOND &amp; ISSUER RISK ASSESSMENT</t>
  </si>
  <si>
    <t>Risk Factor</t>
  </si>
  <si>
    <t>Level</t>
  </si>
  <si>
    <t>Key Metrics / Rationale</t>
  </si>
  <si>
    <t>Credit Risk</t>
  </si>
  <si>
    <t>LOW</t>
  </si>
  <si>
    <t>Interest Rate Risk</t>
  </si>
  <si>
    <t>MEDIUM-HIGH</t>
  </si>
  <si>
    <t>Liquidity Risk</t>
  </si>
  <si>
    <t>MEDIUM</t>
  </si>
  <si>
    <t>Reinvestment Risk</t>
  </si>
  <si>
    <t>LOW-MEDIUM</t>
  </si>
  <si>
    <t>Inflation Risk</t>
  </si>
  <si>
    <t>Regulatory / Policy Risk</t>
  </si>
  <si>
    <t>Power-Sector / Credit Concentration Risk</t>
  </si>
  <si>
    <t>PSU / Sovereign-Link Risk</t>
  </si>
  <si>
    <t>Extension / Duration Drift Risk</t>
  </si>
  <si>
    <t>YoY</t>
  </si>
  <si>
    <t>1. KEY ASSUMPTION (INPUTS)</t>
  </si>
  <si>
    <t xml:space="preserve">Value </t>
  </si>
  <si>
    <t>2. DERIVED / CALCULATED FIELDS (Formula-driven)</t>
  </si>
  <si>
    <t>Current Market Price (₹)</t>
  </si>
  <si>
    <t>1. Structural Features</t>
  </si>
  <si>
    <t>2. Market &amp; Yield Metrics (as at Settlement)</t>
  </si>
  <si>
    <t>One of the biggest concerns for investors is whether the company might face repayment problems. In PFC's case, that risk appears to be low. The company's bad loans (NPA) are below 0.5% and it maintains a capital adequacy ratio of 22%, which is well above regulatory requirements. In addition, the Government of India owns about 56% of the company, providing further confidence in its stability.</t>
  </si>
  <si>
    <t>The government is the company's majority shareholder and it plays a critical role in financing India's power sector. Because of its strategic importance and strong government backing, investors generally view it as a highly secure institution. This is one of the imp reasons why it has received the highest AAA credit rating.</t>
  </si>
  <si>
    <t>Bond prices move up and down when market interest rates change, such as FD rates or lending rates. Since this bond has a relatively long maturity of about 10 years, it is more sensitive to interest rate changes. As a result, if the RBI increases interest rates by 1%, the bond's market value could decline by approximately 6.5%.</t>
  </si>
  <si>
    <t>This price fluctuation only matters if you plan to sell the bond before maturity. If your intention is to hold the bond for the full 10 years, there is no need to worry about daily market price movements. You will continue to receive your fixed interest payments on time every year and at maturity, you will receive the bond's principal amount as well.</t>
  </si>
  <si>
    <t>If you suddenly need money and have to sell the bond before maturity, finding a buyer may not always be easy. Unlike stocks, this bond does not trade very actively on the exchange. As a result, you may need to sell it through brokers or in the over the counter (OTC) market, where transactions are often arranged directly between buyers and sellers.</t>
  </si>
  <si>
    <t>PFC is a large and well established issuer in the bond market. If you ever need to sell the bond, your broker can usually find a buyer, such as a mutual fund, insurance company or bank. While the bond may not trade as frequently as stocks, the risk of being unable to sell it is generally low because of PFC's strong reputation and market presence.</t>
  </si>
  <si>
    <t>Every year, you will receive ₹71.50 as interest from the bond. However, when you reinvest that money, interest rates in the market may be lower than they are today. If that happens, you may earn a lower return on those interest payments, which can reduce your overall investment return.</t>
  </si>
  <si>
    <t>This is a common risk in all fixed income investments. The good news is that your principal amount is protected and you have already locked in the current interest rate for the next 10 years As a result, even if reinvestment rates fall in the future, the impact is usually manageable, since the majority of your return still comes from the bond's fixed coupon payments.</t>
  </si>
  <si>
    <t>Current inflation is approximately 3.5% (CPI Apr 26), while the bond offers a yield of around 7.5%, providing a meaningful positive real return and helping preserve purchasing power.</t>
  </si>
  <si>
    <t>The RBI has kept inflation under control in recent years. As long as inflation does not rise sharply from current levels, the bond's yield should continue to provide a reasonable return after accounting for inflation.</t>
  </si>
  <si>
    <t>Since PFC is a financial company (NBFC), changes in RBI regulations could affect its business. If the RBI introduces stricter rules in the future, it could limit PFC's lending activities or increase its compliance and operating costs.</t>
  </si>
  <si>
    <t>PFC plays an important role in financing power projects across India and has strong government support. Because of its strategic importance to the country's power sector, investors generally expect the company to receive supportive policy treatment and regulatory backing when needed. As a result, the risk of regulations severely harming PFC's business is often considered relatively low.</t>
  </si>
  <si>
    <t>The risk is partly mitigated by government initiatives such as RDSS, which seek to improve DISCOM liquidity and payment performance. Furthermore, PFC's growing focus on financing private renewable energy projects provides greater diversification and supports the long-term quality of its loan portfolio.</t>
  </si>
  <si>
    <t>This is probably the bond's most important underlying risk. Around 75% of PFC's loan portfolio is linked to State DISCOMs. Many DISCOMs face financial challenges because they often sell electricity at subsidized rates and struggle to recover their full costs. As a result, PFC is exposed to the financial health and repayment ability of these power distribution companies.</t>
  </si>
  <si>
    <t>As a government-backed company, PFC may sometimes face pressure to support public policy objectives. This could include providing loans to financially weaker power utilities on terms that may be less attractive from a purely commercial perspective. In such situations, business decisions may occasionally be influenced by policy goals, which could affect profitability.</t>
  </si>
  <si>
    <t>PFC has a strong track record of operating profitably and paying dividends to the government. As the majority shareholder, the government's interests are generally aligned with maintaining the company's financial strength, making the risk of value-destructive decisions relatively low.</t>
  </si>
  <si>
    <t>Could the company repay the bond before the 10-year maturity date, or extend the maturity date to avoid making payments? For the  bond, the answer depends on the bond's terms. If the bond does not have a call option or any provision allowing the issuer to extend the maturity, then PFC must continue making coupon payments and repay the principal on the scheduled maturity date.</t>
  </si>
  <si>
    <t>This risk is very low, as the bond has a bullet maturity structure with no call or put options. The maturity date is fixed, and investors are expected to receive regular coupon payments along with full principal repayment in January 2036. This provides a high degree of certainty regarding cash flows and repayment timing.</t>
  </si>
  <si>
    <t>~2031-38</t>
  </si>
  <si>
    <t>~6.95%-7.55%</t>
  </si>
  <si>
    <t>~7.04%-7.64%c</t>
  </si>
  <si>
    <t>~10Y-15Y</t>
  </si>
  <si>
    <t xml:space="preserve">CASH FLOW SCHEDULE </t>
  </si>
  <si>
    <t>Days
 from Sett.</t>
  </si>
  <si>
    <t>Year 
Fraction</t>
  </si>
  <si>
    <t>Discount 
Factor</t>
  </si>
  <si>
    <t>Weight 
(Duration)</t>
  </si>
  <si>
    <t>Convexity 
Weight</t>
  </si>
  <si>
    <t>VALUATION SUMMARY</t>
  </si>
  <si>
    <t>INTEREST RATE SENSITIVITY ANALYSIS</t>
  </si>
  <si>
    <t>SCENARIO ANALYSIS (1-Year Holding Period)</t>
  </si>
  <si>
    <t>1. Scenario Assumptions</t>
  </si>
  <si>
    <t>2. Scenario Results</t>
  </si>
  <si>
    <t>EPS</t>
  </si>
  <si>
    <t>Net Worth (₹ cr)</t>
  </si>
  <si>
    <t>FY26 (TTM)</t>
  </si>
  <si>
    <t>Net NPA Ratio – Consolidated</t>
  </si>
  <si>
    <t>Gross Stage 3 (GNPA) Ratio – Consolidated</t>
  </si>
  <si>
    <t>Capital Adequacy Ratio (CAR) – Standalone</t>
  </si>
  <si>
    <t>Return on Equity (RoE) – Consolidated</t>
  </si>
  <si>
    <t>Return on Total Assets (RoTA) – Standalone</t>
  </si>
  <si>
    <t>On-Book Gearing (x) – Standalone</t>
  </si>
  <si>
    <t>Net Interest Margin (NIM) – Standalone</t>
  </si>
  <si>
    <t>Total Assets (₹ cr)</t>
  </si>
  <si>
    <t>Indicative 
YTM</t>
  </si>
  <si>
    <t>Spread vs G-Sec 
(bps)</t>
  </si>
  <si>
    <t>Spread vs 
PFC Bond (bps)</t>
  </si>
  <si>
    <t>Relative 
Valuation</t>
  </si>
  <si>
    <t>-</t>
  </si>
  <si>
    <r>
      <t xml:space="preserve">At the current indicative YTM of </t>
    </r>
    <r>
      <rPr>
        <b/>
        <sz val="11"/>
        <color rgb="FF00366C"/>
        <rFont val="Calibri"/>
        <family val="2"/>
      </rPr>
      <t>7.75%</t>
    </r>
    <r>
      <rPr>
        <sz val="11"/>
        <color rgb="FF000000"/>
        <rFont val="Calibri"/>
        <family val="2"/>
      </rPr>
      <t xml:space="preserve">, the PFC 2036 bond offers a solid risk premium, trading at a spread of </t>
    </r>
    <r>
      <rPr>
        <b/>
        <sz val="11"/>
        <color rgb="FF00366C"/>
        <rFont val="Calibri"/>
        <family val="2"/>
      </rPr>
      <t>+83.66 bps</t>
    </r>
    <r>
      <rPr>
        <sz val="11"/>
        <color rgb="FF000000"/>
        <rFont val="Calibri"/>
        <family val="2"/>
      </rPr>
      <t xml:space="preserve"> over the 10Y G-Sec. When compared to its peers, this specific bond looks highly attractive It offers an extra </t>
    </r>
    <r>
      <rPr>
        <b/>
        <sz val="11"/>
        <color rgb="FF00366C"/>
        <rFont val="Calibri"/>
        <family val="2"/>
      </rPr>
      <t>35 bps</t>
    </r>
    <r>
      <rPr>
        <sz val="11"/>
        <color rgb="FF000000"/>
        <rFont val="Calibri"/>
        <family val="2"/>
      </rPr>
      <t xml:space="preserve"> over other PFC curves and significantly outperforms high grade PSU peers like REC 54EC and NABARD. While generic private AAA corporate 10Y bonds yield slightly higher </t>
    </r>
    <r>
      <rPr>
        <b/>
        <sz val="11"/>
        <color rgb="FF00366C"/>
        <rFont val="Calibri"/>
        <family val="2"/>
      </rPr>
      <t>(+25 bps)</t>
    </r>
    <r>
      <rPr>
        <sz val="11"/>
        <color rgb="FF000000"/>
        <rFont val="Calibri"/>
        <family val="2"/>
      </rPr>
      <t xml:space="preserve">, they carry higher private credit risk. 
</t>
    </r>
    <r>
      <rPr>
        <b/>
        <sz val="11"/>
        <color rgb="FF00366C"/>
        <rFont val="Calibri"/>
        <family val="2"/>
      </rPr>
      <t>VALUATION CONCLUSION</t>
    </r>
    <r>
      <rPr>
        <sz val="11"/>
        <color rgb="FF000000"/>
        <rFont val="Calibri"/>
        <family val="2"/>
      </rPr>
      <t xml:space="preserve">: Given PFC’s strong sovereign backing and robust credit metrics, this bond offers an </t>
    </r>
    <r>
      <rPr>
        <b/>
        <sz val="11"/>
        <color rgb="FF00366C"/>
        <rFont val="Calibri"/>
        <family val="2"/>
      </rPr>
      <t>excellent yield pickup over risk free benchmarks</t>
    </r>
    <r>
      <rPr>
        <sz val="11"/>
        <color rgb="FF000000"/>
        <rFont val="Calibri"/>
        <family val="2"/>
      </rPr>
      <t xml:space="preserve">. It is </t>
    </r>
    <r>
      <rPr>
        <b/>
        <sz val="11"/>
        <color rgb="FF00366C"/>
        <rFont val="Calibri"/>
        <family val="2"/>
      </rPr>
      <t>highly recommended as a safe, high yielding carry asset for a long term buy and hold portfolio.</t>
    </r>
  </si>
  <si>
    <t>Mitigants</t>
  </si>
  <si>
    <t>RISK PROFILE SCORE</t>
  </si>
  <si>
    <t>Risk Score</t>
  </si>
  <si>
    <t>Score 
(1-5)</t>
  </si>
  <si>
    <t>Weight 
(%)</t>
  </si>
  <si>
    <r>
      <rPr>
        <b/>
        <i/>
        <sz val="10"/>
        <color theme="1"/>
        <rFont val="Calibri"/>
        <family val="2"/>
      </rPr>
      <t>Note:</t>
    </r>
    <r>
      <rPr>
        <i/>
        <sz val="10"/>
        <color theme="1"/>
        <rFont val="Calibri"/>
        <family val="2"/>
      </rPr>
      <t xml:space="preserve"> Score 1 = Very Low Risk; 5 = Very Risk Risk</t>
    </r>
  </si>
  <si>
    <t>Helper coloumn</t>
  </si>
  <si>
    <t>Yield Shock Curve (Price Vs Yield)</t>
  </si>
  <si>
    <t>Holding Period Return (1Y)</t>
  </si>
  <si>
    <t>Asset Quality Trend</t>
  </si>
  <si>
    <t>BOND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</si>
</sst>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dd\-mmm\-yyyy"/>
    <numFmt numFmtId="165" formatCode="0.0000"/>
    <numFmt numFmtId="166" formatCode="\₹#,##0"/>
    <numFmt numFmtId="167" formatCode="0.0%"/>
    <numFmt numFmtId="168" formatCode="0.00\x"/>
    <numFmt numFmtId="169" formatCode="0.0"/>
    <numFmt numFmtId="170" formatCode="0.000"/>
    <numFmt numFmtId="171" formatCode="0.0&quot;x&quot;"/>
    <numFmt numFmtId="172" formatCode="0.00&quot;x&quot;"/>
    <numFmt numFmtId="173" formatCode="\₹\ #,##0.00"/>
    <numFmt numFmtId="174" formatCode="\₹\ #,##0"/>
  </numFmts>
  <fonts count="53">
    <font>
      <sz val="11"/>
      <color theme="1"/>
      <name val="Calibri"/>
      <family val="2"/>
      <charset val="1"/>
    </font>
    <font>
      <sz val="11"/>
      <color theme="1"/>
      <name val="Calibri"/>
      <family val="2"/>
    </font>
    <font>
      <sz val="11"/>
      <color theme="1"/>
      <name val="Calibri"/>
      <family val="2"/>
    </font>
    <font>
      <sz val="11"/>
      <color theme="1"/>
      <name val="Calibri"/>
      <family val="2"/>
    </font>
    <font>
      <sz val="11"/>
      <color theme="1"/>
      <name val="Calibri"/>
      <family val="2"/>
    </font>
    <font>
      <b/>
      <sz val="10"/>
      <color rgb="FFFFFFFF"/>
      <name val="Calibri"/>
      <family val="2"/>
    </font>
    <font>
      <b/>
      <sz val="10"/>
      <color rgb="FF0000FF"/>
      <name val="Calibri"/>
      <family val="2"/>
    </font>
    <font>
      <sz val="10"/>
      <color rgb="FF008000"/>
      <name val="Calibri"/>
      <family val="2"/>
    </font>
    <font>
      <b/>
      <sz val="10"/>
      <name val="Calibri"/>
      <family val="2"/>
    </font>
    <font>
      <sz val="10"/>
      <color rgb="FF000000"/>
      <name val="Calibri"/>
      <family val="2"/>
    </font>
    <font>
      <sz val="9"/>
      <color rgb="FF333333"/>
      <name val="Calibri"/>
      <family val="2"/>
    </font>
    <font>
      <i/>
      <sz val="9"/>
      <color rgb="FF014421"/>
      <name val="Calibri"/>
      <family val="2"/>
    </font>
    <font>
      <sz val="11"/>
      <color theme="0"/>
      <name val="Calibri"/>
      <family val="2"/>
    </font>
    <font>
      <b/>
      <sz val="10"/>
      <color theme="0"/>
      <name val="Calibri"/>
      <family val="2"/>
    </font>
    <font>
      <sz val="9"/>
      <color indexed="81"/>
      <name val="Tahoma"/>
      <family val="2"/>
    </font>
    <font>
      <b/>
      <sz val="9"/>
      <color indexed="81"/>
      <name val="Tahoma"/>
      <family val="2"/>
    </font>
    <font>
      <sz val="10"/>
      <color theme="1"/>
      <name val="Arial Unicode MS"/>
    </font>
    <font>
      <b/>
      <sz val="11"/>
      <color theme="3" tint="-0.499984740745262"/>
      <name val="Calibri"/>
      <family val="2"/>
    </font>
    <font>
      <b/>
      <sz val="11"/>
      <color rgb="FFFFFFFF"/>
      <name val="Calibri"/>
      <family val="2"/>
    </font>
    <font>
      <b/>
      <sz val="11"/>
      <name val="Calibri"/>
      <family val="2"/>
    </font>
    <font>
      <b/>
      <sz val="11"/>
      <color rgb="FF008000"/>
      <name val="Calibri"/>
      <family val="2"/>
    </font>
    <font>
      <sz val="11"/>
      <color rgb="FF000000"/>
      <name val="Calibri"/>
      <family val="2"/>
    </font>
    <font>
      <sz val="11"/>
      <color rgb="FF0000FF"/>
      <name val="Calibri"/>
      <family val="2"/>
    </font>
    <font>
      <sz val="11"/>
      <color rgb="FF008000"/>
      <name val="Calibri"/>
      <family val="2"/>
    </font>
    <font>
      <b/>
      <sz val="11"/>
      <color rgb="FF0000FF"/>
      <name val="Calibri"/>
      <family val="2"/>
    </font>
    <font>
      <b/>
      <sz val="11"/>
      <color theme="1"/>
      <name val="Calibri"/>
      <family val="2"/>
    </font>
    <font>
      <b/>
      <sz val="11"/>
      <color rgb="FF000000"/>
      <name val="Calibri"/>
      <family val="2"/>
    </font>
    <font>
      <sz val="11"/>
      <color rgb="FF00366C"/>
      <name val="Calibri"/>
      <family val="2"/>
      <charset val="1"/>
    </font>
    <font>
      <b/>
      <sz val="28"/>
      <color rgb="FFFFFFFF"/>
      <name val="Calibri"/>
      <family val="2"/>
    </font>
    <font>
      <b/>
      <sz val="16"/>
      <color rgb="FFFFFFFF"/>
      <name val="Calibri"/>
      <family val="2"/>
    </font>
    <font>
      <b/>
      <sz val="12"/>
      <color theme="1"/>
      <name val="Calibri"/>
      <family val="2"/>
    </font>
    <font>
      <sz val="11"/>
      <name val="Calibri"/>
      <family val="2"/>
    </font>
    <font>
      <b/>
      <sz val="10"/>
      <color rgb="FF00366C"/>
      <name val="Calibri"/>
      <family val="2"/>
    </font>
    <font>
      <b/>
      <sz val="12"/>
      <color theme="0"/>
      <name val="Calibri"/>
      <family val="2"/>
    </font>
    <font>
      <b/>
      <sz val="15"/>
      <color rgb="FFFFFFFF"/>
      <name val="Calibri"/>
      <family val="2"/>
    </font>
    <font>
      <sz val="10"/>
      <name val="Calibri"/>
      <family val="2"/>
    </font>
    <font>
      <b/>
      <sz val="24"/>
      <color rgb="FFFFFFFF"/>
      <name val="Calibri"/>
      <family val="2"/>
    </font>
    <font>
      <b/>
      <sz val="12"/>
      <color rgb="FFFFFFFF"/>
      <name val="Calibri"/>
      <family val="2"/>
    </font>
    <font>
      <b/>
      <sz val="14"/>
      <color rgb="FFFFFFFF"/>
      <name val="Calibri"/>
      <family val="2"/>
    </font>
    <font>
      <i/>
      <sz val="11"/>
      <color rgb="FF000000"/>
      <name val="Calibri"/>
      <family val="2"/>
    </font>
    <font>
      <b/>
      <sz val="11"/>
      <color rgb="FF00366C"/>
      <name val="Calibri"/>
      <family val="2"/>
    </font>
    <font>
      <i/>
      <sz val="11"/>
      <color rgb="FF0000FF"/>
      <name val="Calibri"/>
      <family val="2"/>
    </font>
    <font>
      <i/>
      <sz val="11"/>
      <color theme="1"/>
      <name val="Calibri"/>
      <family val="2"/>
    </font>
    <font>
      <b/>
      <sz val="12"/>
      <name val="Calibri"/>
      <family val="2"/>
    </font>
    <font>
      <b/>
      <sz val="12"/>
      <color rgb="FF006100"/>
      <name val="Calibri"/>
      <family val="2"/>
    </font>
    <font>
      <b/>
      <sz val="12"/>
      <color rgb="FFC00000"/>
      <name val="Calibri"/>
      <family val="2"/>
    </font>
    <font>
      <b/>
      <sz val="16"/>
      <color rgb="FF00008B"/>
      <name val="Calibri"/>
      <family val="2"/>
    </font>
    <font>
      <b/>
      <i/>
      <sz val="10"/>
      <color theme="1"/>
      <name val="Calibri"/>
      <family val="2"/>
    </font>
    <font>
      <i/>
      <sz val="10"/>
      <color theme="1"/>
      <name val="Calibri"/>
      <family val="2"/>
    </font>
    <font>
      <b/>
      <sz val="12"/>
      <color rgb="FF9C6500"/>
      <name val="Calibri"/>
      <family val="2"/>
    </font>
    <font>
      <b/>
      <sz val="12"/>
      <color rgb="FFC55A11"/>
      <name val="Calibri"/>
      <family val="2"/>
    </font>
    <font>
      <b/>
      <i/>
      <sz val="10"/>
      <name val="Calibri"/>
      <family val="2"/>
    </font>
    <font>
      <b/>
      <sz val="16"/>
      <color theme="0"/>
      <name val="Calibri"/>
      <family val="2"/>
    </font>
  </fonts>
  <fills count="32">
    <fill>
      <patternFill patternType="none"/>
    </fill>
    <fill>
      <patternFill patternType="gray125"/>
    </fill>
    <fill>
      <patternFill patternType="solid">
        <fgColor rgb="FF1F4E79"/>
        <bgColor rgb="FF444444"/>
      </patternFill>
    </fill>
    <fill>
      <patternFill patternType="solid">
        <fgColor rgb="FFF5F9FF"/>
        <bgColor rgb="FFF9F9F9"/>
      </patternFill>
    </fill>
    <fill>
      <patternFill patternType="solid">
        <fgColor rgb="FFEAF0FB"/>
        <bgColor rgb="FFEBF3FB"/>
      </patternFill>
    </fill>
    <fill>
      <patternFill patternType="solid">
        <fgColor rgb="FFEBF3FB"/>
        <bgColor rgb="FFEAF0FB"/>
      </patternFill>
    </fill>
    <fill>
      <patternFill patternType="solid">
        <fgColor rgb="FFF0FFF0"/>
        <bgColor rgb="FFF5F9FF"/>
      </patternFill>
    </fill>
    <fill>
      <patternFill patternType="solid">
        <fgColor rgb="FFFFFDE7"/>
        <bgColor rgb="FFFFFBE6"/>
      </patternFill>
    </fill>
    <fill>
      <patternFill patternType="solid">
        <fgColor rgb="FFFFF2CC"/>
        <bgColor rgb="FFFFFBE6"/>
      </patternFill>
    </fill>
    <fill>
      <patternFill patternType="solid">
        <fgColor theme="2" tint="-0.249977111117893"/>
        <bgColor indexed="64"/>
      </patternFill>
    </fill>
    <fill>
      <patternFill patternType="solid">
        <fgColor rgb="FF031E46"/>
        <bgColor rgb="FF0066CC"/>
      </patternFill>
    </fill>
    <fill>
      <patternFill patternType="solid">
        <fgColor rgb="FF00468F"/>
        <bgColor rgb="FF0066CC"/>
      </patternFill>
    </fill>
    <fill>
      <patternFill patternType="solid">
        <fgColor theme="0" tint="-4.9989318521683403E-2"/>
        <bgColor indexed="64"/>
      </patternFill>
    </fill>
    <fill>
      <patternFill patternType="solid">
        <fgColor theme="0"/>
        <bgColor rgb="FFEBF3FB"/>
      </patternFill>
    </fill>
    <fill>
      <patternFill patternType="solid">
        <fgColor rgb="FFEBF3FB"/>
        <bgColor indexed="64"/>
      </patternFill>
    </fill>
    <fill>
      <patternFill patternType="solid">
        <fgColor rgb="FFEBF3FB"/>
        <bgColor rgb="FFF5F9FF"/>
      </patternFill>
    </fill>
    <fill>
      <patternFill patternType="solid">
        <fgColor theme="0"/>
        <bgColor rgb="FFE2EFDA"/>
      </patternFill>
    </fill>
    <fill>
      <patternFill patternType="solid">
        <fgColor theme="0"/>
        <bgColor rgb="FFEAF0FB"/>
      </patternFill>
    </fill>
    <fill>
      <patternFill patternType="solid">
        <fgColor theme="0"/>
        <bgColor indexed="64"/>
      </patternFill>
    </fill>
    <fill>
      <patternFill patternType="solid">
        <fgColor theme="0"/>
        <bgColor rgb="FFFFFDF5"/>
      </patternFill>
    </fill>
    <fill>
      <patternFill patternType="solid">
        <fgColor theme="0"/>
        <bgColor rgb="FFF5F9FF"/>
      </patternFill>
    </fill>
    <fill>
      <patternFill patternType="solid">
        <fgColor theme="8" tint="0.79998168889431442"/>
        <bgColor rgb="FFEBF3FB"/>
      </patternFill>
    </fill>
    <fill>
      <patternFill patternType="solid">
        <fgColor rgb="FF031E46"/>
        <bgColor rgb="FFEBF3FB"/>
      </patternFill>
    </fill>
    <fill>
      <patternFill patternType="solid">
        <fgColor rgb="FF031E46"/>
        <bgColor rgb="FFF5F9FF"/>
      </patternFill>
    </fill>
    <fill>
      <patternFill patternType="solid">
        <fgColor rgb="FFFDF1CF"/>
        <bgColor rgb="FFFFFBE6"/>
      </patternFill>
    </fill>
    <fill>
      <patternFill patternType="solid">
        <fgColor rgb="FFFDF1CF"/>
        <bgColor rgb="FFE2EFDA"/>
      </patternFill>
    </fill>
    <fill>
      <patternFill patternType="solid">
        <fgColor theme="0"/>
        <bgColor rgb="FFFFFBE6"/>
      </patternFill>
    </fill>
    <fill>
      <patternFill patternType="solid">
        <fgColor rgb="FF00366C"/>
        <bgColor rgb="FF0066CC"/>
      </patternFill>
    </fill>
    <fill>
      <patternFill patternType="solid">
        <fgColor rgb="FFE2F0D9"/>
        <bgColor rgb="FFEAF0FB"/>
      </patternFill>
    </fill>
    <fill>
      <patternFill patternType="solid">
        <fgColor rgb="FFFCE4D6"/>
        <bgColor rgb="FFFFFBE6"/>
      </patternFill>
    </fill>
    <fill>
      <patternFill patternType="solid">
        <fgColor rgb="FFF4CCCC"/>
        <bgColor rgb="FFFFF2CC"/>
      </patternFill>
    </fill>
    <fill>
      <patternFill patternType="solid">
        <fgColor rgb="FF00366C"/>
        <bgColor indexed="64"/>
      </patternFill>
    </fill>
  </fills>
  <borders count="38">
    <border>
      <left/>
      <right/>
      <top/>
      <bottom/>
      <diagonal/>
    </border>
    <border>
      <left style="thin">
        <color rgb="FFAAAAAA"/>
      </left>
      <right style="thin">
        <color rgb="FFAAAAAA"/>
      </right>
      <top style="thin">
        <color rgb="FFAAAAAA"/>
      </top>
      <bottom style="thin">
        <color rgb="FFAAAAAA"/>
      </bottom>
      <diagonal/>
    </border>
    <border>
      <left/>
      <right/>
      <top/>
      <bottom style="medium">
        <color rgb="FF00366C"/>
      </bottom>
      <diagonal/>
    </border>
    <border>
      <left/>
      <right style="medium">
        <color rgb="FF00366C"/>
      </right>
      <top/>
      <bottom style="medium">
        <color rgb="FF00366C"/>
      </bottom>
      <diagonal/>
    </border>
    <border>
      <left/>
      <right style="medium">
        <color rgb="FF00366C"/>
      </right>
      <top/>
      <bottom/>
      <diagonal/>
    </border>
    <border>
      <left/>
      <right/>
      <top style="medium">
        <color rgb="FFF87221"/>
      </top>
      <bottom/>
      <diagonal/>
    </border>
    <border>
      <left/>
      <right/>
      <top/>
      <bottom style="medium">
        <color rgb="FFF87221"/>
      </bottom>
      <diagonal/>
    </border>
    <border>
      <left/>
      <right/>
      <top style="medium">
        <color rgb="FFF87221"/>
      </top>
      <bottom style="thin">
        <color rgb="FFAAAAAA"/>
      </bottom>
      <diagonal/>
    </border>
    <border>
      <left style="thin">
        <color rgb="FFAAAAAA"/>
      </left>
      <right style="thin">
        <color rgb="FFAAAAAA"/>
      </right>
      <top style="thin">
        <color rgb="FFAAAAAA"/>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rgb="FFAAAAAA"/>
      </left>
      <right/>
      <top style="thin">
        <color rgb="FFAAAAAA"/>
      </top>
      <bottom/>
      <diagonal/>
    </border>
    <border>
      <left/>
      <right style="thin">
        <color rgb="FFAAAAAA"/>
      </right>
      <top style="thin">
        <color rgb="FFAAAAAA"/>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left>
      <right style="thin">
        <color theme="0"/>
      </right>
      <top style="thin">
        <color theme="0"/>
      </top>
      <bottom/>
      <diagonal/>
    </border>
    <border>
      <left style="thin">
        <color theme="0"/>
      </left>
      <right style="thin">
        <color theme="0"/>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op>
      <bottom style="thin">
        <color theme="0" tint="-0.14996795556505021"/>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rgb="FFAAAAAA"/>
      </bottom>
      <diagonal/>
    </border>
    <border>
      <left/>
      <right/>
      <top style="thin">
        <color theme="0"/>
      </top>
      <bottom style="thin">
        <color rgb="FFAAAAAA"/>
      </bottom>
      <diagonal/>
    </border>
    <border>
      <left/>
      <right style="thin">
        <color theme="0"/>
      </right>
      <top style="thin">
        <color theme="0"/>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right style="thin">
        <color theme="0" tint="-0.24994659260841701"/>
      </right>
      <top style="thin">
        <color theme="0" tint="-0.24994659260841701"/>
      </top>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rgb="FFAAAAAA"/>
      </left>
      <right style="thin">
        <color rgb="FFAAAAAA"/>
      </right>
      <top style="thin">
        <color rgb="FFAAAAAA"/>
      </top>
      <bottom style="thick">
        <color rgb="FF00366C"/>
      </bottom>
      <diagonal/>
    </border>
    <border>
      <left/>
      <right/>
      <top/>
      <bottom style="thick">
        <color rgb="FF00366C"/>
      </bottom>
      <diagonal/>
    </border>
    <border>
      <left style="medium">
        <color rgb="FF00366C"/>
      </left>
      <right/>
      <top/>
      <bottom/>
      <diagonal/>
    </border>
    <border>
      <left style="medium">
        <color rgb="FF00366C"/>
      </left>
      <right/>
      <top/>
      <bottom style="medium">
        <color rgb="FF00366C"/>
      </bottom>
      <diagonal/>
    </border>
  </borders>
  <cellStyleXfs count="1">
    <xf numFmtId="0" fontId="0" fillId="0" borderId="0"/>
  </cellStyleXfs>
  <cellXfs count="239">
    <xf numFmtId="0" fontId="0" fillId="0" borderId="0" xfId="0"/>
    <xf numFmtId="0" fontId="0" fillId="0" borderId="4" xfId="0" applyBorder="1"/>
    <xf numFmtId="0" fontId="0" fillId="9" borderId="0" xfId="0" applyFill="1"/>
    <xf numFmtId="0" fontId="27" fillId="0" borderId="0" xfId="0" applyFont="1"/>
    <xf numFmtId="0" fontId="0" fillId="0" borderId="2" xfId="0" applyBorder="1"/>
    <xf numFmtId="0" fontId="0" fillId="0" borderId="3" xfId="0" applyBorder="1"/>
    <xf numFmtId="0" fontId="0" fillId="0" borderId="36" xfId="0" applyBorder="1"/>
    <xf numFmtId="0" fontId="0" fillId="0" borderId="37" xfId="0" applyBorder="1"/>
    <xf numFmtId="0" fontId="4" fillId="0" borderId="0" xfId="0" applyFont="1" applyProtection="1">
      <protection locked="0"/>
    </xf>
    <xf numFmtId="0" fontId="0" fillId="0" borderId="0" xfId="0" applyProtection="1">
      <protection locked="0"/>
    </xf>
    <xf numFmtId="0" fontId="4" fillId="0" borderId="5" xfId="0" applyFont="1" applyBorder="1" applyProtection="1">
      <protection locked="0"/>
    </xf>
    <xf numFmtId="0" fontId="30" fillId="12" borderId="12" xfId="0" applyFont="1" applyFill="1" applyBorder="1" applyAlignment="1" applyProtection="1">
      <alignment horizontal="left" vertical="center" indent="1"/>
      <protection locked="0"/>
    </xf>
    <xf numFmtId="0" fontId="30" fillId="12" borderId="12" xfId="0" applyFont="1" applyFill="1" applyBorder="1" applyAlignment="1" applyProtection="1">
      <alignment horizontal="center" vertical="center"/>
      <protection locked="0"/>
    </xf>
    <xf numFmtId="0" fontId="31" fillId="13" borderId="12" xfId="0" applyFont="1" applyFill="1" applyBorder="1" applyAlignment="1" applyProtection="1">
      <alignment horizontal="left" vertical="center" indent="1"/>
      <protection locked="0"/>
    </xf>
    <xf numFmtId="164" fontId="22" fillId="5" borderId="12" xfId="0" applyNumberFormat="1" applyFont="1" applyFill="1" applyBorder="1" applyAlignment="1" applyProtection="1">
      <alignment horizontal="center" vertical="center"/>
      <protection locked="0"/>
    </xf>
    <xf numFmtId="173" fontId="22" fillId="5" borderId="12" xfId="0" applyNumberFormat="1" applyFont="1" applyFill="1" applyBorder="1" applyAlignment="1" applyProtection="1">
      <alignment horizontal="center" vertical="center"/>
      <protection locked="0"/>
    </xf>
    <xf numFmtId="10" fontId="22" fillId="5" borderId="12" xfId="0" applyNumberFormat="1" applyFont="1" applyFill="1" applyBorder="1" applyAlignment="1" applyProtection="1">
      <alignment horizontal="center" vertical="center"/>
      <protection locked="0"/>
    </xf>
    <xf numFmtId="1" fontId="22" fillId="5" borderId="12" xfId="0" applyNumberFormat="1" applyFont="1" applyFill="1" applyBorder="1" applyAlignment="1" applyProtection="1">
      <alignment horizontal="center" vertical="center"/>
      <protection locked="0"/>
    </xf>
    <xf numFmtId="49" fontId="22" fillId="5" borderId="12" xfId="0" applyNumberFormat="1" applyFont="1" applyFill="1" applyBorder="1" applyAlignment="1" applyProtection="1">
      <alignment horizontal="center" vertical="center"/>
      <protection locked="0"/>
    </xf>
    <xf numFmtId="173" fontId="21" fillId="14" borderId="12" xfId="0" applyNumberFormat="1" applyFont="1" applyFill="1" applyBorder="1" applyAlignment="1">
      <alignment horizontal="center" vertical="center"/>
    </xf>
    <xf numFmtId="2" fontId="21" fillId="14" borderId="12" xfId="0" applyNumberFormat="1" applyFont="1" applyFill="1" applyBorder="1" applyAlignment="1">
      <alignment horizontal="center" vertical="center"/>
    </xf>
    <xf numFmtId="169" fontId="21" fillId="15" borderId="12" xfId="0" applyNumberFormat="1" applyFont="1" applyFill="1" applyBorder="1" applyAlignment="1">
      <alignment horizontal="center" vertical="center"/>
    </xf>
    <xf numFmtId="1" fontId="21" fillId="15" borderId="12" xfId="0" applyNumberFormat="1" applyFont="1" applyFill="1" applyBorder="1" applyAlignment="1">
      <alignment horizontal="center" vertical="center"/>
    </xf>
    <xf numFmtId="164" fontId="21" fillId="15" borderId="12" xfId="0" applyNumberFormat="1" applyFont="1" applyFill="1" applyBorder="1" applyAlignment="1">
      <alignment horizontal="center" vertical="center"/>
    </xf>
    <xf numFmtId="173" fontId="21" fillId="15" borderId="12" xfId="0" applyNumberFormat="1" applyFont="1" applyFill="1" applyBorder="1" applyAlignment="1">
      <alignment horizontal="center" vertical="center"/>
    </xf>
    <xf numFmtId="0" fontId="19" fillId="4" borderId="12" xfId="0" applyFont="1" applyFill="1" applyBorder="1" applyAlignment="1" applyProtection="1">
      <alignment horizontal="left" vertical="center" indent="1"/>
      <protection locked="0"/>
    </xf>
    <xf numFmtId="0" fontId="22" fillId="3" borderId="12" xfId="0" applyFont="1" applyFill="1" applyBorder="1" applyAlignment="1" applyProtection="1">
      <alignment horizontal="left" vertical="center" indent="1"/>
      <protection locked="0"/>
    </xf>
    <xf numFmtId="173" fontId="23" fillId="3" borderId="12" xfId="0" applyNumberFormat="1" applyFont="1" applyFill="1" applyBorder="1" applyAlignment="1">
      <alignment horizontal="left" vertical="center" indent="1"/>
    </xf>
    <xf numFmtId="164" fontId="23" fillId="3" borderId="12" xfId="0" applyNumberFormat="1" applyFont="1" applyFill="1" applyBorder="1" applyAlignment="1">
      <alignment horizontal="left" vertical="center" indent="1"/>
    </xf>
    <xf numFmtId="0" fontId="23" fillId="3" borderId="12" xfId="0" applyFont="1" applyFill="1" applyBorder="1" applyAlignment="1">
      <alignment horizontal="left" vertical="center" indent="1"/>
    </xf>
    <xf numFmtId="164" fontId="23" fillId="3" borderId="12" xfId="0" applyNumberFormat="1" applyFont="1" applyFill="1" applyBorder="1" applyAlignment="1">
      <alignment horizontal="right" vertical="center" indent="1"/>
    </xf>
    <xf numFmtId="2" fontId="23" fillId="3" borderId="12" xfId="0" applyNumberFormat="1" applyFont="1" applyFill="1" applyBorder="1" applyAlignment="1">
      <alignment horizontal="right" vertical="center" indent="1"/>
    </xf>
    <xf numFmtId="10" fontId="23" fillId="3" borderId="12" xfId="0" applyNumberFormat="1" applyFont="1" applyFill="1" applyBorder="1" applyAlignment="1">
      <alignment horizontal="right" vertical="center" indent="1"/>
    </xf>
    <xf numFmtId="173" fontId="23" fillId="3" borderId="12" xfId="0" applyNumberFormat="1" applyFont="1" applyFill="1" applyBorder="1" applyAlignment="1">
      <alignment horizontal="right" vertical="center" indent="1"/>
    </xf>
    <xf numFmtId="49" fontId="23" fillId="3" borderId="12" xfId="0" applyNumberFormat="1" applyFont="1" applyFill="1" applyBorder="1" applyAlignment="1">
      <alignment horizontal="left" vertical="center" indent="1"/>
    </xf>
    <xf numFmtId="0" fontId="28" fillId="10" borderId="0" xfId="0" applyFont="1" applyFill="1" applyAlignment="1" applyProtection="1">
      <alignment vertical="center"/>
      <protection locked="0"/>
    </xf>
    <xf numFmtId="0" fontId="0" fillId="0" borderId="5" xfId="0" applyBorder="1" applyProtection="1">
      <protection locked="0"/>
    </xf>
    <xf numFmtId="0" fontId="5" fillId="11" borderId="13" xfId="0" applyFont="1" applyFill="1" applyBorder="1" applyAlignment="1" applyProtection="1">
      <alignment horizontal="center" vertical="center"/>
      <protection locked="0"/>
    </xf>
    <xf numFmtId="0" fontId="5" fillId="11" borderId="13" xfId="0" applyFont="1" applyFill="1" applyBorder="1" applyAlignment="1" applyProtection="1">
      <alignment horizontal="center" vertical="center" wrapText="1"/>
      <protection locked="0"/>
    </xf>
    <xf numFmtId="0" fontId="9" fillId="16" borderId="15" xfId="0" applyFont="1" applyFill="1" applyBorder="1" applyAlignment="1" applyProtection="1">
      <alignment horizontal="center" vertical="center"/>
      <protection locked="0"/>
    </xf>
    <xf numFmtId="164" fontId="6" fillId="17" borderId="15" xfId="0" applyNumberFormat="1" applyFont="1" applyFill="1" applyBorder="1" applyAlignment="1" applyProtection="1">
      <alignment horizontal="center" vertical="center"/>
      <protection locked="0"/>
    </xf>
    <xf numFmtId="0" fontId="9" fillId="19" borderId="9" xfId="0" applyFont="1" applyFill="1" applyBorder="1" applyAlignment="1" applyProtection="1">
      <alignment horizontal="center" vertical="center"/>
      <protection locked="0"/>
    </xf>
    <xf numFmtId="164" fontId="6" fillId="17" borderId="9" xfId="0" applyNumberFormat="1" applyFont="1" applyFill="1" applyBorder="1" applyAlignment="1" applyProtection="1">
      <alignment horizontal="center" vertical="center"/>
      <protection locked="0"/>
    </xf>
    <xf numFmtId="0" fontId="9" fillId="16" borderId="9" xfId="0" applyFont="1" applyFill="1" applyBorder="1" applyAlignment="1" applyProtection="1">
      <alignment horizontal="center" vertical="center"/>
      <protection locked="0"/>
    </xf>
    <xf numFmtId="0" fontId="9" fillId="19" borderId="14" xfId="0" applyFont="1" applyFill="1" applyBorder="1" applyAlignment="1" applyProtection="1">
      <alignment horizontal="center" vertical="center"/>
      <protection locked="0"/>
    </xf>
    <xf numFmtId="164" fontId="6" fillId="17" borderId="14" xfId="0" applyNumberFormat="1" applyFont="1" applyFill="1" applyBorder="1" applyAlignment="1" applyProtection="1">
      <alignment horizontal="center" vertical="center"/>
      <protection locked="0"/>
    </xf>
    <xf numFmtId="169" fontId="12" fillId="2" borderId="13" xfId="0" applyNumberFormat="1" applyFont="1" applyFill="1" applyBorder="1" applyAlignment="1" applyProtection="1">
      <alignment horizontal="center" vertical="center"/>
      <protection locked="0"/>
    </xf>
    <xf numFmtId="0" fontId="8" fillId="4" borderId="12" xfId="0" applyFont="1" applyFill="1" applyBorder="1" applyAlignment="1" applyProtection="1">
      <alignment horizontal="left" indent="1"/>
      <protection locked="0"/>
    </xf>
    <xf numFmtId="0" fontId="16" fillId="0" borderId="0" xfId="0" applyFont="1" applyProtection="1">
      <protection locked="0"/>
    </xf>
    <xf numFmtId="2" fontId="0" fillId="0" borderId="0" xfId="0" applyNumberFormat="1" applyProtection="1">
      <protection locked="0"/>
    </xf>
    <xf numFmtId="1" fontId="9" fillId="16" borderId="15" xfId="0" applyNumberFormat="1" applyFont="1" applyFill="1" applyBorder="1" applyAlignment="1">
      <alignment horizontal="center" vertical="center"/>
    </xf>
    <xf numFmtId="170" fontId="9" fillId="16" borderId="15" xfId="0" applyNumberFormat="1" applyFont="1" applyFill="1" applyBorder="1" applyAlignment="1">
      <alignment horizontal="center" vertical="center"/>
    </xf>
    <xf numFmtId="173" fontId="9" fillId="16" borderId="15" xfId="0" applyNumberFormat="1" applyFont="1" applyFill="1" applyBorder="1" applyAlignment="1">
      <alignment horizontal="center" vertical="center"/>
    </xf>
    <xf numFmtId="1" fontId="9" fillId="19" borderId="9" xfId="0" applyNumberFormat="1" applyFont="1" applyFill="1" applyBorder="1" applyAlignment="1">
      <alignment horizontal="center" vertical="center"/>
    </xf>
    <xf numFmtId="170" fontId="9" fillId="19" borderId="9" xfId="0" applyNumberFormat="1" applyFont="1" applyFill="1" applyBorder="1" applyAlignment="1">
      <alignment horizontal="center" vertical="center"/>
    </xf>
    <xf numFmtId="173" fontId="9" fillId="19" borderId="9" xfId="0" applyNumberFormat="1" applyFont="1" applyFill="1" applyBorder="1" applyAlignment="1">
      <alignment horizontal="center" vertical="center"/>
    </xf>
    <xf numFmtId="1" fontId="9" fillId="16" borderId="9" xfId="0" applyNumberFormat="1" applyFont="1" applyFill="1" applyBorder="1" applyAlignment="1">
      <alignment horizontal="center" vertical="center"/>
    </xf>
    <xf numFmtId="170" fontId="9" fillId="16" borderId="9" xfId="0" applyNumberFormat="1" applyFont="1" applyFill="1" applyBorder="1" applyAlignment="1">
      <alignment horizontal="center" vertical="center"/>
    </xf>
    <xf numFmtId="173" fontId="9" fillId="16" borderId="9" xfId="0" applyNumberFormat="1" applyFont="1" applyFill="1" applyBorder="1" applyAlignment="1">
      <alignment horizontal="center" vertical="center"/>
    </xf>
    <xf numFmtId="1" fontId="9" fillId="19" borderId="14" xfId="0" applyNumberFormat="1" applyFont="1" applyFill="1" applyBorder="1" applyAlignment="1">
      <alignment horizontal="center" vertical="center"/>
    </xf>
    <xf numFmtId="170" fontId="9" fillId="19" borderId="14" xfId="0" applyNumberFormat="1" applyFont="1" applyFill="1" applyBorder="1" applyAlignment="1">
      <alignment horizontal="center" vertical="center"/>
    </xf>
    <xf numFmtId="173" fontId="9" fillId="19" borderId="14" xfId="0" applyNumberFormat="1" applyFont="1" applyFill="1" applyBorder="1" applyAlignment="1">
      <alignment horizontal="center" vertical="center"/>
    </xf>
    <xf numFmtId="2" fontId="9" fillId="16" borderId="15" xfId="0" applyNumberFormat="1" applyFont="1" applyFill="1" applyBorder="1" applyAlignment="1">
      <alignment horizontal="center" vertical="center"/>
    </xf>
    <xf numFmtId="2" fontId="0" fillId="18" borderId="15" xfId="0" applyNumberFormat="1" applyFill="1" applyBorder="1" applyAlignment="1">
      <alignment horizontal="center"/>
    </xf>
    <xf numFmtId="2" fontId="9" fillId="19" borderId="9" xfId="0" applyNumberFormat="1" applyFont="1" applyFill="1" applyBorder="1" applyAlignment="1">
      <alignment horizontal="center" vertical="center"/>
    </xf>
    <xf numFmtId="2" fontId="0" fillId="18" borderId="9" xfId="0" applyNumberFormat="1" applyFill="1" applyBorder="1" applyAlignment="1">
      <alignment horizontal="center"/>
    </xf>
    <xf numFmtId="2" fontId="9" fillId="16" borderId="9" xfId="0" applyNumberFormat="1" applyFont="1" applyFill="1" applyBorder="1" applyAlignment="1">
      <alignment horizontal="center" vertical="center"/>
    </xf>
    <xf numFmtId="2" fontId="9" fillId="19" borderId="14" xfId="0" applyNumberFormat="1" applyFont="1" applyFill="1" applyBorder="1" applyAlignment="1">
      <alignment horizontal="center" vertical="center"/>
    </xf>
    <xf numFmtId="2" fontId="0" fillId="18" borderId="14" xfId="0" applyNumberFormat="1" applyFill="1" applyBorder="1" applyAlignment="1">
      <alignment horizontal="center"/>
    </xf>
    <xf numFmtId="173" fontId="13" fillId="2" borderId="13" xfId="0" applyNumberFormat="1" applyFont="1" applyFill="1" applyBorder="1" applyAlignment="1">
      <alignment horizontal="center" vertical="center"/>
    </xf>
    <xf numFmtId="169" fontId="13" fillId="2" borderId="13" xfId="0" applyNumberFormat="1" applyFont="1" applyFill="1" applyBorder="1" applyAlignment="1">
      <alignment horizontal="center" vertical="center"/>
    </xf>
    <xf numFmtId="173" fontId="32" fillId="0" borderId="12" xfId="0" applyNumberFormat="1" applyFont="1" applyBorder="1" applyAlignment="1">
      <alignment horizontal="center"/>
    </xf>
    <xf numFmtId="0" fontId="17" fillId="0" borderId="12" xfId="0" applyFont="1" applyBorder="1" applyAlignment="1">
      <alignment horizontal="center"/>
    </xf>
    <xf numFmtId="0" fontId="0" fillId="0" borderId="5" xfId="0" applyBorder="1"/>
    <xf numFmtId="0" fontId="4" fillId="0" borderId="5" xfId="0" applyFont="1" applyBorder="1"/>
    <xf numFmtId="174" fontId="20" fillId="20" borderId="9" xfId="0" applyNumberFormat="1" applyFont="1" applyFill="1" applyBorder="1" applyAlignment="1">
      <alignment horizontal="right" vertical="center"/>
    </xf>
    <xf numFmtId="173" fontId="26" fillId="20" borderId="9" xfId="0" applyNumberFormat="1" applyFont="1" applyFill="1" applyBorder="1" applyAlignment="1">
      <alignment horizontal="right"/>
    </xf>
    <xf numFmtId="0" fontId="17" fillId="0" borderId="9" xfId="0" applyFont="1" applyBorder="1" applyAlignment="1">
      <alignment horizontal="center"/>
    </xf>
    <xf numFmtId="10" fontId="20" fillId="20" borderId="9" xfId="0" applyNumberFormat="1" applyFont="1" applyFill="1" applyBorder="1" applyAlignment="1">
      <alignment horizontal="right" vertical="center"/>
    </xf>
    <xf numFmtId="10" fontId="26" fillId="20" borderId="9" xfId="0" applyNumberFormat="1" applyFont="1" applyFill="1" applyBorder="1" applyAlignment="1">
      <alignment horizontal="right"/>
    </xf>
    <xf numFmtId="170" fontId="26" fillId="20" borderId="9" xfId="0" applyNumberFormat="1" applyFont="1" applyFill="1" applyBorder="1" applyAlignment="1">
      <alignment horizontal="right"/>
    </xf>
    <xf numFmtId="164" fontId="20" fillId="20" borderId="9" xfId="0" applyNumberFormat="1" applyFont="1" applyFill="1" applyBorder="1" applyAlignment="1">
      <alignment horizontal="right" vertical="center"/>
    </xf>
    <xf numFmtId="2" fontId="26" fillId="20" borderId="9" xfId="0" applyNumberFormat="1" applyFont="1" applyFill="1" applyBorder="1" applyAlignment="1">
      <alignment horizontal="right"/>
    </xf>
    <xf numFmtId="2" fontId="20" fillId="20" borderId="9" xfId="0" applyNumberFormat="1" applyFont="1" applyFill="1" applyBorder="1" applyAlignment="1">
      <alignment horizontal="right" vertical="center"/>
    </xf>
    <xf numFmtId="173" fontId="20" fillId="20" borderId="9" xfId="0" applyNumberFormat="1" applyFont="1" applyFill="1" applyBorder="1" applyAlignment="1">
      <alignment horizontal="right" vertical="center"/>
    </xf>
    <xf numFmtId="1" fontId="20" fillId="20" borderId="9" xfId="0" applyNumberFormat="1" applyFont="1" applyFill="1" applyBorder="1" applyAlignment="1">
      <alignment horizontal="right" vertical="center"/>
    </xf>
    <xf numFmtId="165" fontId="20" fillId="20" borderId="9" xfId="0" applyNumberFormat="1" applyFont="1" applyFill="1" applyBorder="1" applyAlignment="1">
      <alignment horizontal="right" vertical="center"/>
    </xf>
    <xf numFmtId="2" fontId="33" fillId="23" borderId="17" xfId="0" applyNumberFormat="1" applyFont="1" applyFill="1" applyBorder="1" applyAlignment="1">
      <alignment horizontal="right" vertical="center"/>
    </xf>
    <xf numFmtId="0" fontId="4" fillId="0" borderId="7" xfId="0" applyFont="1" applyBorder="1" applyProtection="1">
      <protection locked="0"/>
    </xf>
    <xf numFmtId="0" fontId="0" fillId="0" borderId="7" xfId="0" applyBorder="1" applyProtection="1">
      <protection locked="0"/>
    </xf>
    <xf numFmtId="0" fontId="34" fillId="11" borderId="8" xfId="0" applyFont="1" applyFill="1" applyBorder="1" applyAlignment="1" applyProtection="1">
      <alignment horizontal="left" vertical="center" indent="1"/>
      <protection locked="0"/>
    </xf>
    <xf numFmtId="0" fontId="5" fillId="11" borderId="8" xfId="0" applyFont="1" applyFill="1" applyBorder="1" applyAlignment="1" applyProtection="1">
      <alignment horizontal="left" vertical="center"/>
      <protection locked="0"/>
    </xf>
    <xf numFmtId="0" fontId="4" fillId="0" borderId="28" xfId="0" applyFont="1" applyBorder="1" applyProtection="1">
      <protection locked="0"/>
    </xf>
    <xf numFmtId="0" fontId="30" fillId="12" borderId="9" xfId="0" applyFont="1" applyFill="1" applyBorder="1" applyAlignment="1" applyProtection="1">
      <alignment horizontal="left" vertical="center" indent="1"/>
      <protection locked="0"/>
    </xf>
    <xf numFmtId="0" fontId="30" fillId="12" borderId="9" xfId="0" applyFont="1" applyFill="1" applyBorder="1" applyAlignment="1" applyProtection="1">
      <alignment horizontal="center" vertical="center"/>
      <protection locked="0"/>
    </xf>
    <xf numFmtId="0" fontId="30" fillId="12" borderId="9" xfId="0" applyFont="1" applyFill="1" applyBorder="1" applyAlignment="1" applyProtection="1">
      <alignment horizontal="right" vertical="center"/>
      <protection locked="0"/>
    </xf>
    <xf numFmtId="0" fontId="19" fillId="13" borderId="9" xfId="0" applyFont="1" applyFill="1" applyBorder="1" applyAlignment="1" applyProtection="1">
      <alignment horizontal="left" vertical="center" indent="1"/>
      <protection locked="0"/>
    </xf>
    <xf numFmtId="0" fontId="4" fillId="0" borderId="0" xfId="0" applyFont="1" applyAlignment="1" applyProtection="1">
      <alignment horizontal="right"/>
      <protection locked="0"/>
    </xf>
    <xf numFmtId="0" fontId="4" fillId="18" borderId="0" xfId="0" applyFont="1" applyFill="1" applyProtection="1">
      <protection locked="0"/>
    </xf>
    <xf numFmtId="0" fontId="19" fillId="21" borderId="9" xfId="0" applyFont="1" applyFill="1" applyBorder="1" applyAlignment="1" applyProtection="1">
      <alignment horizontal="left" vertical="center" indent="1"/>
      <protection locked="0"/>
    </xf>
    <xf numFmtId="0" fontId="33" fillId="22" borderId="17" xfId="0" applyFont="1" applyFill="1" applyBorder="1" applyAlignment="1" applyProtection="1">
      <alignment horizontal="left" vertical="center" indent="1"/>
      <protection locked="0"/>
    </xf>
    <xf numFmtId="0" fontId="3" fillId="0" borderId="0" xfId="0" applyFont="1" applyProtection="1">
      <protection locked="0"/>
    </xf>
    <xf numFmtId="0" fontId="21" fillId="16" borderId="18" xfId="0" applyFont="1" applyFill="1" applyBorder="1" applyAlignment="1" applyProtection="1">
      <alignment horizontal="center" vertical="center"/>
      <protection locked="0"/>
    </xf>
    <xf numFmtId="0" fontId="24" fillId="17" borderId="18" xfId="0" applyFont="1" applyFill="1" applyBorder="1" applyAlignment="1" applyProtection="1">
      <alignment horizontal="center" vertical="center"/>
      <protection locked="0"/>
    </xf>
    <xf numFmtId="0" fontId="21" fillId="19" borderId="9" xfId="0" applyFont="1" applyFill="1" applyBorder="1" applyAlignment="1" applyProtection="1">
      <alignment horizontal="center" vertical="center"/>
      <protection locked="0"/>
    </xf>
    <xf numFmtId="0" fontId="24" fillId="17" borderId="9" xfId="0" applyFont="1" applyFill="1" applyBorder="1" applyAlignment="1" applyProtection="1">
      <alignment horizontal="center" vertical="center"/>
      <protection locked="0"/>
    </xf>
    <xf numFmtId="0" fontId="21" fillId="16" borderId="9" xfId="0" applyFont="1" applyFill="1" applyBorder="1" applyAlignment="1" applyProtection="1">
      <alignment horizontal="center" vertical="center"/>
      <protection locked="0"/>
    </xf>
    <xf numFmtId="0" fontId="24" fillId="24" borderId="9" xfId="0" applyFont="1" applyFill="1" applyBorder="1" applyAlignment="1" applyProtection="1">
      <alignment horizontal="center" vertical="center"/>
      <protection locked="0"/>
    </xf>
    <xf numFmtId="0" fontId="30" fillId="12" borderId="18" xfId="0" applyFont="1" applyFill="1" applyBorder="1" applyAlignment="1" applyProtection="1">
      <alignment horizontal="left" vertical="center" indent="1"/>
      <protection locked="0"/>
    </xf>
    <xf numFmtId="0" fontId="30" fillId="12" borderId="18" xfId="0" applyFont="1" applyFill="1" applyBorder="1" applyAlignment="1" applyProtection="1">
      <alignment horizontal="right" vertical="center"/>
      <protection locked="0"/>
    </xf>
    <xf numFmtId="0" fontId="35" fillId="0" borderId="9" xfId="0" applyFont="1" applyBorder="1" applyAlignment="1" applyProtection="1">
      <alignment horizontal="left" indent="1"/>
      <protection locked="0"/>
    </xf>
    <xf numFmtId="167" fontId="3" fillId="0" borderId="0" xfId="0" applyNumberFormat="1" applyFont="1" applyProtection="1">
      <protection locked="0"/>
    </xf>
    <xf numFmtId="10" fontId="21" fillId="16" borderId="18" xfId="0" applyNumberFormat="1" applyFont="1" applyFill="1" applyBorder="1" applyAlignment="1">
      <alignment horizontal="center" vertical="center"/>
    </xf>
    <xf numFmtId="173" fontId="21" fillId="16" borderId="18" xfId="0" applyNumberFormat="1" applyFont="1" applyFill="1" applyBorder="1" applyAlignment="1">
      <alignment horizontal="center" vertical="center"/>
    </xf>
    <xf numFmtId="10" fontId="21" fillId="16" borderId="9" xfId="0" applyNumberFormat="1" applyFont="1" applyFill="1" applyBorder="1" applyAlignment="1">
      <alignment horizontal="center" vertical="center"/>
    </xf>
    <xf numFmtId="173" fontId="21" fillId="16" borderId="9" xfId="0" applyNumberFormat="1" applyFont="1" applyFill="1" applyBorder="1" applyAlignment="1">
      <alignment horizontal="center" vertical="center"/>
    </xf>
    <xf numFmtId="173" fontId="21" fillId="19" borderId="9" xfId="0" applyNumberFormat="1" applyFont="1" applyFill="1" applyBorder="1" applyAlignment="1">
      <alignment horizontal="center" vertical="center"/>
    </xf>
    <xf numFmtId="10" fontId="21" fillId="25" borderId="9" xfId="0" applyNumberFormat="1" applyFont="1" applyFill="1" applyBorder="1" applyAlignment="1">
      <alignment horizontal="center" vertical="center"/>
    </xf>
    <xf numFmtId="173" fontId="21" fillId="25" borderId="9" xfId="0" applyNumberFormat="1" applyFont="1" applyFill="1" applyBorder="1" applyAlignment="1">
      <alignment horizontal="center" vertical="center"/>
    </xf>
    <xf numFmtId="173" fontId="21" fillId="24" borderId="9" xfId="0" applyNumberFormat="1" applyFont="1" applyFill="1" applyBorder="1" applyAlignment="1">
      <alignment horizontal="center" vertical="center"/>
    </xf>
    <xf numFmtId="173" fontId="7" fillId="0" borderId="9" xfId="0" applyNumberFormat="1" applyFont="1" applyBorder="1"/>
    <xf numFmtId="2" fontId="7" fillId="0" borderId="9" xfId="0" applyNumberFormat="1" applyFont="1" applyBorder="1"/>
    <xf numFmtId="0" fontId="2" fillId="0" borderId="0" xfId="0" applyFont="1" applyProtection="1">
      <protection locked="0"/>
    </xf>
    <xf numFmtId="0" fontId="37" fillId="11" borderId="16" xfId="0" applyFont="1" applyFill="1" applyBorder="1" applyAlignment="1" applyProtection="1">
      <alignment horizontal="left" vertical="center" indent="1"/>
      <protection locked="0"/>
    </xf>
    <xf numFmtId="0" fontId="37" fillId="11" borderId="16" xfId="0" applyFont="1" applyFill="1" applyBorder="1" applyAlignment="1" applyProtection="1">
      <alignment horizontal="center" vertical="center"/>
      <protection locked="0"/>
    </xf>
    <xf numFmtId="0" fontId="19" fillId="13" borderId="15" xfId="0" applyFont="1" applyFill="1" applyBorder="1" applyAlignment="1" applyProtection="1">
      <alignment horizontal="left" vertical="center" indent="1"/>
      <protection locked="0"/>
    </xf>
    <xf numFmtId="10" fontId="22" fillId="17" borderId="15" xfId="0" applyNumberFormat="1" applyFont="1" applyFill="1" applyBorder="1" applyAlignment="1" applyProtection="1">
      <alignment horizontal="center" vertical="center"/>
      <protection locked="0"/>
    </xf>
    <xf numFmtId="10" fontId="23" fillId="20" borderId="15" xfId="0" applyNumberFormat="1" applyFont="1" applyFill="1" applyBorder="1" applyAlignment="1">
      <alignment horizontal="center" vertical="center"/>
    </xf>
    <xf numFmtId="173" fontId="23" fillId="20" borderId="9" xfId="0" applyNumberFormat="1" applyFont="1" applyFill="1" applyBorder="1" applyAlignment="1">
      <alignment horizontal="center" vertical="center"/>
    </xf>
    <xf numFmtId="173" fontId="21" fillId="16" borderId="15" xfId="0" applyNumberFormat="1" applyFont="1" applyFill="1" applyBorder="1" applyAlignment="1">
      <alignment horizontal="center" vertical="center"/>
    </xf>
    <xf numFmtId="0" fontId="37" fillId="11" borderId="16" xfId="0" applyFont="1" applyFill="1" applyBorder="1" applyAlignment="1" applyProtection="1">
      <alignment horizontal="right" vertical="center"/>
      <protection locked="0"/>
    </xf>
    <xf numFmtId="0" fontId="37" fillId="11" borderId="16" xfId="0" applyFont="1" applyFill="1" applyBorder="1" applyAlignment="1" applyProtection="1">
      <alignment horizontal="right" vertical="center" indent="1"/>
      <protection locked="0"/>
    </xf>
    <xf numFmtId="0" fontId="19" fillId="13" borderId="28" xfId="0" applyFont="1" applyFill="1" applyBorder="1" applyAlignment="1" applyProtection="1">
      <alignment horizontal="left" vertical="center" indent="1"/>
      <protection locked="0"/>
    </xf>
    <xf numFmtId="166" fontId="22" fillId="17" borderId="28" xfId="0" applyNumberFormat="1" applyFont="1" applyFill="1" applyBorder="1" applyAlignment="1" applyProtection="1">
      <alignment vertical="center"/>
      <protection locked="0"/>
    </xf>
    <xf numFmtId="0" fontId="19" fillId="13" borderId="8" xfId="0" applyFont="1" applyFill="1" applyBorder="1" applyAlignment="1" applyProtection="1">
      <alignment horizontal="left" vertical="center" indent="1"/>
      <protection locked="0"/>
    </xf>
    <xf numFmtId="166" fontId="22" fillId="17" borderId="8" xfId="0" applyNumberFormat="1" applyFont="1" applyFill="1" applyBorder="1" applyAlignment="1" applyProtection="1">
      <alignment vertical="center"/>
      <protection locked="0"/>
    </xf>
    <xf numFmtId="4" fontId="22" fillId="17" borderId="8" xfId="0" applyNumberFormat="1" applyFont="1" applyFill="1" applyBorder="1" applyAlignment="1" applyProtection="1">
      <alignment vertical="center"/>
      <protection locked="0"/>
    </xf>
    <xf numFmtId="0" fontId="19" fillId="13" borderId="27" xfId="0" applyFont="1" applyFill="1" applyBorder="1" applyAlignment="1" applyProtection="1">
      <alignment horizontal="left" vertical="center" indent="1"/>
      <protection locked="0"/>
    </xf>
    <xf numFmtId="0" fontId="2" fillId="18" borderId="27" xfId="0" applyFont="1" applyFill="1" applyBorder="1" applyAlignment="1" applyProtection="1">
      <alignment vertical="center"/>
      <protection locked="0"/>
    </xf>
    <xf numFmtId="0" fontId="19" fillId="13" borderId="32" xfId="0" applyFont="1" applyFill="1" applyBorder="1" applyAlignment="1" applyProtection="1">
      <alignment horizontal="left" vertical="center" indent="1"/>
      <protection locked="0"/>
    </xf>
    <xf numFmtId="166" fontId="22" fillId="13" borderId="29" xfId="0" applyNumberFormat="1" applyFont="1" applyFill="1" applyBorder="1" applyAlignment="1" applyProtection="1">
      <alignment horizontal="right" vertical="center"/>
      <protection locked="0"/>
    </xf>
    <xf numFmtId="166" fontId="22" fillId="13" borderId="32" xfId="0" applyNumberFormat="1" applyFont="1" applyFill="1" applyBorder="1" applyAlignment="1" applyProtection="1">
      <alignment horizontal="right" vertical="center"/>
      <protection locked="0"/>
    </xf>
    <xf numFmtId="167" fontId="2" fillId="0" borderId="0" xfId="0" applyNumberFormat="1" applyFont="1" applyProtection="1">
      <protection locked="0"/>
    </xf>
    <xf numFmtId="10" fontId="2" fillId="0" borderId="0" xfId="0" applyNumberFormat="1" applyFont="1" applyProtection="1">
      <protection locked="0"/>
    </xf>
    <xf numFmtId="0" fontId="19" fillId="13" borderId="33" xfId="0" applyFont="1" applyFill="1" applyBorder="1" applyAlignment="1" applyProtection="1">
      <alignment horizontal="left" vertical="center" indent="1"/>
      <protection locked="0"/>
    </xf>
    <xf numFmtId="166" fontId="41" fillId="13" borderId="30" xfId="0" applyNumberFormat="1" applyFont="1" applyFill="1" applyBorder="1" applyAlignment="1" applyProtection="1">
      <alignment horizontal="right" vertical="center"/>
      <protection locked="0"/>
    </xf>
    <xf numFmtId="0" fontId="19" fillId="13" borderId="12" xfId="0" applyFont="1" applyFill="1" applyBorder="1" applyAlignment="1" applyProtection="1">
      <alignment horizontal="left" vertical="center" indent="1"/>
      <protection locked="0"/>
    </xf>
    <xf numFmtId="0" fontId="25" fillId="0" borderId="0" xfId="0" applyFont="1" applyProtection="1">
      <protection locked="0"/>
    </xf>
    <xf numFmtId="10" fontId="25" fillId="0" borderId="0" xfId="0" applyNumberFormat="1" applyFont="1" applyProtection="1">
      <protection locked="0"/>
    </xf>
    <xf numFmtId="0" fontId="2" fillId="13" borderId="33" xfId="0" applyFont="1" applyFill="1" applyBorder="1" applyAlignment="1" applyProtection="1">
      <alignment horizontal="left" vertical="center"/>
      <protection locked="0"/>
    </xf>
    <xf numFmtId="0" fontId="42" fillId="13" borderId="30" xfId="0" applyFont="1" applyFill="1" applyBorder="1" applyAlignment="1" applyProtection="1">
      <alignment horizontal="right" vertical="center"/>
      <protection locked="0"/>
    </xf>
    <xf numFmtId="10" fontId="22" fillId="13" borderId="12" xfId="0" applyNumberFormat="1" applyFont="1" applyFill="1" applyBorder="1" applyAlignment="1" applyProtection="1">
      <alignment horizontal="right" vertical="center"/>
      <protection locked="0"/>
    </xf>
    <xf numFmtId="171" fontId="22" fillId="13" borderId="12" xfId="0" applyNumberFormat="1" applyFont="1" applyFill="1" applyBorder="1" applyAlignment="1" applyProtection="1">
      <alignment horizontal="right" vertical="center"/>
      <protection locked="0"/>
    </xf>
    <xf numFmtId="0" fontId="12" fillId="0" borderId="0" xfId="0" applyFont="1" applyProtection="1">
      <protection locked="0"/>
    </xf>
    <xf numFmtId="9" fontId="12" fillId="0" borderId="0" xfId="0" applyNumberFormat="1" applyFont="1" applyProtection="1">
      <protection locked="0"/>
    </xf>
    <xf numFmtId="167" fontId="40" fillId="18" borderId="27" xfId="0" applyNumberFormat="1" applyFont="1" applyFill="1" applyBorder="1" applyAlignment="1">
      <alignment horizontal="center" vertical="center"/>
    </xf>
    <xf numFmtId="167" fontId="39" fillId="18" borderId="28" xfId="0" applyNumberFormat="1" applyFont="1" applyFill="1" applyBorder="1" applyAlignment="1">
      <alignment vertical="center"/>
    </xf>
    <xf numFmtId="167" fontId="40" fillId="18" borderId="1" xfId="0" applyNumberFormat="1" applyFont="1" applyFill="1" applyBorder="1" applyAlignment="1">
      <alignment horizontal="center" vertical="center"/>
    </xf>
    <xf numFmtId="167" fontId="39" fillId="18" borderId="27" xfId="0" applyNumberFormat="1" applyFont="1" applyFill="1" applyBorder="1" applyAlignment="1">
      <alignment vertical="center"/>
    </xf>
    <xf numFmtId="167" fontId="40" fillId="13" borderId="12" xfId="0" applyNumberFormat="1" applyFont="1" applyFill="1" applyBorder="1" applyAlignment="1">
      <alignment horizontal="right" vertical="center"/>
    </xf>
    <xf numFmtId="167" fontId="39" fillId="13" borderId="33" xfId="0" applyNumberFormat="1" applyFont="1" applyFill="1" applyBorder="1" applyAlignment="1">
      <alignment horizontal="right" vertical="center"/>
    </xf>
    <xf numFmtId="166" fontId="26" fillId="13" borderId="31" xfId="0" applyNumberFormat="1" applyFont="1" applyFill="1" applyBorder="1" applyAlignment="1">
      <alignment horizontal="right" vertical="center"/>
    </xf>
    <xf numFmtId="166" fontId="26" fillId="13" borderId="12" xfId="0" applyNumberFormat="1" applyFont="1" applyFill="1" applyBorder="1" applyAlignment="1">
      <alignment horizontal="right" vertical="center"/>
    </xf>
    <xf numFmtId="168" fontId="26" fillId="13" borderId="31" xfId="0" applyNumberFormat="1" applyFont="1" applyFill="1" applyBorder="1" applyAlignment="1">
      <alignment horizontal="right" vertical="center"/>
    </xf>
    <xf numFmtId="168" fontId="26" fillId="13" borderId="12" xfId="0" applyNumberFormat="1" applyFont="1" applyFill="1" applyBorder="1" applyAlignment="1">
      <alignment horizontal="right" vertical="center"/>
    </xf>
    <xf numFmtId="10" fontId="40" fillId="13" borderId="12" xfId="0" applyNumberFormat="1" applyFont="1" applyFill="1" applyBorder="1" applyAlignment="1">
      <alignment horizontal="right" vertical="center"/>
    </xf>
    <xf numFmtId="172" fontId="40" fillId="13" borderId="12" xfId="0" applyNumberFormat="1" applyFont="1" applyFill="1" applyBorder="1" applyAlignment="1">
      <alignment horizontal="right" vertical="center"/>
    </xf>
    <xf numFmtId="9" fontId="12" fillId="0" borderId="0" xfId="0" applyNumberFormat="1" applyFont="1"/>
    <xf numFmtId="0" fontId="37" fillId="11" borderId="13" xfId="0" applyFont="1" applyFill="1" applyBorder="1" applyAlignment="1" applyProtection="1">
      <alignment horizontal="center" vertical="center"/>
      <protection locked="0"/>
    </xf>
    <xf numFmtId="0" fontId="37" fillId="11" borderId="13" xfId="0" applyFont="1" applyFill="1" applyBorder="1" applyAlignment="1" applyProtection="1">
      <alignment horizontal="center" vertical="center" wrapText="1"/>
      <protection locked="0"/>
    </xf>
    <xf numFmtId="0" fontId="21" fillId="16" borderId="1" xfId="0" applyFont="1" applyFill="1" applyBorder="1" applyAlignment="1" applyProtection="1">
      <alignment vertical="center"/>
      <protection locked="0"/>
    </xf>
    <xf numFmtId="0" fontId="22" fillId="16" borderId="1" xfId="0" applyFont="1" applyFill="1" applyBorder="1" applyAlignment="1" applyProtection="1">
      <alignment horizontal="center" vertical="center"/>
      <protection locked="0"/>
    </xf>
    <xf numFmtId="10" fontId="22" fillId="16" borderId="1" xfId="0" applyNumberFormat="1" applyFont="1" applyFill="1" applyBorder="1" applyAlignment="1" applyProtection="1">
      <alignment horizontal="center" vertical="center"/>
      <protection locked="0"/>
    </xf>
    <xf numFmtId="3" fontId="1" fillId="16" borderId="1" xfId="0" applyNumberFormat="1" applyFont="1" applyFill="1" applyBorder="1" applyAlignment="1" applyProtection="1">
      <alignment horizontal="center" vertical="center"/>
      <protection locked="0"/>
    </xf>
    <xf numFmtId="0" fontId="1" fillId="16" borderId="1" xfId="0" applyFont="1" applyFill="1" applyBorder="1" applyAlignment="1" applyProtection="1">
      <alignment horizontal="center" vertical="center"/>
      <protection locked="0"/>
    </xf>
    <xf numFmtId="0" fontId="2" fillId="16" borderId="1" xfId="0" applyFont="1" applyFill="1" applyBorder="1" applyAlignment="1" applyProtection="1">
      <alignment horizontal="center" vertical="center"/>
      <protection locked="0"/>
    </xf>
    <xf numFmtId="0" fontId="40" fillId="7" borderId="1" xfId="0" applyFont="1" applyFill="1" applyBorder="1" applyAlignment="1" applyProtection="1">
      <alignment vertical="center"/>
      <protection locked="0"/>
    </xf>
    <xf numFmtId="0" fontId="40" fillId="7" borderId="1" xfId="0" applyFont="1" applyFill="1" applyBorder="1" applyAlignment="1" applyProtection="1">
      <alignment horizontal="center" vertical="center"/>
      <protection locked="0"/>
    </xf>
    <xf numFmtId="2" fontId="40" fillId="7" borderId="1" xfId="0" applyNumberFormat="1" applyFont="1" applyFill="1" applyBorder="1" applyAlignment="1" applyProtection="1">
      <alignment horizontal="center" vertical="center"/>
      <protection locked="0"/>
    </xf>
    <xf numFmtId="15" fontId="22" fillId="16" borderId="1" xfId="0" applyNumberFormat="1" applyFont="1" applyFill="1" applyBorder="1" applyAlignment="1" applyProtection="1">
      <alignment horizontal="center" vertical="center"/>
      <protection locked="0"/>
    </xf>
    <xf numFmtId="0" fontId="21" fillId="19" borderId="1" xfId="0" applyFont="1" applyFill="1" applyBorder="1" applyAlignment="1" applyProtection="1">
      <alignment vertical="center"/>
      <protection locked="0"/>
    </xf>
    <xf numFmtId="0" fontId="22" fillId="19" borderId="1" xfId="0" applyFont="1" applyFill="1" applyBorder="1" applyAlignment="1" applyProtection="1">
      <alignment horizontal="center" vertical="center"/>
      <protection locked="0"/>
    </xf>
    <xf numFmtId="9" fontId="22" fillId="19" borderId="1" xfId="0" applyNumberFormat="1" applyFont="1" applyFill="1" applyBorder="1" applyAlignment="1" applyProtection="1">
      <alignment horizontal="center" vertical="center"/>
      <protection locked="0"/>
    </xf>
    <xf numFmtId="10" fontId="22" fillId="19" borderId="1" xfId="0" applyNumberFormat="1" applyFont="1" applyFill="1" applyBorder="1" applyAlignment="1" applyProtection="1">
      <alignment horizontal="center" vertical="center"/>
      <protection locked="0"/>
    </xf>
    <xf numFmtId="0" fontId="18" fillId="27" borderId="34" xfId="0" applyFont="1" applyFill="1" applyBorder="1" applyAlignment="1" applyProtection="1">
      <alignment vertical="center"/>
      <protection locked="0"/>
    </xf>
    <xf numFmtId="0" fontId="0" fillId="0" borderId="35" xfId="0" applyBorder="1" applyProtection="1">
      <protection locked="0"/>
    </xf>
    <xf numFmtId="10" fontId="40" fillId="7" borderId="1" xfId="0" applyNumberFormat="1" applyFont="1" applyFill="1" applyBorder="1" applyAlignment="1">
      <alignment horizontal="center" vertical="center"/>
    </xf>
    <xf numFmtId="2" fontId="40" fillId="7" borderId="1" xfId="0" applyNumberFormat="1" applyFont="1" applyFill="1" applyBorder="1" applyAlignment="1">
      <alignment horizontal="center" vertical="center"/>
    </xf>
    <xf numFmtId="2" fontId="21" fillId="26" borderId="1" xfId="0" applyNumberFormat="1" applyFont="1" applyFill="1" applyBorder="1" applyAlignment="1">
      <alignment horizontal="center" vertical="center"/>
    </xf>
    <xf numFmtId="2" fontId="21" fillId="16" borderId="1" xfId="0" applyNumberFormat="1" applyFont="1" applyFill="1" applyBorder="1" applyAlignment="1">
      <alignment horizontal="center" vertical="center"/>
    </xf>
    <xf numFmtId="0" fontId="21" fillId="16" borderId="1" xfId="0" applyFont="1" applyFill="1" applyBorder="1" applyAlignment="1">
      <alignment horizontal="center" vertical="center"/>
    </xf>
    <xf numFmtId="2" fontId="21" fillId="19" borderId="1" xfId="0" applyNumberFormat="1" applyFont="1" applyFill="1" applyBorder="1" applyAlignment="1">
      <alignment horizontal="center" vertical="center"/>
    </xf>
    <xf numFmtId="0" fontId="21" fillId="19" borderId="1" xfId="0" applyFont="1" applyFill="1" applyBorder="1" applyAlignment="1">
      <alignment horizontal="center" vertical="center"/>
    </xf>
    <xf numFmtId="0" fontId="38" fillId="11" borderId="13" xfId="0" applyFont="1" applyFill="1" applyBorder="1" applyAlignment="1" applyProtection="1">
      <alignment horizontal="center" vertical="center"/>
      <protection locked="0"/>
    </xf>
    <xf numFmtId="0" fontId="38" fillId="11" borderId="13" xfId="0" applyFont="1" applyFill="1" applyBorder="1" applyAlignment="1" applyProtection="1">
      <alignment horizontal="center" vertical="center" wrapText="1"/>
      <protection locked="0"/>
    </xf>
    <xf numFmtId="0" fontId="44" fillId="28" borderId="1" xfId="0" applyFont="1" applyFill="1" applyBorder="1" applyAlignment="1" applyProtection="1">
      <alignment horizontal="center" vertical="center"/>
      <protection locked="0"/>
    </xf>
    <xf numFmtId="9" fontId="44" fillId="28" borderId="1" xfId="0" applyNumberFormat="1" applyFont="1" applyFill="1" applyBorder="1" applyAlignment="1" applyProtection="1">
      <alignment horizontal="center" vertical="center"/>
      <protection locked="0"/>
    </xf>
    <xf numFmtId="0" fontId="45" fillId="30" borderId="1" xfId="0" applyFont="1" applyFill="1" applyBorder="1" applyAlignment="1" applyProtection="1">
      <alignment horizontal="center" vertical="center"/>
      <protection locked="0"/>
    </xf>
    <xf numFmtId="9" fontId="45" fillId="30" borderId="1" xfId="0" applyNumberFormat="1" applyFont="1" applyFill="1" applyBorder="1" applyAlignment="1" applyProtection="1">
      <alignment horizontal="center" vertical="center"/>
      <protection locked="0"/>
    </xf>
    <xf numFmtId="0" fontId="50" fillId="29" borderId="1" xfId="0" applyFont="1" applyFill="1" applyBorder="1" applyAlignment="1" applyProtection="1">
      <alignment horizontal="center" vertical="center"/>
      <protection locked="0"/>
    </xf>
    <xf numFmtId="9" fontId="50" fillId="29" borderId="1" xfId="0" applyNumberFormat="1" applyFont="1" applyFill="1" applyBorder="1" applyAlignment="1" applyProtection="1">
      <alignment horizontal="center" vertical="center"/>
      <protection locked="0"/>
    </xf>
    <xf numFmtId="0" fontId="49" fillId="8" borderId="1" xfId="0" applyFont="1" applyFill="1" applyBorder="1" applyAlignment="1" applyProtection="1">
      <alignment horizontal="center" vertical="center"/>
      <protection locked="0"/>
    </xf>
    <xf numFmtId="9" fontId="49" fillId="8" borderId="1" xfId="0" applyNumberFormat="1" applyFont="1" applyFill="1" applyBorder="1" applyAlignment="1" applyProtection="1">
      <alignment horizontal="center" vertical="center"/>
      <protection locked="0"/>
    </xf>
    <xf numFmtId="9" fontId="0" fillId="0" borderId="0" xfId="0" applyNumberFormat="1" applyProtection="1">
      <protection locked="0"/>
    </xf>
    <xf numFmtId="0" fontId="30" fillId="0" borderId="12" xfId="0" applyFont="1" applyBorder="1" applyAlignment="1" applyProtection="1">
      <alignment horizontal="left" vertical="center" indent="1"/>
      <protection locked="0"/>
    </xf>
    <xf numFmtId="0" fontId="48" fillId="0" borderId="0" xfId="0" applyFont="1" applyProtection="1">
      <protection locked="0"/>
    </xf>
    <xf numFmtId="2" fontId="46" fillId="0" borderId="12" xfId="0" applyNumberFormat="1" applyFont="1" applyBorder="1" applyAlignment="1">
      <alignment horizontal="center" vertical="center"/>
    </xf>
    <xf numFmtId="0" fontId="43" fillId="13" borderId="1" xfId="0" applyFont="1" applyFill="1" applyBorder="1" applyAlignment="1">
      <alignment horizontal="left" vertical="center" indent="1"/>
    </xf>
    <xf numFmtId="0" fontId="29" fillId="11" borderId="10" xfId="0" applyFont="1" applyFill="1" applyBorder="1" applyAlignment="1" applyProtection="1">
      <alignment horizontal="left" vertical="center" indent="1"/>
      <protection locked="0"/>
    </xf>
    <xf numFmtId="0" fontId="29" fillId="11" borderId="11" xfId="0" applyFont="1" applyFill="1" applyBorder="1" applyAlignment="1" applyProtection="1">
      <alignment horizontal="left" vertical="center" indent="1"/>
      <protection locked="0"/>
    </xf>
    <xf numFmtId="0" fontId="28" fillId="10" borderId="0" xfId="0" applyFont="1" applyFill="1" applyAlignment="1" applyProtection="1">
      <alignment horizontal="center" vertical="center"/>
      <protection locked="0"/>
    </xf>
    <xf numFmtId="0" fontId="28" fillId="10" borderId="6" xfId="0" applyFont="1" applyFill="1" applyBorder="1" applyAlignment="1" applyProtection="1">
      <alignment horizontal="center" vertical="center"/>
      <protection locked="0"/>
    </xf>
    <xf numFmtId="0" fontId="29" fillId="11" borderId="12" xfId="0" applyFont="1" applyFill="1" applyBorder="1" applyAlignment="1" applyProtection="1">
      <alignment horizontal="left" vertical="center" indent="1"/>
      <protection locked="0"/>
    </xf>
    <xf numFmtId="0" fontId="28" fillId="10" borderId="0" xfId="0" applyFont="1" applyFill="1" applyAlignment="1" applyProtection="1">
      <alignment horizontal="left" vertical="center"/>
      <protection locked="0"/>
    </xf>
    <xf numFmtId="0" fontId="28" fillId="10" borderId="6" xfId="0" applyFont="1" applyFill="1" applyBorder="1" applyAlignment="1" applyProtection="1">
      <alignment horizontal="left" vertical="center"/>
      <protection locked="0"/>
    </xf>
    <xf numFmtId="0" fontId="5" fillId="2" borderId="13" xfId="0" applyFont="1" applyFill="1" applyBorder="1" applyAlignment="1" applyProtection="1">
      <alignment horizontal="center" vertical="center"/>
      <protection locked="0"/>
    </xf>
    <xf numFmtId="0" fontId="5" fillId="11" borderId="16" xfId="0" applyFont="1" applyFill="1" applyBorder="1" applyAlignment="1" applyProtection="1">
      <alignment horizontal="center" vertical="center"/>
      <protection locked="0"/>
    </xf>
    <xf numFmtId="0" fontId="34" fillId="11" borderId="10" xfId="0" applyFont="1" applyFill="1" applyBorder="1" applyAlignment="1" applyProtection="1">
      <alignment horizontal="left" vertical="center" indent="1"/>
      <protection locked="0"/>
    </xf>
    <xf numFmtId="0" fontId="34" fillId="11" borderId="11" xfId="0" applyFont="1" applyFill="1" applyBorder="1" applyAlignment="1" applyProtection="1">
      <alignment horizontal="left" vertical="center" indent="1"/>
      <protection locked="0"/>
    </xf>
    <xf numFmtId="0" fontId="34" fillId="11" borderId="10" xfId="0" applyFont="1" applyFill="1" applyBorder="1" applyAlignment="1" applyProtection="1">
      <alignment horizontal="center" vertical="center"/>
      <protection locked="0"/>
    </xf>
    <xf numFmtId="0" fontId="34" fillId="11" borderId="11" xfId="0" applyFont="1" applyFill="1" applyBorder="1" applyAlignment="1" applyProtection="1">
      <alignment horizontal="center" vertical="center"/>
      <protection locked="0"/>
    </xf>
    <xf numFmtId="0" fontId="5" fillId="11" borderId="19" xfId="0" applyFont="1" applyFill="1" applyBorder="1" applyAlignment="1" applyProtection="1">
      <alignment horizontal="center" vertical="center"/>
      <protection locked="0"/>
    </xf>
    <xf numFmtId="0" fontId="5" fillId="11" borderId="20" xfId="0" applyFont="1" applyFill="1" applyBorder="1" applyAlignment="1" applyProtection="1">
      <alignment horizontal="center" vertical="center"/>
      <protection locked="0"/>
    </xf>
    <xf numFmtId="0" fontId="36" fillId="10" borderId="6" xfId="0" applyFont="1" applyFill="1" applyBorder="1" applyAlignment="1" applyProtection="1">
      <alignment horizontal="left" vertical="center"/>
      <protection locked="0"/>
    </xf>
    <xf numFmtId="0" fontId="38" fillId="11" borderId="21" xfId="0" applyFont="1" applyFill="1" applyBorder="1" applyAlignment="1" applyProtection="1">
      <alignment horizontal="left" vertical="center" indent="1"/>
      <protection locked="0"/>
    </xf>
    <xf numFmtId="0" fontId="38" fillId="11" borderId="22" xfId="0" applyFont="1" applyFill="1" applyBorder="1" applyAlignment="1" applyProtection="1">
      <alignment horizontal="left" vertical="center" indent="1"/>
      <protection locked="0"/>
    </xf>
    <xf numFmtId="0" fontId="38" fillId="11" borderId="23" xfId="0" applyFont="1" applyFill="1" applyBorder="1" applyAlignment="1" applyProtection="1">
      <alignment horizontal="left" vertical="center" indent="1"/>
      <protection locked="0"/>
    </xf>
    <xf numFmtId="0" fontId="36" fillId="10" borderId="0" xfId="0" applyFont="1" applyFill="1" applyAlignment="1" applyProtection="1">
      <alignment horizontal="left" vertical="center"/>
      <protection locked="0"/>
    </xf>
    <xf numFmtId="0" fontId="21" fillId="5" borderId="0" xfId="0" applyFont="1" applyFill="1" applyAlignment="1" applyProtection="1">
      <alignment horizontal="left" vertical="center" wrapText="1"/>
      <protection locked="0"/>
    </xf>
    <xf numFmtId="0" fontId="38" fillId="27" borderId="10" xfId="0" applyFont="1" applyFill="1" applyBorder="1" applyAlignment="1" applyProtection="1">
      <alignment horizontal="left" vertical="center" indent="1"/>
      <protection locked="0"/>
    </xf>
    <xf numFmtId="0" fontId="38" fillId="27" borderId="11" xfId="0" applyFont="1" applyFill="1" applyBorder="1" applyAlignment="1" applyProtection="1">
      <alignment horizontal="left" vertical="center" indent="1"/>
      <protection locked="0"/>
    </xf>
    <xf numFmtId="0" fontId="51" fillId="0" borderId="0" xfId="0" applyFont="1" applyAlignment="1">
      <alignment horizontal="left" indent="1"/>
    </xf>
    <xf numFmtId="0" fontId="10" fillId="20" borderId="1" xfId="0" applyFont="1" applyFill="1" applyBorder="1" applyAlignment="1">
      <alignment horizontal="left" vertical="center" wrapText="1" indent="1"/>
    </xf>
    <xf numFmtId="0" fontId="11" fillId="6" borderId="1" xfId="0" applyFont="1" applyFill="1" applyBorder="1" applyAlignment="1">
      <alignment horizontal="left" vertical="center" wrapText="1" indent="1"/>
    </xf>
    <xf numFmtId="0" fontId="38" fillId="11" borderId="24" xfId="0" applyFont="1" applyFill="1" applyBorder="1" applyAlignment="1" applyProtection="1">
      <alignment horizontal="center" vertical="center"/>
      <protection locked="0"/>
    </xf>
    <xf numFmtId="0" fontId="38" fillId="11" borderId="25" xfId="0" applyFont="1" applyFill="1" applyBorder="1" applyAlignment="1" applyProtection="1">
      <alignment horizontal="center" vertical="center"/>
      <protection locked="0"/>
    </xf>
    <xf numFmtId="0" fontId="38" fillId="11" borderId="26" xfId="0" applyFont="1" applyFill="1" applyBorder="1" applyAlignment="1" applyProtection="1">
      <alignment horizontal="center" vertical="center"/>
      <protection locked="0"/>
    </xf>
    <xf numFmtId="0" fontId="52" fillId="31" borderId="0" xfId="0" applyFont="1" applyFill="1" applyAlignment="1">
      <alignment horizontal="center"/>
    </xf>
    <xf numFmtId="0" fontId="36" fillId="10" borderId="6" xfId="0" applyFont="1" applyFill="1" applyBorder="1" applyAlignment="1">
      <alignment horizontal="left" vertical="center"/>
    </xf>
  </cellXfs>
  <cellStyles count="1">
    <cellStyle name="Normal" xfId="0" builtinId="0"/>
  </cellStyles>
  <dxfs count="7">
    <dxf>
      <font>
        <color rgb="FFFF0000"/>
      </font>
    </dxf>
    <dxf>
      <font>
        <color rgb="FFFF0000"/>
      </font>
    </dxf>
    <dxf>
      <font>
        <color rgb="FFFF0000"/>
      </font>
    </dxf>
    <dxf>
      <font>
        <b/>
        <i val="0"/>
        <color rgb="FF00B050"/>
      </font>
    </dxf>
    <dxf>
      <font>
        <b/>
        <i val="0"/>
        <color rgb="FFFF0000"/>
      </font>
    </dxf>
    <dxf>
      <font>
        <b/>
        <i val="0"/>
        <color rgb="FF00B050"/>
      </font>
    </dxf>
    <dxf>
      <font>
        <b/>
        <i val="0"/>
        <color rgb="FFFF0000"/>
      </font>
    </dxf>
  </dxfs>
  <tableStyles count="1" defaultTableStyle="TableStyleMedium2" defaultPivotStyle="PivotStyleLight16">
    <tableStyle name="Invisible" pivot="0" table="0" count="0" xr9:uid="{2C26E493-1F27-46C0-9374-49A9C17E7CFE}"/>
  </tableStyles>
  <colors>
    <indexedColors>
      <rgbColor rgb="FF000000"/>
      <rgbColor rgb="FFFFFFFF"/>
      <rgbColor rgb="FFFF0000"/>
      <rgbColor rgb="FF00FF00"/>
      <rgbColor rgb="FF0000FF"/>
      <rgbColor rgb="FFFFFBE6"/>
      <rgbColor rgb="FFFF00FF"/>
      <rgbColor rgb="FF00FFFF"/>
      <rgbColor rgb="FFC00000"/>
      <rgbColor rgb="FF008000"/>
      <rgbColor rgb="FF00008B"/>
      <rgbColor rgb="FFC55A11"/>
      <rgbColor rgb="FF800080"/>
      <rgbColor rgb="FF006100"/>
      <rgbColor rgb="FFF5F5F5"/>
      <rgbColor rgb="FF888888"/>
      <rgbColor rgb="FFF9F9F9"/>
      <rgbColor rgb="FF7030A0"/>
      <rgbColor rgb="FFFFFDE7"/>
      <rgbColor rgb="FFEBF3FB"/>
      <rgbColor rgb="FF660066"/>
      <rgbColor rgb="FFFF8080"/>
      <rgbColor rgb="FF0066CC"/>
      <rgbColor rgb="FFD9E1F2"/>
      <rgbColor rgb="FF000080"/>
      <rgbColor rgb="FFFF00FF"/>
      <rgbColor rgb="FFF0FFF0"/>
      <rgbColor rgb="FF00FFFF"/>
      <rgbColor rgb="FF800080"/>
      <rgbColor rgb="FFCC0000"/>
      <rgbColor rgb="FF375623"/>
      <rgbColor rgb="FF0000FF"/>
      <rgbColor rgb="FF00CCFF"/>
      <rgbColor rgb="FFEAF0FB"/>
      <rgbColor rgb="FFE2EFDA"/>
      <rgbColor rgb="FFFFF2CC"/>
      <rgbColor rgb="FFF0F7FF"/>
      <rgbColor rgb="FFFFF9F0"/>
      <rgbColor rgb="FFF5F9FF"/>
      <rgbColor rgb="FFFCE4D6"/>
      <rgbColor rgb="FF2E75B6"/>
      <rgbColor rgb="FF33CCCC"/>
      <rgbColor rgb="FF92D050"/>
      <rgbColor rgb="FFFFFDF5"/>
      <rgbColor rgb="FFFF9900"/>
      <rgbColor rgb="FFED7D31"/>
      <rgbColor rgb="FF666666"/>
      <rgbColor rgb="FFAAAAAA"/>
      <rgbColor rgb="FF0D2137"/>
      <rgbColor rgb="FF70AD47"/>
      <rgbColor rgb="FF014421"/>
      <rgbColor rgb="FF444444"/>
      <rgbColor rgb="FF9C5700"/>
      <rgbColor rgb="FF555555"/>
      <rgbColor rgb="FF1F4E79"/>
      <rgbColor rgb="FF333333"/>
      <rgbColor rgb="00003366"/>
      <rgbColor rgb="00339966"/>
      <rgbColor rgb="00003300"/>
      <rgbColor rgb="00333300"/>
      <rgbColor rgb="00993300"/>
      <rgbColor rgb="00993366"/>
      <rgbColor rgb="00333399"/>
      <rgbColor rgb="00333333"/>
    </indexedColors>
    <mruColors>
      <color rgb="FF00366C"/>
      <color rgb="FFF87221"/>
      <color rgb="FFC00000"/>
      <color rgb="FF5B9BD5"/>
      <color rgb="FF70AD47"/>
      <color rgb="FF0B2D5B"/>
      <color rgb="FFF4CCCC"/>
      <color rgb="FFC55A11"/>
      <color rgb="FFFCE4D6"/>
      <color rgb="FF9C6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Sensitivity!$E$3</c:f>
              <c:strCache>
                <c:ptCount val="1"/>
                <c:pt idx="0">
                  <c:v>Bond Price (₹)</c:v>
                </c:pt>
              </c:strCache>
            </c:strRef>
          </c:tx>
          <c:spPr>
            <a:ln w="19050" cap="rnd">
              <a:solidFill>
                <a:srgbClr val="00366C"/>
              </a:solidFill>
              <a:round/>
            </a:ln>
            <a:effectLst/>
          </c:spPr>
          <c:marker>
            <c:symbol val="circle"/>
            <c:size val="5"/>
            <c:spPr>
              <a:solidFill>
                <a:srgbClr val="F87221"/>
              </a:solidFill>
              <a:ln w="9525">
                <a:solidFill>
                  <a:srgbClr val="F87221"/>
                </a:solidFill>
              </a:ln>
              <a:effectLst/>
            </c:spPr>
          </c:marker>
          <c:dLbls>
            <c:dLbl>
              <c:idx val="4"/>
              <c:layout>
                <c:manualLayout>
                  <c:x val="-3.7882108486439192E-2"/>
                  <c:y val="-6.2465368912219307E-2"/>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00366C"/>
                        </a:solidFill>
                        <a:latin typeface="+mn-lt"/>
                        <a:ea typeface="+mn-ea"/>
                        <a:cs typeface="+mn-cs"/>
                      </a:defRPr>
                    </a:pPr>
                    <a:fld id="{4D8CA783-138C-445E-85F4-2654D8CE3A68}" type="YVALUE">
                      <a:rPr lang="en-US" b="1">
                        <a:solidFill>
                          <a:schemeClr val="bg1"/>
                        </a:solidFill>
                      </a:rPr>
                      <a:pPr>
                        <a:defRPr b="1">
                          <a:solidFill>
                            <a:srgbClr val="00366C"/>
                          </a:solidFill>
                        </a:defRPr>
                      </a:pPr>
                      <a:t>[Y VALUE]</a:t>
                    </a:fld>
                    <a:endParaRPr lang="en-IN"/>
                  </a:p>
                </c:rich>
              </c:tx>
              <c:numFmt formatCode="\₹\ #,##0" sourceLinked="0"/>
              <c:spPr>
                <a:solidFill>
                  <a:srgbClr val="00366C"/>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66C"/>
                      </a:solidFill>
                      <a:latin typeface="+mn-lt"/>
                      <a:ea typeface="+mn-ea"/>
                      <a:cs typeface="+mn-cs"/>
                    </a:defRPr>
                  </a:pPr>
                  <a:endParaRPr lang="en-IN"/>
                </a:p>
              </c:txPr>
              <c:dLblPos val="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1ED-4949-A3B6-21A22AED7B2F}"/>
                </c:ext>
              </c:extLst>
            </c:dLbl>
            <c:numFmt formatCode="\₹\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66C"/>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Sensitivity!$D$4:$D$12</c:f>
              <c:numCache>
                <c:formatCode>0.00%</c:formatCode>
                <c:ptCount val="9"/>
                <c:pt idx="0">
                  <c:v>5.7499999999999996E-2</c:v>
                </c:pt>
                <c:pt idx="1">
                  <c:v>6.25E-2</c:v>
                </c:pt>
                <c:pt idx="2">
                  <c:v>6.7500000000000004E-2</c:v>
                </c:pt>
                <c:pt idx="3">
                  <c:v>7.2499999999999995E-2</c:v>
                </c:pt>
                <c:pt idx="4">
                  <c:v>7.7499999999999999E-2</c:v>
                </c:pt>
                <c:pt idx="5">
                  <c:v>8.2500000000000004E-2</c:v>
                </c:pt>
                <c:pt idx="6">
                  <c:v>8.7499999999999994E-2</c:v>
                </c:pt>
                <c:pt idx="7">
                  <c:v>9.2499999999999999E-2</c:v>
                </c:pt>
                <c:pt idx="8">
                  <c:v>9.7500000000000003E-2</c:v>
                </c:pt>
              </c:numCache>
            </c:numRef>
          </c:xVal>
          <c:yVal>
            <c:numRef>
              <c:f>Sensitivity!$E$4:$E$12</c:f>
              <c:numCache>
                <c:formatCode>\₹\ #,##0.00</c:formatCode>
                <c:ptCount val="9"/>
                <c:pt idx="0">
                  <c:v>1100.8300794455672</c:v>
                </c:pt>
                <c:pt idx="1">
                  <c:v>1063.1339543385971</c:v>
                </c:pt>
                <c:pt idx="2">
                  <c:v>1027.1032607212655</c:v>
                </c:pt>
                <c:pt idx="3">
                  <c:v>992.65392724567471</c:v>
                </c:pt>
                <c:pt idx="4">
                  <c:v>959.70656274504825</c:v>
                </c:pt>
                <c:pt idx="5">
                  <c:v>928.18617347633608</c:v>
                </c:pt>
                <c:pt idx="6">
                  <c:v>898.02189872421377</c:v>
                </c:pt>
                <c:pt idx="7">
                  <c:v>869.14676349361241</c:v>
                </c:pt>
                <c:pt idx="8">
                  <c:v>841.49744711169933</c:v>
                </c:pt>
              </c:numCache>
            </c:numRef>
          </c:yVal>
          <c:smooth val="1"/>
          <c:extLst>
            <c:ext xmlns:c16="http://schemas.microsoft.com/office/drawing/2014/chart" uri="{C3380CC4-5D6E-409C-BE32-E72D297353CC}">
              <c16:uniqueId val="{00000000-D1ED-4949-A3B6-21A22AED7B2F}"/>
            </c:ext>
          </c:extLst>
        </c:ser>
        <c:dLbls>
          <c:showLegendKey val="0"/>
          <c:showVal val="0"/>
          <c:showCatName val="0"/>
          <c:showSerName val="0"/>
          <c:showPercent val="0"/>
          <c:showBubbleSize val="0"/>
        </c:dLbls>
        <c:axId val="1979522367"/>
        <c:axId val="1979527167"/>
      </c:scatterChart>
      <c:valAx>
        <c:axId val="1979522367"/>
        <c:scaling>
          <c:orientation val="minMax"/>
          <c:max val="0.1"/>
          <c:min val="5.5000000000000007E-2"/>
        </c:scaling>
        <c:delete val="0"/>
        <c:axPos val="b"/>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9527167"/>
        <c:crosses val="autoZero"/>
        <c:crossBetween val="midCat"/>
      </c:valAx>
      <c:valAx>
        <c:axId val="1979527167"/>
        <c:scaling>
          <c:orientation val="minMax"/>
          <c:max val="1150"/>
          <c:min val="800"/>
        </c:scaling>
        <c:delete val="0"/>
        <c:axPos val="l"/>
        <c:numFmt formatCode="\₹\ #,##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95223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Scenarios!$B$16</c:f>
              <c:strCache>
                <c:ptCount val="1"/>
                <c:pt idx="0">
                  <c:v>1-Year Holding Period Return (%)</c:v>
                </c:pt>
              </c:strCache>
            </c:strRef>
          </c:tx>
          <c:spPr>
            <a:solidFill>
              <a:schemeClr val="accent1"/>
            </a:solidFill>
            <a:ln>
              <a:noFill/>
            </a:ln>
            <a:effectLst/>
          </c:spPr>
          <c:invertIfNegative val="0"/>
          <c:dPt>
            <c:idx val="0"/>
            <c:invertIfNegative val="0"/>
            <c:bubble3D val="0"/>
            <c:spPr>
              <a:solidFill>
                <a:srgbClr val="70AD47"/>
              </a:solidFill>
              <a:ln>
                <a:noFill/>
              </a:ln>
              <a:effectLst/>
            </c:spPr>
            <c:extLst>
              <c:ext xmlns:c16="http://schemas.microsoft.com/office/drawing/2014/chart" uri="{C3380CC4-5D6E-409C-BE32-E72D297353CC}">
                <c16:uniqueId val="{00000001-125E-4122-96B3-C6D2EE8F406C}"/>
              </c:ext>
            </c:extLst>
          </c:dPt>
          <c:dPt>
            <c:idx val="1"/>
            <c:invertIfNegative val="0"/>
            <c:bubble3D val="0"/>
            <c:spPr>
              <a:solidFill>
                <a:srgbClr val="5B9BD5"/>
              </a:solidFill>
              <a:ln>
                <a:noFill/>
              </a:ln>
              <a:effectLst/>
            </c:spPr>
            <c:extLst>
              <c:ext xmlns:c16="http://schemas.microsoft.com/office/drawing/2014/chart" uri="{C3380CC4-5D6E-409C-BE32-E72D297353CC}">
                <c16:uniqueId val="{00000003-125E-4122-96B3-C6D2EE8F406C}"/>
              </c:ext>
            </c:extLst>
          </c:dPt>
          <c:dPt>
            <c:idx val="2"/>
            <c:invertIfNegative val="0"/>
            <c:bubble3D val="0"/>
            <c:spPr>
              <a:solidFill>
                <a:srgbClr val="C00000"/>
              </a:solidFill>
              <a:ln>
                <a:noFill/>
              </a:ln>
              <a:effectLst/>
            </c:spPr>
            <c:extLst>
              <c:ext xmlns:c16="http://schemas.microsoft.com/office/drawing/2014/chart" uri="{C3380CC4-5D6E-409C-BE32-E72D297353CC}">
                <c16:uniqueId val="{00000005-125E-4122-96B3-C6D2EE8F406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0AD47"/>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125E-4122-96B3-C6D2EE8F406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5B9BD5"/>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125E-4122-96B3-C6D2EE8F406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125E-4122-96B3-C6D2EE8F406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Scenarios!$C$11:$E$11</c:f>
              <c:strCache>
                <c:ptCount val="3"/>
                <c:pt idx="0">
                  <c:v>Bull</c:v>
                </c:pt>
                <c:pt idx="1">
                  <c:v>Base</c:v>
                </c:pt>
                <c:pt idx="2">
                  <c:v>Bear</c:v>
                </c:pt>
              </c:strCache>
            </c:strRef>
          </c:cat>
          <c:val>
            <c:numRef>
              <c:f>Scenarios!$C$16:$E$16</c:f>
              <c:numCache>
                <c:formatCode>0.00%</c:formatCode>
                <c:ptCount val="3"/>
                <c:pt idx="0">
                  <c:v>0.21341958829798904</c:v>
                </c:pt>
                <c:pt idx="1">
                  <c:v>7.7894812035938593E-2</c:v>
                </c:pt>
                <c:pt idx="2">
                  <c:v>1.7990702965337658E-2</c:v>
                </c:pt>
              </c:numCache>
            </c:numRef>
          </c:val>
          <c:extLst>
            <c:ext xmlns:c16="http://schemas.microsoft.com/office/drawing/2014/chart" uri="{C3380CC4-5D6E-409C-BE32-E72D297353CC}">
              <c16:uniqueId val="{00000006-125E-4122-96B3-C6D2EE8F406C}"/>
            </c:ext>
          </c:extLst>
        </c:ser>
        <c:dLbls>
          <c:showLegendKey val="0"/>
          <c:showVal val="0"/>
          <c:showCatName val="0"/>
          <c:showSerName val="0"/>
          <c:showPercent val="0"/>
          <c:showBubbleSize val="0"/>
        </c:dLbls>
        <c:gapWidth val="219"/>
        <c:overlap val="-27"/>
        <c:axId val="1979494527"/>
        <c:axId val="1979495007"/>
      </c:barChart>
      <c:catAx>
        <c:axId val="197949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9495007"/>
        <c:crosses val="autoZero"/>
        <c:auto val="1"/>
        <c:lblAlgn val="ctr"/>
        <c:lblOffset val="100"/>
        <c:noMultiLvlLbl val="0"/>
      </c:catAx>
      <c:valAx>
        <c:axId val="1979495007"/>
        <c:scaling>
          <c:orientation val="minMax"/>
        </c:scaling>
        <c:delete val="0"/>
        <c:axPos val="l"/>
        <c:majorGridlines>
          <c:spPr>
            <a:ln w="9525" cap="flat" cmpd="sng" algn="ctr">
              <a:solidFill>
                <a:schemeClr val="bg1">
                  <a:lumMod val="95000"/>
                </a:schemeClr>
              </a:solidFill>
              <a:round/>
            </a:ln>
            <a:effectLst/>
          </c:spPr>
        </c:majorGridlines>
        <c:numFmt formatCode="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9494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Gross NPA (%)</c:v>
          </c:tx>
          <c:spPr>
            <a:ln w="31750" cap="rnd">
              <a:solidFill>
                <a:srgbClr val="0B2D5B"/>
              </a:solidFill>
              <a:round/>
            </a:ln>
            <a:effectLst/>
          </c:spPr>
          <c:marker>
            <c:symbol val="circle"/>
            <c:size val="6"/>
            <c:spPr>
              <a:solidFill>
                <a:srgbClr val="00366C"/>
              </a:solidFill>
              <a:ln w="9525">
                <a:noFill/>
              </a:ln>
              <a:effectLst/>
            </c:spPr>
          </c:marker>
          <c:dLbls>
            <c:dLbl>
              <c:idx val="1"/>
              <c:layout>
                <c:manualLayout>
                  <c:x val="-2.3491229552310477E-2"/>
                  <c:y val="-3.40537279894181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92-43B4-A60F-CE97430B09B7}"/>
                </c:ext>
              </c:extLst>
            </c:dLbl>
            <c:dLbl>
              <c:idx val="2"/>
              <c:layout>
                <c:manualLayout>
                  <c:x val="-3.4610084250546208E-2"/>
                  <c:y val="-4.162751802427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92-43B4-A60F-CE97430B09B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66C"/>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'Credit Risk'!$C$34:$H$34</c:f>
              <c:numCache>
                <c:formatCode>0.00%</c:formatCode>
                <c:ptCount val="6"/>
                <c:pt idx="0">
                  <c:v>7.3899999999999993E-2</c:v>
                </c:pt>
                <c:pt idx="1">
                  <c:v>5.6099999999999997E-2</c:v>
                </c:pt>
                <c:pt idx="2">
                  <c:v>3.9100000000000003E-2</c:v>
                </c:pt>
                <c:pt idx="3">
                  <c:v>3.0200000000000001E-2</c:v>
                </c:pt>
                <c:pt idx="4">
                  <c:v>1.9400000000000001E-2</c:v>
                </c:pt>
                <c:pt idx="5">
                  <c:v>1.26E-2</c:v>
                </c:pt>
              </c:numCache>
            </c:numRef>
          </c:val>
          <c:smooth val="0"/>
          <c:extLst>
            <c:ext xmlns:c16="http://schemas.microsoft.com/office/drawing/2014/chart" uri="{C3380CC4-5D6E-409C-BE32-E72D297353CC}">
              <c16:uniqueId val="{00000000-D492-43B4-A60F-CE97430B09B7}"/>
            </c:ext>
          </c:extLst>
        </c:ser>
        <c:ser>
          <c:idx val="1"/>
          <c:order val="1"/>
          <c:tx>
            <c:v>Net NPA (%)</c:v>
          </c:tx>
          <c:spPr>
            <a:ln w="28575" cap="rnd">
              <a:solidFill>
                <a:srgbClr val="F87221"/>
              </a:solidFill>
              <a:round/>
            </a:ln>
            <a:effectLst/>
          </c:spPr>
          <c:marker>
            <c:symbol val="square"/>
            <c:size val="6"/>
            <c:spPr>
              <a:solidFill>
                <a:srgbClr val="F87221"/>
              </a:solidFill>
              <a:ln w="9525">
                <a:noFill/>
              </a:ln>
              <a:effectLst/>
            </c:spPr>
          </c:marker>
          <c:dLbls>
            <c:dLbl>
              <c:idx val="2"/>
              <c:layout>
                <c:manualLayout>
                  <c:x val="-3.4610084250546208E-2"/>
                  <c:y val="-4.162751802427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92-43B4-A60F-CE97430B09B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8722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'Credit Risk'!$C$35:$H$35</c:f>
              <c:numCache>
                <c:formatCode>0.00%</c:formatCode>
                <c:ptCount val="6"/>
                <c:pt idx="0">
                  <c:v>2.0899999999999998E-2</c:v>
                </c:pt>
                <c:pt idx="1">
                  <c:v>2.8000000000000001E-2</c:v>
                </c:pt>
                <c:pt idx="2">
                  <c:v>1.03E-2</c:v>
                </c:pt>
                <c:pt idx="3">
                  <c:v>8.5000000000000006E-3</c:v>
                </c:pt>
                <c:pt idx="4">
                  <c:v>3.8E-3</c:v>
                </c:pt>
                <c:pt idx="5">
                  <c:v>2.5999999999999999E-3</c:v>
                </c:pt>
              </c:numCache>
            </c:numRef>
          </c:val>
          <c:smooth val="0"/>
          <c:extLst>
            <c:ext xmlns:c16="http://schemas.microsoft.com/office/drawing/2014/chart" uri="{C3380CC4-5D6E-409C-BE32-E72D297353CC}">
              <c16:uniqueId val="{00000001-D492-43B4-A60F-CE97430B09B7}"/>
            </c:ext>
          </c:extLst>
        </c:ser>
        <c:dLbls>
          <c:showLegendKey val="0"/>
          <c:showVal val="0"/>
          <c:showCatName val="0"/>
          <c:showSerName val="0"/>
          <c:showPercent val="0"/>
          <c:showBubbleSize val="0"/>
        </c:dLbls>
        <c:marker val="1"/>
        <c:smooth val="0"/>
        <c:axId val="1979501727"/>
        <c:axId val="1979489247"/>
      </c:lineChart>
      <c:catAx>
        <c:axId val="1979501727"/>
        <c:scaling>
          <c:orientation val="minMax"/>
        </c:scaling>
        <c:delete val="1"/>
        <c:axPos val="b"/>
        <c:numFmt formatCode="General" sourceLinked="1"/>
        <c:majorTickMark val="none"/>
        <c:minorTickMark val="none"/>
        <c:tickLblPos val="nextTo"/>
        <c:crossAx val="1979489247"/>
        <c:crosses val="autoZero"/>
        <c:auto val="1"/>
        <c:lblAlgn val="ctr"/>
        <c:lblOffset val="100"/>
        <c:noMultiLvlLbl val="0"/>
      </c:catAx>
      <c:valAx>
        <c:axId val="1979489247"/>
        <c:scaling>
          <c:orientation val="minMax"/>
        </c:scaling>
        <c:delete val="0"/>
        <c:axPos val="l"/>
        <c:majorGridlines>
          <c:spPr>
            <a:ln w="9525" cap="flat" cmpd="sng" algn="ctr">
              <a:solidFill>
                <a:schemeClr val="bg1">
                  <a:lumMod val="9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9501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On-Book Gearing (x)</c:v>
          </c:tx>
          <c:spPr>
            <a:solidFill>
              <a:srgbClr val="F872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8722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Risk'!$C$33:$H$33</c:f>
              <c:strCache>
                <c:ptCount val="6"/>
                <c:pt idx="0">
                  <c:v>FY21</c:v>
                </c:pt>
                <c:pt idx="1">
                  <c:v>FY22</c:v>
                </c:pt>
                <c:pt idx="2">
                  <c:v>FY23</c:v>
                </c:pt>
                <c:pt idx="3">
                  <c:v>FY24</c:v>
                </c:pt>
                <c:pt idx="4">
                  <c:v>FY25</c:v>
                </c:pt>
                <c:pt idx="5">
                  <c:v>9M FY26</c:v>
                </c:pt>
              </c:strCache>
            </c:strRef>
          </c:cat>
          <c:val>
            <c:numRef>
              <c:f>'Credit Risk'!$C$39:$H$39</c:f>
              <c:numCache>
                <c:formatCode>0.0"x"</c:formatCode>
                <c:ptCount val="6"/>
                <c:pt idx="0">
                  <c:v>6.36</c:v>
                </c:pt>
                <c:pt idx="1">
                  <c:v>5.52</c:v>
                </c:pt>
                <c:pt idx="2">
                  <c:v>5.43</c:v>
                </c:pt>
                <c:pt idx="3">
                  <c:v>5.26</c:v>
                </c:pt>
                <c:pt idx="4">
                  <c:v>5.23</c:v>
                </c:pt>
                <c:pt idx="5">
                  <c:v>4.8499999999999996</c:v>
                </c:pt>
              </c:numCache>
            </c:numRef>
          </c:val>
          <c:extLst>
            <c:ext xmlns:c16="http://schemas.microsoft.com/office/drawing/2014/chart" uri="{C3380CC4-5D6E-409C-BE32-E72D297353CC}">
              <c16:uniqueId val="{00000000-3F76-42B2-8522-6B3ABFED2B25}"/>
            </c:ext>
          </c:extLst>
        </c:ser>
        <c:dLbls>
          <c:showLegendKey val="0"/>
          <c:showVal val="0"/>
          <c:showCatName val="0"/>
          <c:showSerName val="0"/>
          <c:showPercent val="0"/>
          <c:showBubbleSize val="0"/>
        </c:dLbls>
        <c:gapWidth val="219"/>
        <c:axId val="1812938671"/>
        <c:axId val="1812952111"/>
      </c:barChart>
      <c:lineChart>
        <c:grouping val="standard"/>
        <c:varyColors val="0"/>
        <c:ser>
          <c:idx val="0"/>
          <c:order val="0"/>
          <c:tx>
            <c:v>Capital Adequacy Ratio</c:v>
          </c:tx>
          <c:spPr>
            <a:ln w="28575" cap="rnd">
              <a:solidFill>
                <a:srgbClr val="0B2D5B"/>
              </a:solidFill>
              <a:bevel/>
            </a:ln>
            <a:effectLst/>
          </c:spPr>
          <c:marker>
            <c:symbol val="circle"/>
            <c:size val="6"/>
            <c:spPr>
              <a:solidFill>
                <a:srgbClr val="0B2D5B"/>
              </a:solidFill>
              <a:ln w="9525">
                <a:noFill/>
              </a:ln>
              <a:effectLst/>
            </c:spPr>
          </c:marker>
          <c:dLbls>
            <c:dLbl>
              <c:idx val="0"/>
              <c:layout>
                <c:manualLayout>
                  <c:x val="-8.1000869344580746E-3"/>
                  <c:y val="3.70370370370369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76-42B2-8522-6B3ABFED2B25}"/>
                </c:ext>
              </c:extLst>
            </c:dLbl>
            <c:dLbl>
              <c:idx val="4"/>
              <c:layout>
                <c:manualLayout>
                  <c:x val="0"/>
                  <c:y val="-2.20022002200220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76-42B2-8522-6B3ABFED2B2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66C"/>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 Risk'!$C$33:$H$33</c:f>
              <c:strCache>
                <c:ptCount val="6"/>
                <c:pt idx="0">
                  <c:v>FY21</c:v>
                </c:pt>
                <c:pt idx="1">
                  <c:v>FY22</c:v>
                </c:pt>
                <c:pt idx="2">
                  <c:v>FY23</c:v>
                </c:pt>
                <c:pt idx="3">
                  <c:v>FY24</c:v>
                </c:pt>
                <c:pt idx="4">
                  <c:v>FY25</c:v>
                </c:pt>
                <c:pt idx="5">
                  <c:v>9M FY26</c:v>
                </c:pt>
              </c:strCache>
            </c:strRef>
          </c:cat>
          <c:val>
            <c:numRef>
              <c:f>'Credit Risk'!$C$36:$H$36</c:f>
              <c:numCache>
                <c:formatCode>0.00%</c:formatCode>
                <c:ptCount val="6"/>
                <c:pt idx="0">
                  <c:v>0.1883</c:v>
                </c:pt>
                <c:pt idx="1">
                  <c:v>0.2351</c:v>
                </c:pt>
                <c:pt idx="2">
                  <c:v>0.24399999999999999</c:v>
                </c:pt>
                <c:pt idx="3">
                  <c:v>0.25409999999999999</c:v>
                </c:pt>
                <c:pt idx="4">
                  <c:v>0.2208</c:v>
                </c:pt>
                <c:pt idx="5">
                  <c:v>0.22</c:v>
                </c:pt>
              </c:numCache>
            </c:numRef>
          </c:val>
          <c:smooth val="1"/>
          <c:extLst>
            <c:ext xmlns:c16="http://schemas.microsoft.com/office/drawing/2014/chart" uri="{C3380CC4-5D6E-409C-BE32-E72D297353CC}">
              <c16:uniqueId val="{00000003-3F76-42B2-8522-6B3ABFED2B25}"/>
            </c:ext>
          </c:extLst>
        </c:ser>
        <c:ser>
          <c:idx val="2"/>
          <c:order val="2"/>
          <c:tx>
            <c:v>RBI Min CAR (15%)</c:v>
          </c:tx>
          <c:spPr>
            <a:ln w="22225" cap="rnd">
              <a:solidFill>
                <a:srgbClr val="FF0000"/>
              </a:solidFill>
              <a:prstDash val="sysDash"/>
              <a:round/>
            </a:ln>
            <a:effectLst/>
          </c:spPr>
          <c:marker>
            <c:symbol val="none"/>
          </c:marker>
          <c:cat>
            <c:strRef>
              <c:f>'Credit Risk'!$C$33:$H$33</c:f>
              <c:strCache>
                <c:ptCount val="6"/>
                <c:pt idx="0">
                  <c:v>FY21</c:v>
                </c:pt>
                <c:pt idx="1">
                  <c:v>FY22</c:v>
                </c:pt>
                <c:pt idx="2">
                  <c:v>FY23</c:v>
                </c:pt>
                <c:pt idx="3">
                  <c:v>FY24</c:v>
                </c:pt>
                <c:pt idx="4">
                  <c:v>FY25</c:v>
                </c:pt>
                <c:pt idx="5">
                  <c:v>9M FY26</c:v>
                </c:pt>
              </c:strCache>
            </c:strRef>
          </c:cat>
          <c:val>
            <c:numRef>
              <c:f>'Credit Risk'!$C$42:$H$42</c:f>
              <c:numCache>
                <c:formatCode>0%</c:formatCode>
                <c:ptCount val="6"/>
                <c:pt idx="0">
                  <c:v>0.15</c:v>
                </c:pt>
                <c:pt idx="1">
                  <c:v>0.15</c:v>
                </c:pt>
                <c:pt idx="2">
                  <c:v>0.15</c:v>
                </c:pt>
                <c:pt idx="3">
                  <c:v>0.15</c:v>
                </c:pt>
                <c:pt idx="4">
                  <c:v>0.15</c:v>
                </c:pt>
                <c:pt idx="5">
                  <c:v>0.15</c:v>
                </c:pt>
              </c:numCache>
            </c:numRef>
          </c:val>
          <c:smooth val="0"/>
          <c:extLst>
            <c:ext xmlns:c16="http://schemas.microsoft.com/office/drawing/2014/chart" uri="{C3380CC4-5D6E-409C-BE32-E72D297353CC}">
              <c16:uniqueId val="{00000004-3F76-42B2-8522-6B3ABFED2B25}"/>
            </c:ext>
          </c:extLst>
        </c:ser>
        <c:dLbls>
          <c:showLegendKey val="0"/>
          <c:showVal val="0"/>
          <c:showCatName val="0"/>
          <c:showSerName val="0"/>
          <c:showPercent val="0"/>
          <c:showBubbleSize val="0"/>
        </c:dLbls>
        <c:marker val="1"/>
        <c:smooth val="0"/>
        <c:axId val="1812945391"/>
        <c:axId val="1812945871"/>
      </c:lineChart>
      <c:catAx>
        <c:axId val="181294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12945871"/>
        <c:crosses val="autoZero"/>
        <c:auto val="1"/>
        <c:lblAlgn val="ctr"/>
        <c:lblOffset val="100"/>
        <c:noMultiLvlLbl val="0"/>
      </c:catAx>
      <c:valAx>
        <c:axId val="1812945871"/>
        <c:scaling>
          <c:orientation val="minMax"/>
          <c:max val="0.29000000000000004"/>
          <c:min val="0.13"/>
        </c:scaling>
        <c:delete val="0"/>
        <c:axPos val="l"/>
        <c:majorGridlines>
          <c:spPr>
            <a:ln w="9525" cap="flat" cmpd="sng" algn="ctr">
              <a:solidFill>
                <a:schemeClr val="bg1">
                  <a:lumMod val="9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12945391"/>
        <c:crosses val="autoZero"/>
        <c:crossBetween val="between"/>
      </c:valAx>
      <c:valAx>
        <c:axId val="1812952111"/>
        <c:scaling>
          <c:orientation val="minMax"/>
          <c:max val="7"/>
          <c:min val="4"/>
        </c:scaling>
        <c:delete val="0"/>
        <c:axPos val="r"/>
        <c:numFmt formatCode="0.0&quot;x&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87221"/>
                </a:solidFill>
                <a:latin typeface="+mn-lt"/>
                <a:ea typeface="+mn-ea"/>
                <a:cs typeface="+mn-cs"/>
              </a:defRPr>
            </a:pPr>
            <a:endParaRPr lang="en-US"/>
          </a:p>
        </c:txPr>
        <c:crossAx val="1812938671"/>
        <c:crosses val="max"/>
        <c:crossBetween val="between"/>
      </c:valAx>
      <c:catAx>
        <c:axId val="1812938671"/>
        <c:scaling>
          <c:orientation val="minMax"/>
        </c:scaling>
        <c:delete val="1"/>
        <c:axPos val="b"/>
        <c:numFmt formatCode="General" sourceLinked="1"/>
        <c:majorTickMark val="out"/>
        <c:minorTickMark val="none"/>
        <c:tickLblPos val="nextTo"/>
        <c:crossAx val="181295211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xdr:colOff>
      <xdr:row>0</xdr:row>
      <xdr:rowOff>1</xdr:rowOff>
    </xdr:from>
    <xdr:to>
      <xdr:col>16</xdr:col>
      <xdr:colOff>373673</xdr:colOff>
      <xdr:row>16</xdr:row>
      <xdr:rowOff>60155</xdr:rowOff>
    </xdr:to>
    <xdr:pic>
      <xdr:nvPicPr>
        <xdr:cNvPr id="7" name="Picture 6">
          <a:extLst>
            <a:ext uri="{FF2B5EF4-FFF2-40B4-BE49-F238E27FC236}">
              <a16:creationId xmlns:a16="http://schemas.microsoft.com/office/drawing/2014/main" id="{5C768BAD-11C4-947C-C5D4-0F40E0C924B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35460"/>
        <a:stretch>
          <a:fillRect/>
        </a:stretch>
      </xdr:blipFill>
      <xdr:spPr>
        <a:xfrm>
          <a:off x="2" y="1"/>
          <a:ext cx="10147423" cy="2982204"/>
        </a:xfrm>
        <a:prstGeom prst="rect">
          <a:avLst/>
        </a:prstGeom>
      </xdr:spPr>
    </xdr:pic>
    <xdr:clientData/>
  </xdr:twoCellAnchor>
  <xdr:twoCellAnchor>
    <xdr:from>
      <xdr:col>3</xdr:col>
      <xdr:colOff>474984</xdr:colOff>
      <xdr:row>2</xdr:row>
      <xdr:rowOff>64770</xdr:rowOff>
    </xdr:from>
    <xdr:to>
      <xdr:col>5</xdr:col>
      <xdr:colOff>552772</xdr:colOff>
      <xdr:row>5</xdr:row>
      <xdr:rowOff>155892</xdr:rowOff>
    </xdr:to>
    <xdr:sp macro="" textlink="">
      <xdr:nvSpPr>
        <xdr:cNvPr id="2" name="TextBox 1">
          <a:extLst>
            <a:ext uri="{FF2B5EF4-FFF2-40B4-BE49-F238E27FC236}">
              <a16:creationId xmlns:a16="http://schemas.microsoft.com/office/drawing/2014/main" id="{AE5A533E-DC7F-1614-8E08-CAD41B8F3772}"/>
            </a:ext>
          </a:extLst>
        </xdr:cNvPr>
        <xdr:cNvSpPr txBox="1"/>
      </xdr:nvSpPr>
      <xdr:spPr>
        <a:xfrm>
          <a:off x="2308547" y="429895"/>
          <a:ext cx="1300163" cy="638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BOND</a:t>
          </a:r>
        </a:p>
      </xdr:txBody>
    </xdr:sp>
    <xdr:clientData/>
  </xdr:twoCellAnchor>
  <xdr:twoCellAnchor>
    <xdr:from>
      <xdr:col>3</xdr:col>
      <xdr:colOff>484192</xdr:colOff>
      <xdr:row>4</xdr:row>
      <xdr:rowOff>94932</xdr:rowOff>
    </xdr:from>
    <xdr:to>
      <xdr:col>9</xdr:col>
      <xdr:colOff>583252</xdr:colOff>
      <xdr:row>8</xdr:row>
      <xdr:rowOff>3810</xdr:rowOff>
    </xdr:to>
    <xdr:sp macro="" textlink="">
      <xdr:nvSpPr>
        <xdr:cNvPr id="3" name="TextBox 2">
          <a:extLst>
            <a:ext uri="{FF2B5EF4-FFF2-40B4-BE49-F238E27FC236}">
              <a16:creationId xmlns:a16="http://schemas.microsoft.com/office/drawing/2014/main" id="{FF2A7E4F-F071-4BB9-B298-57E0BCC2D3F6}"/>
            </a:ext>
          </a:extLst>
        </xdr:cNvPr>
        <xdr:cNvSpPr txBox="1"/>
      </xdr:nvSpPr>
      <xdr:spPr>
        <a:xfrm>
          <a:off x="2317755" y="825182"/>
          <a:ext cx="3766185" cy="639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VALUATION MODEL</a:t>
          </a:r>
        </a:p>
      </xdr:txBody>
    </xdr:sp>
    <xdr:clientData/>
  </xdr:twoCellAnchor>
  <xdr:twoCellAnchor>
    <xdr:from>
      <xdr:col>3</xdr:col>
      <xdr:colOff>595312</xdr:colOff>
      <xdr:row>7</xdr:row>
      <xdr:rowOff>140945</xdr:rowOff>
    </xdr:from>
    <xdr:to>
      <xdr:col>6</xdr:col>
      <xdr:colOff>182563</xdr:colOff>
      <xdr:row>7</xdr:row>
      <xdr:rowOff>150812</xdr:rowOff>
    </xdr:to>
    <xdr:cxnSp macro="">
      <xdr:nvCxnSpPr>
        <xdr:cNvPr id="9" name="Straight Connector 8">
          <a:extLst>
            <a:ext uri="{FF2B5EF4-FFF2-40B4-BE49-F238E27FC236}">
              <a16:creationId xmlns:a16="http://schemas.microsoft.com/office/drawing/2014/main" id="{1837077F-CAED-B42D-89AA-DE51B2514CBF}"/>
            </a:ext>
          </a:extLst>
        </xdr:cNvPr>
        <xdr:cNvCxnSpPr/>
      </xdr:nvCxnSpPr>
      <xdr:spPr>
        <a:xfrm flipV="1">
          <a:off x="2428875" y="1418883"/>
          <a:ext cx="1420813" cy="9867"/>
        </a:xfrm>
        <a:prstGeom prst="line">
          <a:avLst/>
        </a:prstGeom>
        <a:ln w="19050">
          <a:solidFill>
            <a:srgbClr val="F28C28"/>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500307</xdr:colOff>
      <xdr:row>8</xdr:row>
      <xdr:rowOff>95087</xdr:rowOff>
    </xdr:from>
    <xdr:to>
      <xdr:col>10</xdr:col>
      <xdr:colOff>463484</xdr:colOff>
      <xdr:row>10</xdr:row>
      <xdr:rowOff>103024</xdr:rowOff>
    </xdr:to>
    <xdr:sp macro="" textlink="">
      <xdr:nvSpPr>
        <xdr:cNvPr id="11" name="TextBox 10">
          <a:extLst>
            <a:ext uri="{FF2B5EF4-FFF2-40B4-BE49-F238E27FC236}">
              <a16:creationId xmlns:a16="http://schemas.microsoft.com/office/drawing/2014/main" id="{5E65FD0C-C5E5-8390-EAC0-7CA4226594EB}"/>
            </a:ext>
          </a:extLst>
        </xdr:cNvPr>
        <xdr:cNvSpPr txBox="1"/>
      </xdr:nvSpPr>
      <xdr:spPr>
        <a:xfrm>
          <a:off x="2338534" y="1540530"/>
          <a:ext cx="4252373" cy="369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Power Finance</a:t>
          </a:r>
          <a:r>
            <a:rPr lang="en-IN" sz="1400" b="1" baseline="0">
              <a:solidFill>
                <a:schemeClr val="bg1"/>
              </a:solidFill>
            </a:rPr>
            <a:t> Corporation Ltd - 7.15% Secured NCD</a:t>
          </a:r>
          <a:endParaRPr lang="en-IN" sz="1400" b="1">
            <a:solidFill>
              <a:schemeClr val="bg1"/>
            </a:solidFill>
          </a:endParaRPr>
        </a:p>
      </xdr:txBody>
    </xdr:sp>
    <xdr:clientData/>
  </xdr:twoCellAnchor>
  <xdr:twoCellAnchor editAs="oneCell">
    <xdr:from>
      <xdr:col>0</xdr:col>
      <xdr:colOff>70701</xdr:colOff>
      <xdr:row>1</xdr:row>
      <xdr:rowOff>122279</xdr:rowOff>
    </xdr:from>
    <xdr:to>
      <xdr:col>3</xdr:col>
      <xdr:colOff>274949</xdr:colOff>
      <xdr:row>12</xdr:row>
      <xdr:rowOff>125693</xdr:rowOff>
    </xdr:to>
    <xdr:pic>
      <xdr:nvPicPr>
        <xdr:cNvPr id="15" name="Picture 14">
          <a:extLst>
            <a:ext uri="{FF2B5EF4-FFF2-40B4-BE49-F238E27FC236}">
              <a16:creationId xmlns:a16="http://schemas.microsoft.com/office/drawing/2014/main" id="{116AE783-7578-ABAF-4878-D82CF6105C3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454" t="10962" r="47589" b="7668"/>
        <a:stretch>
          <a:fillRect/>
        </a:stretch>
      </xdr:blipFill>
      <xdr:spPr>
        <a:xfrm>
          <a:off x="70701" y="302959"/>
          <a:ext cx="2042475" cy="1990899"/>
        </a:xfrm>
        <a:prstGeom prst="rect">
          <a:avLst/>
        </a:prstGeom>
      </xdr:spPr>
    </xdr:pic>
    <xdr:clientData/>
  </xdr:twoCellAnchor>
  <xdr:twoCellAnchor>
    <xdr:from>
      <xdr:col>0</xdr:col>
      <xdr:colOff>378971</xdr:colOff>
      <xdr:row>17</xdr:row>
      <xdr:rowOff>106680</xdr:rowOff>
    </xdr:from>
    <xdr:to>
      <xdr:col>8</xdr:col>
      <xdr:colOff>133733</xdr:colOff>
      <xdr:row>18</xdr:row>
      <xdr:rowOff>166413</xdr:rowOff>
    </xdr:to>
    <xdr:sp macro="" textlink="">
      <xdr:nvSpPr>
        <xdr:cNvPr id="16" name="TextBox 15">
          <a:extLst>
            <a:ext uri="{FF2B5EF4-FFF2-40B4-BE49-F238E27FC236}">
              <a16:creationId xmlns:a16="http://schemas.microsoft.com/office/drawing/2014/main" id="{D6579277-F6A0-49AB-0A17-21BAB7D0D56A}"/>
            </a:ext>
          </a:extLst>
        </xdr:cNvPr>
        <xdr:cNvSpPr txBox="1"/>
      </xdr:nvSpPr>
      <xdr:spPr>
        <a:xfrm>
          <a:off x="378971" y="3233508"/>
          <a:ext cx="4659590" cy="243664"/>
        </a:xfrm>
        <a:prstGeom prst="rect">
          <a:avLst/>
        </a:prstGeom>
        <a:solidFill>
          <a:srgbClr val="F9F9F8"/>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tx1"/>
              </a:solidFill>
            </a:rPr>
            <a:t>BOND NAME            </a:t>
          </a:r>
          <a:r>
            <a:rPr lang="en-IN" sz="1100" b="1">
              <a:solidFill>
                <a:srgbClr val="00366C"/>
              </a:solidFill>
            </a:rPr>
            <a:t>|</a:t>
          </a:r>
          <a:r>
            <a:rPr lang="en-IN" sz="1100" b="1">
              <a:solidFill>
                <a:srgbClr val="5160A7"/>
              </a:solidFill>
            </a:rPr>
            <a:t>       </a:t>
          </a:r>
          <a:r>
            <a:rPr lang="en-IN" sz="1100" b="1">
              <a:solidFill>
                <a:srgbClr val="00366C"/>
              </a:solidFill>
            </a:rPr>
            <a:t>PFC</a:t>
          </a:r>
          <a:r>
            <a:rPr lang="en-IN" sz="1100" b="1" baseline="0">
              <a:solidFill>
                <a:srgbClr val="00366C"/>
              </a:solidFill>
            </a:rPr>
            <a:t> 7.15% Secured NDCF 2036</a:t>
          </a:r>
          <a:endParaRPr lang="en-IN" sz="1100" b="1">
            <a:solidFill>
              <a:srgbClr val="00366C"/>
            </a:solidFill>
          </a:endParaRPr>
        </a:p>
      </xdr:txBody>
    </xdr:sp>
    <xdr:clientData/>
  </xdr:twoCellAnchor>
  <xdr:twoCellAnchor>
    <xdr:from>
      <xdr:col>0</xdr:col>
      <xdr:colOff>380204</xdr:colOff>
      <xdr:row>19</xdr:row>
      <xdr:rowOff>163833</xdr:rowOff>
    </xdr:from>
    <xdr:to>
      <xdr:col>8</xdr:col>
      <xdr:colOff>134966</xdr:colOff>
      <xdr:row>21</xdr:row>
      <xdr:rowOff>45721</xdr:rowOff>
    </xdr:to>
    <xdr:sp macro="" textlink="">
      <xdr:nvSpPr>
        <xdr:cNvPr id="17" name="TextBox 16">
          <a:extLst>
            <a:ext uri="{FF2B5EF4-FFF2-40B4-BE49-F238E27FC236}">
              <a16:creationId xmlns:a16="http://schemas.microsoft.com/office/drawing/2014/main" id="{A46449A2-62E8-4402-82E7-9EF919543974}"/>
            </a:ext>
          </a:extLst>
        </xdr:cNvPr>
        <xdr:cNvSpPr txBox="1"/>
      </xdr:nvSpPr>
      <xdr:spPr>
        <a:xfrm>
          <a:off x="380204" y="3658523"/>
          <a:ext cx="4659590" cy="249750"/>
        </a:xfrm>
        <a:prstGeom prst="rect">
          <a:avLst/>
        </a:prstGeom>
        <a:solidFill>
          <a:srgbClr val="F9F9F8"/>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tx1"/>
              </a:solidFill>
            </a:rPr>
            <a:t>ISIN                             </a:t>
          </a:r>
          <a:r>
            <a:rPr lang="en-IN" sz="1100" b="1">
              <a:solidFill>
                <a:srgbClr val="00366C"/>
              </a:solidFill>
            </a:rPr>
            <a:t>|</a:t>
          </a:r>
          <a:r>
            <a:rPr lang="en-IN" sz="1100" b="1">
              <a:solidFill>
                <a:srgbClr val="5160A7"/>
              </a:solidFill>
            </a:rPr>
            <a:t>       </a:t>
          </a:r>
          <a:r>
            <a:rPr lang="en-IN" sz="1100" b="1">
              <a:solidFill>
                <a:srgbClr val="00366C"/>
              </a:solidFill>
            </a:rPr>
            <a:t>INE134E07AI8</a:t>
          </a:r>
          <a:r>
            <a:rPr lang="en-IN" sz="1100" b="1" baseline="0">
              <a:solidFill>
                <a:srgbClr val="00366C"/>
              </a:solidFill>
            </a:rPr>
            <a:t>  </a:t>
          </a:r>
          <a:endParaRPr lang="en-IN" sz="1100" b="1">
            <a:solidFill>
              <a:srgbClr val="00366C"/>
            </a:solidFill>
          </a:endParaRPr>
        </a:p>
      </xdr:txBody>
    </xdr:sp>
    <xdr:clientData/>
  </xdr:twoCellAnchor>
  <xdr:twoCellAnchor>
    <xdr:from>
      <xdr:col>0</xdr:col>
      <xdr:colOff>378972</xdr:colOff>
      <xdr:row>22</xdr:row>
      <xdr:rowOff>43140</xdr:rowOff>
    </xdr:from>
    <xdr:to>
      <xdr:col>8</xdr:col>
      <xdr:colOff>133734</xdr:colOff>
      <xdr:row>23</xdr:row>
      <xdr:rowOff>106097</xdr:rowOff>
    </xdr:to>
    <xdr:sp macro="" textlink="">
      <xdr:nvSpPr>
        <xdr:cNvPr id="18" name="TextBox 17">
          <a:extLst>
            <a:ext uri="{FF2B5EF4-FFF2-40B4-BE49-F238E27FC236}">
              <a16:creationId xmlns:a16="http://schemas.microsoft.com/office/drawing/2014/main" id="{FB79F7E9-135C-494A-8F24-F973BBC255DC}"/>
            </a:ext>
          </a:extLst>
        </xdr:cNvPr>
        <xdr:cNvSpPr txBox="1"/>
      </xdr:nvSpPr>
      <xdr:spPr>
        <a:xfrm>
          <a:off x="378972" y="4089623"/>
          <a:ext cx="4659590" cy="246888"/>
        </a:xfrm>
        <a:prstGeom prst="rect">
          <a:avLst/>
        </a:prstGeom>
        <a:solidFill>
          <a:srgbClr val="F9F9F8"/>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tx1"/>
              </a:solidFill>
            </a:rPr>
            <a:t>Issuer</a:t>
          </a:r>
          <a:r>
            <a:rPr lang="en-IN" sz="1100" b="1" baseline="0">
              <a:solidFill>
                <a:schemeClr val="tx1"/>
              </a:solidFill>
            </a:rPr>
            <a:t>  </a:t>
          </a:r>
          <a:r>
            <a:rPr lang="en-IN" sz="1100" b="1">
              <a:solidFill>
                <a:schemeClr val="tx1"/>
              </a:solidFill>
            </a:rPr>
            <a:t>                        </a:t>
          </a:r>
          <a:r>
            <a:rPr lang="en-IN" sz="1100" b="1">
              <a:solidFill>
                <a:srgbClr val="00366C"/>
              </a:solidFill>
            </a:rPr>
            <a:t>|</a:t>
          </a:r>
          <a:r>
            <a:rPr lang="en-IN" sz="1100" b="1">
              <a:solidFill>
                <a:srgbClr val="5160A7"/>
              </a:solidFill>
            </a:rPr>
            <a:t>       </a:t>
          </a:r>
          <a:r>
            <a:rPr lang="en-IN" sz="1100" b="1">
              <a:solidFill>
                <a:srgbClr val="00366C"/>
              </a:solidFill>
            </a:rPr>
            <a:t>Power</a:t>
          </a:r>
          <a:r>
            <a:rPr lang="en-IN" sz="1100" b="1" baseline="0">
              <a:solidFill>
                <a:srgbClr val="00366C"/>
              </a:solidFill>
            </a:rPr>
            <a:t> Finance Corporation Ltd</a:t>
          </a:r>
          <a:endParaRPr lang="en-IN" sz="1100" b="1">
            <a:solidFill>
              <a:srgbClr val="00366C"/>
            </a:solidFill>
          </a:endParaRPr>
        </a:p>
      </xdr:txBody>
    </xdr:sp>
    <xdr:clientData/>
  </xdr:twoCellAnchor>
  <xdr:twoCellAnchor>
    <xdr:from>
      <xdr:col>0</xdr:col>
      <xdr:colOff>378972</xdr:colOff>
      <xdr:row>24</xdr:row>
      <xdr:rowOff>103518</xdr:rowOff>
    </xdr:from>
    <xdr:to>
      <xdr:col>8</xdr:col>
      <xdr:colOff>135657</xdr:colOff>
      <xdr:row>25</xdr:row>
      <xdr:rowOff>166475</xdr:rowOff>
    </xdr:to>
    <xdr:sp macro="" textlink="">
      <xdr:nvSpPr>
        <xdr:cNvPr id="19" name="TextBox 18">
          <a:extLst>
            <a:ext uri="{FF2B5EF4-FFF2-40B4-BE49-F238E27FC236}">
              <a16:creationId xmlns:a16="http://schemas.microsoft.com/office/drawing/2014/main" id="{5344F668-3490-45AD-9D2A-54452C5B0384}"/>
            </a:ext>
          </a:extLst>
        </xdr:cNvPr>
        <xdr:cNvSpPr txBox="1"/>
      </xdr:nvSpPr>
      <xdr:spPr>
        <a:xfrm>
          <a:off x="378972" y="4517863"/>
          <a:ext cx="4661513" cy="246888"/>
        </a:xfrm>
        <a:prstGeom prst="rect">
          <a:avLst/>
        </a:prstGeom>
        <a:solidFill>
          <a:srgbClr val="F9F9F8"/>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baseline="0">
              <a:solidFill>
                <a:schemeClr val="tx1"/>
              </a:solidFill>
            </a:rPr>
            <a:t>Domestic Rating  </a:t>
          </a:r>
          <a:r>
            <a:rPr lang="en-IN" sz="1100" b="1">
              <a:solidFill>
                <a:schemeClr val="tx1"/>
              </a:solidFill>
            </a:rPr>
            <a:t>     </a:t>
          </a:r>
          <a:r>
            <a:rPr lang="en-IN" sz="1100" b="1">
              <a:solidFill>
                <a:srgbClr val="00366C"/>
              </a:solidFill>
            </a:rPr>
            <a:t>|</a:t>
          </a:r>
          <a:r>
            <a:rPr lang="en-IN" sz="1100" b="1">
              <a:solidFill>
                <a:srgbClr val="5160A7"/>
              </a:solidFill>
            </a:rPr>
            <a:t>      </a:t>
          </a:r>
          <a:r>
            <a:rPr lang="en-IN" sz="1100" b="1" baseline="0">
              <a:solidFill>
                <a:srgbClr val="5160A7"/>
              </a:solidFill>
            </a:rPr>
            <a:t> </a:t>
          </a:r>
          <a:r>
            <a:rPr lang="en-IN" sz="1100" b="1" baseline="0">
              <a:solidFill>
                <a:srgbClr val="00366C"/>
              </a:solidFill>
            </a:rPr>
            <a:t>CARE AAA (Stable) , ICRA AAA (Stable) , CRISIL AAA</a:t>
          </a:r>
          <a:endParaRPr lang="en-IN" sz="1100" b="1">
            <a:solidFill>
              <a:srgbClr val="00366C"/>
            </a:solidFill>
          </a:endParaRPr>
        </a:p>
      </xdr:txBody>
    </xdr:sp>
    <xdr:clientData/>
  </xdr:twoCellAnchor>
  <xdr:twoCellAnchor>
    <xdr:from>
      <xdr:col>9</xdr:col>
      <xdr:colOff>109690</xdr:colOff>
      <xdr:row>17</xdr:row>
      <xdr:rowOff>85615</xdr:rowOff>
    </xdr:from>
    <xdr:to>
      <xdr:col>16</xdr:col>
      <xdr:colOff>315443</xdr:colOff>
      <xdr:row>18</xdr:row>
      <xdr:rowOff>141518</xdr:rowOff>
    </xdr:to>
    <xdr:sp macro="" textlink="">
      <xdr:nvSpPr>
        <xdr:cNvPr id="20" name="TextBox 19">
          <a:extLst>
            <a:ext uri="{FF2B5EF4-FFF2-40B4-BE49-F238E27FC236}">
              <a16:creationId xmlns:a16="http://schemas.microsoft.com/office/drawing/2014/main" id="{46A5F811-0752-417D-8CCA-E53C781CE222}"/>
            </a:ext>
          </a:extLst>
        </xdr:cNvPr>
        <xdr:cNvSpPr txBox="1"/>
      </xdr:nvSpPr>
      <xdr:spPr>
        <a:xfrm>
          <a:off x="5607426" y="3190293"/>
          <a:ext cx="4481769" cy="238531"/>
        </a:xfrm>
        <a:prstGeom prst="rect">
          <a:avLst/>
        </a:prstGeom>
        <a:solidFill>
          <a:srgbClr val="F9F9F8"/>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tx1"/>
              </a:solidFill>
            </a:rPr>
            <a:t>Maturity                   </a:t>
          </a:r>
          <a:r>
            <a:rPr lang="en-IN" sz="1100" b="1">
              <a:solidFill>
                <a:srgbClr val="00366C"/>
              </a:solidFill>
            </a:rPr>
            <a:t>|</a:t>
          </a:r>
          <a:r>
            <a:rPr lang="en-IN" sz="1100" b="1">
              <a:solidFill>
                <a:srgbClr val="5160A7"/>
              </a:solidFill>
            </a:rPr>
            <a:t>       </a:t>
          </a:r>
          <a:r>
            <a:rPr lang="en-IN" sz="1100" b="1">
              <a:solidFill>
                <a:srgbClr val="00366C"/>
              </a:solidFill>
            </a:rPr>
            <a:t>22</a:t>
          </a:r>
          <a:r>
            <a:rPr lang="en-IN" sz="1100" b="1" baseline="0">
              <a:solidFill>
                <a:srgbClr val="00366C"/>
              </a:solidFill>
            </a:rPr>
            <a:t> Jan 2026</a:t>
          </a:r>
          <a:endParaRPr lang="en-IN" sz="1100" b="1">
            <a:solidFill>
              <a:srgbClr val="00366C"/>
            </a:solidFill>
          </a:endParaRPr>
        </a:p>
      </xdr:txBody>
    </xdr:sp>
    <xdr:clientData/>
  </xdr:twoCellAnchor>
  <xdr:twoCellAnchor>
    <xdr:from>
      <xdr:col>9</xdr:col>
      <xdr:colOff>119175</xdr:colOff>
      <xdr:row>19</xdr:row>
      <xdr:rowOff>156097</xdr:rowOff>
    </xdr:from>
    <xdr:to>
      <xdr:col>16</xdr:col>
      <xdr:colOff>324928</xdr:colOff>
      <xdr:row>21</xdr:row>
      <xdr:rowOff>39303</xdr:rowOff>
    </xdr:to>
    <xdr:sp macro="" textlink="">
      <xdr:nvSpPr>
        <xdr:cNvPr id="21" name="TextBox 20">
          <a:extLst>
            <a:ext uri="{FF2B5EF4-FFF2-40B4-BE49-F238E27FC236}">
              <a16:creationId xmlns:a16="http://schemas.microsoft.com/office/drawing/2014/main" id="{E66B312E-07DC-4724-992B-C76290AAA602}"/>
            </a:ext>
          </a:extLst>
        </xdr:cNvPr>
        <xdr:cNvSpPr txBox="1"/>
      </xdr:nvSpPr>
      <xdr:spPr>
        <a:xfrm>
          <a:off x="5616911" y="3626031"/>
          <a:ext cx="4481769" cy="248462"/>
        </a:xfrm>
        <a:prstGeom prst="rect">
          <a:avLst/>
        </a:prstGeom>
        <a:solidFill>
          <a:srgbClr val="F9F9F8"/>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tx1"/>
              </a:solidFill>
            </a:rPr>
            <a:t>Analyst</a:t>
          </a:r>
          <a:r>
            <a:rPr lang="en-IN" sz="1100" b="1" baseline="0">
              <a:solidFill>
                <a:schemeClr val="tx1"/>
              </a:solidFill>
            </a:rPr>
            <a:t> Name</a:t>
          </a:r>
          <a:r>
            <a:rPr lang="en-IN" sz="1100" b="1">
              <a:solidFill>
                <a:schemeClr val="tx1"/>
              </a:solidFill>
            </a:rPr>
            <a:t>          </a:t>
          </a:r>
          <a:r>
            <a:rPr lang="en-IN" sz="1100" b="1">
              <a:solidFill>
                <a:srgbClr val="00366C"/>
              </a:solidFill>
            </a:rPr>
            <a:t>|</a:t>
          </a:r>
          <a:r>
            <a:rPr lang="en-IN" sz="1100" b="1">
              <a:solidFill>
                <a:srgbClr val="5160A7"/>
              </a:solidFill>
            </a:rPr>
            <a:t>       </a:t>
          </a:r>
          <a:r>
            <a:rPr lang="en-IN" sz="1100" b="1">
              <a:solidFill>
                <a:srgbClr val="00366C"/>
              </a:solidFill>
            </a:rPr>
            <a:t>Anvay</a:t>
          </a:r>
          <a:r>
            <a:rPr lang="en-IN" sz="1100" b="1" baseline="0">
              <a:solidFill>
                <a:srgbClr val="00366C"/>
              </a:solidFill>
            </a:rPr>
            <a:t> Gulave</a:t>
          </a:r>
          <a:endParaRPr lang="en-IN" sz="1100" b="1">
            <a:solidFill>
              <a:srgbClr val="00366C"/>
            </a:solidFill>
          </a:endParaRPr>
        </a:p>
      </xdr:txBody>
    </xdr:sp>
    <xdr:clientData/>
  </xdr:twoCellAnchor>
  <xdr:twoCellAnchor>
    <xdr:from>
      <xdr:col>9</xdr:col>
      <xdr:colOff>125036</xdr:colOff>
      <xdr:row>22</xdr:row>
      <xdr:rowOff>27143</xdr:rowOff>
    </xdr:from>
    <xdr:to>
      <xdr:col>16</xdr:col>
      <xdr:colOff>330789</xdr:colOff>
      <xdr:row>23</xdr:row>
      <xdr:rowOff>92190</xdr:rowOff>
    </xdr:to>
    <xdr:sp macro="" textlink="">
      <xdr:nvSpPr>
        <xdr:cNvPr id="22" name="TextBox 21">
          <a:extLst>
            <a:ext uri="{FF2B5EF4-FFF2-40B4-BE49-F238E27FC236}">
              <a16:creationId xmlns:a16="http://schemas.microsoft.com/office/drawing/2014/main" id="{5AE1E1B9-CE37-4E05-B9C4-D0683CD104D3}"/>
            </a:ext>
          </a:extLst>
        </xdr:cNvPr>
        <xdr:cNvSpPr txBox="1"/>
      </xdr:nvSpPr>
      <xdr:spPr>
        <a:xfrm>
          <a:off x="5622772" y="4044961"/>
          <a:ext cx="4481769" cy="247675"/>
        </a:xfrm>
        <a:prstGeom prst="rect">
          <a:avLst/>
        </a:prstGeom>
        <a:solidFill>
          <a:srgbClr val="F9F9F8"/>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tx1"/>
              </a:solidFill>
            </a:rPr>
            <a:t>Last</a:t>
          </a:r>
          <a:r>
            <a:rPr lang="en-IN" sz="1100" b="1" baseline="0">
              <a:solidFill>
                <a:schemeClr val="tx1"/>
              </a:solidFill>
            </a:rPr>
            <a:t> Updated</a:t>
          </a:r>
          <a:r>
            <a:rPr lang="en-IN" sz="1100" b="1">
              <a:solidFill>
                <a:schemeClr val="tx1"/>
              </a:solidFill>
            </a:rPr>
            <a:t>           </a:t>
          </a:r>
          <a:r>
            <a:rPr lang="en-IN" sz="1100" b="1">
              <a:solidFill>
                <a:srgbClr val="00366C"/>
              </a:solidFill>
            </a:rPr>
            <a:t>|</a:t>
          </a:r>
          <a:r>
            <a:rPr lang="en-IN" sz="1100" b="1">
              <a:solidFill>
                <a:srgbClr val="5160A7"/>
              </a:solidFill>
            </a:rPr>
            <a:t>       </a:t>
          </a:r>
          <a:r>
            <a:rPr lang="en-IN" sz="1100" b="1">
              <a:solidFill>
                <a:srgbClr val="00366C"/>
              </a:solidFill>
            </a:rPr>
            <a:t>09</a:t>
          </a:r>
          <a:r>
            <a:rPr lang="en-IN" sz="1100" b="1" baseline="0">
              <a:solidFill>
                <a:srgbClr val="00366C"/>
              </a:solidFill>
            </a:rPr>
            <a:t> June 2026</a:t>
          </a:r>
          <a:endParaRPr lang="en-IN" sz="1100" b="1">
            <a:solidFill>
              <a:srgbClr val="00366C"/>
            </a:solidFill>
          </a:endParaRPr>
        </a:p>
      </xdr:txBody>
    </xdr:sp>
    <xdr:clientData/>
  </xdr:twoCellAnchor>
  <xdr:twoCellAnchor>
    <xdr:from>
      <xdr:col>9</xdr:col>
      <xdr:colOff>141482</xdr:colOff>
      <xdr:row>24</xdr:row>
      <xdr:rowOff>85757</xdr:rowOff>
    </xdr:from>
    <xdr:to>
      <xdr:col>16</xdr:col>
      <xdr:colOff>346368</xdr:colOff>
      <xdr:row>25</xdr:row>
      <xdr:rowOff>147203</xdr:rowOff>
    </xdr:to>
    <xdr:sp macro="" textlink="">
      <xdr:nvSpPr>
        <xdr:cNvPr id="23" name="TextBox 22">
          <a:extLst>
            <a:ext uri="{FF2B5EF4-FFF2-40B4-BE49-F238E27FC236}">
              <a16:creationId xmlns:a16="http://schemas.microsoft.com/office/drawing/2014/main" id="{82485926-3A64-4287-A68A-E20E62A0B6DE}"/>
            </a:ext>
          </a:extLst>
        </xdr:cNvPr>
        <xdr:cNvSpPr txBox="1"/>
      </xdr:nvSpPr>
      <xdr:spPr>
        <a:xfrm>
          <a:off x="5639218" y="4468831"/>
          <a:ext cx="4480902" cy="244074"/>
        </a:xfrm>
        <a:prstGeom prst="rect">
          <a:avLst/>
        </a:prstGeom>
        <a:solidFill>
          <a:srgbClr val="F9F9F8"/>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tx1"/>
              </a:solidFill>
            </a:rPr>
            <a:t>Model</a:t>
          </a:r>
          <a:r>
            <a:rPr lang="en-IN" sz="1100" b="1" baseline="0">
              <a:solidFill>
                <a:schemeClr val="tx1"/>
              </a:solidFill>
            </a:rPr>
            <a:t> Coverage</a:t>
          </a:r>
          <a:r>
            <a:rPr lang="en-IN" sz="1100" b="1">
              <a:solidFill>
                <a:schemeClr val="tx1"/>
              </a:solidFill>
            </a:rPr>
            <a:t>     </a:t>
          </a:r>
          <a:r>
            <a:rPr lang="en-IN" sz="1100" b="1">
              <a:solidFill>
                <a:srgbClr val="00366C"/>
              </a:solidFill>
            </a:rPr>
            <a:t>|</a:t>
          </a:r>
          <a:r>
            <a:rPr lang="en-IN" sz="1100" b="1">
              <a:solidFill>
                <a:srgbClr val="5160A7"/>
              </a:solidFill>
            </a:rPr>
            <a:t>       </a:t>
          </a:r>
          <a:r>
            <a:rPr lang="en-IN" sz="1100" b="1">
              <a:solidFill>
                <a:srgbClr val="00366C"/>
              </a:solidFill>
            </a:rPr>
            <a:t>Valuation</a:t>
          </a:r>
          <a:r>
            <a:rPr lang="en-IN" sz="1100" b="1" baseline="0">
              <a:solidFill>
                <a:srgbClr val="00366C"/>
              </a:solidFill>
            </a:rPr>
            <a:t>, Sensitivty, Scenarios, Credit, Relative</a:t>
          </a:r>
          <a:endParaRPr lang="en-IN" sz="1100" b="1">
            <a:solidFill>
              <a:srgbClr val="00366C"/>
            </a:solidFill>
          </a:endParaRPr>
        </a:p>
      </xdr:txBody>
    </xdr:sp>
    <xdr:clientData/>
  </xdr:twoCellAnchor>
  <xdr:twoCellAnchor editAs="oneCell">
    <xdr:from>
      <xdr:col>0</xdr:col>
      <xdr:colOff>142476</xdr:colOff>
      <xdr:row>17</xdr:row>
      <xdr:rowOff>102870</xdr:rowOff>
    </xdr:from>
    <xdr:to>
      <xdr:col>0</xdr:col>
      <xdr:colOff>382691</xdr:colOff>
      <xdr:row>18</xdr:row>
      <xdr:rowOff>171449</xdr:rowOff>
    </xdr:to>
    <xdr:pic>
      <xdr:nvPicPr>
        <xdr:cNvPr id="27" name="Picture 26">
          <a:extLst>
            <a:ext uri="{FF2B5EF4-FFF2-40B4-BE49-F238E27FC236}">
              <a16:creationId xmlns:a16="http://schemas.microsoft.com/office/drawing/2014/main" id="{7705174A-266D-FC43-945A-E810A2D503E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332" t="2898" r="61660" b="77462"/>
        <a:stretch>
          <a:fillRect/>
        </a:stretch>
      </xdr:blipFill>
      <xdr:spPr>
        <a:xfrm>
          <a:off x="142476" y="3211830"/>
          <a:ext cx="240215" cy="251459"/>
        </a:xfrm>
        <a:prstGeom prst="rect">
          <a:avLst/>
        </a:prstGeom>
      </xdr:spPr>
    </xdr:pic>
    <xdr:clientData/>
  </xdr:twoCellAnchor>
  <xdr:twoCellAnchor editAs="oneCell">
    <xdr:from>
      <xdr:col>0</xdr:col>
      <xdr:colOff>142476</xdr:colOff>
      <xdr:row>19</xdr:row>
      <xdr:rowOff>163830</xdr:rowOff>
    </xdr:from>
    <xdr:to>
      <xdr:col>0</xdr:col>
      <xdr:colOff>382691</xdr:colOff>
      <xdr:row>21</xdr:row>
      <xdr:rowOff>57150</xdr:rowOff>
    </xdr:to>
    <xdr:pic>
      <xdr:nvPicPr>
        <xdr:cNvPr id="28" name="Picture 27">
          <a:extLst>
            <a:ext uri="{FF2B5EF4-FFF2-40B4-BE49-F238E27FC236}">
              <a16:creationId xmlns:a16="http://schemas.microsoft.com/office/drawing/2014/main" id="{AB0C7C5B-4697-4607-833E-00E367C676E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1602" t="27151" r="61390" b="53209"/>
        <a:stretch>
          <a:fillRect/>
        </a:stretch>
      </xdr:blipFill>
      <xdr:spPr>
        <a:xfrm>
          <a:off x="142476" y="3638550"/>
          <a:ext cx="240215" cy="259080"/>
        </a:xfrm>
        <a:prstGeom prst="rect">
          <a:avLst/>
        </a:prstGeom>
      </xdr:spPr>
    </xdr:pic>
    <xdr:clientData/>
  </xdr:twoCellAnchor>
  <xdr:twoCellAnchor editAs="oneCell">
    <xdr:from>
      <xdr:col>0</xdr:col>
      <xdr:colOff>140571</xdr:colOff>
      <xdr:row>22</xdr:row>
      <xdr:rowOff>41910</xdr:rowOff>
    </xdr:from>
    <xdr:to>
      <xdr:col>0</xdr:col>
      <xdr:colOff>380786</xdr:colOff>
      <xdr:row>23</xdr:row>
      <xdr:rowOff>114300</xdr:rowOff>
    </xdr:to>
    <xdr:pic>
      <xdr:nvPicPr>
        <xdr:cNvPr id="29" name="Picture 28">
          <a:extLst>
            <a:ext uri="{FF2B5EF4-FFF2-40B4-BE49-F238E27FC236}">
              <a16:creationId xmlns:a16="http://schemas.microsoft.com/office/drawing/2014/main" id="{86439158-91B6-4F96-8861-BF212C0BAE0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1332" t="50113" r="61660" b="30247"/>
        <a:stretch>
          <a:fillRect/>
        </a:stretch>
      </xdr:blipFill>
      <xdr:spPr>
        <a:xfrm>
          <a:off x="140571" y="4065270"/>
          <a:ext cx="240215" cy="255270"/>
        </a:xfrm>
        <a:prstGeom prst="rect">
          <a:avLst/>
        </a:prstGeom>
      </xdr:spPr>
    </xdr:pic>
    <xdr:clientData/>
  </xdr:twoCellAnchor>
  <xdr:twoCellAnchor editAs="oneCell">
    <xdr:from>
      <xdr:col>0</xdr:col>
      <xdr:colOff>140571</xdr:colOff>
      <xdr:row>24</xdr:row>
      <xdr:rowOff>97155</xdr:rowOff>
    </xdr:from>
    <xdr:to>
      <xdr:col>0</xdr:col>
      <xdr:colOff>380786</xdr:colOff>
      <xdr:row>25</xdr:row>
      <xdr:rowOff>169545</xdr:rowOff>
    </xdr:to>
    <xdr:pic>
      <xdr:nvPicPr>
        <xdr:cNvPr id="30" name="Picture 29">
          <a:extLst>
            <a:ext uri="{FF2B5EF4-FFF2-40B4-BE49-F238E27FC236}">
              <a16:creationId xmlns:a16="http://schemas.microsoft.com/office/drawing/2014/main" id="{64195775-99BC-4392-884E-B9A74581749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1062" t="73124" r="61930" b="7236"/>
        <a:stretch>
          <a:fillRect/>
        </a:stretch>
      </xdr:blipFill>
      <xdr:spPr>
        <a:xfrm>
          <a:off x="140571" y="4486275"/>
          <a:ext cx="240215" cy="255270"/>
        </a:xfrm>
        <a:prstGeom prst="rect">
          <a:avLst/>
        </a:prstGeom>
      </xdr:spPr>
    </xdr:pic>
    <xdr:clientData/>
  </xdr:twoCellAnchor>
  <xdr:twoCellAnchor editAs="oneCell">
    <xdr:from>
      <xdr:col>8</xdr:col>
      <xdr:colOff>478304</xdr:colOff>
      <xdr:row>17</xdr:row>
      <xdr:rowOff>82314</xdr:rowOff>
    </xdr:from>
    <xdr:to>
      <xdr:col>9</xdr:col>
      <xdr:colOff>111324</xdr:colOff>
      <xdr:row>18</xdr:row>
      <xdr:rowOff>143464</xdr:rowOff>
    </xdr:to>
    <xdr:pic>
      <xdr:nvPicPr>
        <xdr:cNvPr id="32" name="Picture 31">
          <a:extLst>
            <a:ext uri="{FF2B5EF4-FFF2-40B4-BE49-F238E27FC236}">
              <a16:creationId xmlns:a16="http://schemas.microsoft.com/office/drawing/2014/main" id="{9868DDD0-D49E-AAC4-31CE-A6FB74A7BD0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1738" t="4675" r="65254" b="76273"/>
        <a:stretch>
          <a:fillRect/>
        </a:stretch>
      </xdr:blipFill>
      <xdr:spPr>
        <a:xfrm>
          <a:off x="5351341" y="3200870"/>
          <a:ext cx="242150" cy="244594"/>
        </a:xfrm>
        <a:prstGeom prst="rect">
          <a:avLst/>
        </a:prstGeom>
      </xdr:spPr>
    </xdr:pic>
    <xdr:clientData/>
  </xdr:twoCellAnchor>
  <xdr:twoCellAnchor editAs="oneCell">
    <xdr:from>
      <xdr:col>8</xdr:col>
      <xdr:colOff>484886</xdr:colOff>
      <xdr:row>19</xdr:row>
      <xdr:rowOff>152401</xdr:rowOff>
    </xdr:from>
    <xdr:to>
      <xdr:col>9</xdr:col>
      <xdr:colOff>117906</xdr:colOff>
      <xdr:row>21</xdr:row>
      <xdr:rowOff>37630</xdr:rowOff>
    </xdr:to>
    <xdr:pic>
      <xdr:nvPicPr>
        <xdr:cNvPr id="33" name="Picture 32">
          <a:extLst>
            <a:ext uri="{FF2B5EF4-FFF2-40B4-BE49-F238E27FC236}">
              <a16:creationId xmlns:a16="http://schemas.microsoft.com/office/drawing/2014/main" id="{0BE848C3-D442-4656-9E0B-24891552083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1864" t="28490" r="65128" b="52458"/>
        <a:stretch>
          <a:fillRect/>
        </a:stretch>
      </xdr:blipFill>
      <xdr:spPr>
        <a:xfrm>
          <a:off x="5357923" y="3637845"/>
          <a:ext cx="242150" cy="252118"/>
        </a:xfrm>
        <a:prstGeom prst="rect">
          <a:avLst/>
        </a:prstGeom>
      </xdr:spPr>
    </xdr:pic>
    <xdr:clientData/>
  </xdr:twoCellAnchor>
  <xdr:twoCellAnchor editAs="oneCell">
    <xdr:from>
      <xdr:col>8</xdr:col>
      <xdr:colOff>489117</xdr:colOff>
      <xdr:row>22</xdr:row>
      <xdr:rowOff>24930</xdr:rowOff>
    </xdr:from>
    <xdr:to>
      <xdr:col>9</xdr:col>
      <xdr:colOff>122137</xdr:colOff>
      <xdr:row>23</xdr:row>
      <xdr:rowOff>105833</xdr:rowOff>
    </xdr:to>
    <xdr:pic>
      <xdr:nvPicPr>
        <xdr:cNvPr id="34" name="Picture 33">
          <a:extLst>
            <a:ext uri="{FF2B5EF4-FFF2-40B4-BE49-F238E27FC236}">
              <a16:creationId xmlns:a16="http://schemas.microsoft.com/office/drawing/2014/main" id="{4734F120-5AB1-414E-B727-37DB59A83869}"/>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1990" t="51594" r="65002" b="29354"/>
        <a:stretch>
          <a:fillRect/>
        </a:stretch>
      </xdr:blipFill>
      <xdr:spPr>
        <a:xfrm>
          <a:off x="5362154" y="4060708"/>
          <a:ext cx="242150" cy="264347"/>
        </a:xfrm>
        <a:prstGeom prst="rect">
          <a:avLst/>
        </a:prstGeom>
      </xdr:spPr>
    </xdr:pic>
    <xdr:clientData/>
  </xdr:twoCellAnchor>
  <xdr:twoCellAnchor editAs="oneCell">
    <xdr:from>
      <xdr:col>8</xdr:col>
      <xdr:colOff>497205</xdr:colOff>
      <xdr:row>24</xdr:row>
      <xdr:rowOff>84666</xdr:rowOff>
    </xdr:from>
    <xdr:to>
      <xdr:col>9</xdr:col>
      <xdr:colOff>140482</xdr:colOff>
      <xdr:row>25</xdr:row>
      <xdr:rowOff>159925</xdr:rowOff>
    </xdr:to>
    <xdr:pic>
      <xdr:nvPicPr>
        <xdr:cNvPr id="35" name="Picture 34">
          <a:extLst>
            <a:ext uri="{FF2B5EF4-FFF2-40B4-BE49-F238E27FC236}">
              <a16:creationId xmlns:a16="http://schemas.microsoft.com/office/drawing/2014/main" id="{0451A8CA-E96A-4B0F-906D-3D2E6897854A}"/>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2243" t="73120" r="64749" b="7828"/>
        <a:stretch>
          <a:fillRect/>
        </a:stretch>
      </xdr:blipFill>
      <xdr:spPr>
        <a:xfrm>
          <a:off x="5374005" y="4473786"/>
          <a:ext cx="252877" cy="2581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30480</xdr:rowOff>
    </xdr:from>
    <xdr:to>
      <xdr:col>9</xdr:col>
      <xdr:colOff>6514</xdr:colOff>
      <xdr:row>18</xdr:row>
      <xdr:rowOff>30480</xdr:rowOff>
    </xdr:to>
    <xdr:graphicFrame macro="">
      <xdr:nvGraphicFramePr>
        <xdr:cNvPr id="2" name="Chart 1">
          <a:extLst>
            <a:ext uri="{FF2B5EF4-FFF2-40B4-BE49-F238E27FC236}">
              <a16:creationId xmlns:a16="http://schemas.microsoft.com/office/drawing/2014/main" id="{D1C9E822-0F41-484F-B09C-F71C1CA9B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xdr:colOff>
      <xdr:row>3</xdr:row>
      <xdr:rowOff>35170</xdr:rowOff>
    </xdr:from>
    <xdr:to>
      <xdr:col>18</xdr:col>
      <xdr:colOff>19538</xdr:colOff>
      <xdr:row>18</xdr:row>
      <xdr:rowOff>119837</xdr:rowOff>
    </xdr:to>
    <xdr:graphicFrame macro="">
      <xdr:nvGraphicFramePr>
        <xdr:cNvPr id="3" name="Chart 2">
          <a:extLst>
            <a:ext uri="{FF2B5EF4-FFF2-40B4-BE49-F238E27FC236}">
              <a16:creationId xmlns:a16="http://schemas.microsoft.com/office/drawing/2014/main" id="{31A1379B-4185-4D37-B624-B5F69018C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294340</xdr:colOff>
      <xdr:row>21</xdr:row>
      <xdr:rowOff>58170</xdr:rowOff>
    </xdr:from>
    <xdr:to>
      <xdr:col>9</xdr:col>
      <xdr:colOff>0</xdr:colOff>
      <xdr:row>39</xdr:row>
      <xdr:rowOff>75517</xdr:rowOff>
    </xdr:to>
    <xdr:graphicFrame macro="">
      <xdr:nvGraphicFramePr>
        <xdr:cNvPr id="4" name="Chart 3">
          <a:extLst>
            <a:ext uri="{FF2B5EF4-FFF2-40B4-BE49-F238E27FC236}">
              <a16:creationId xmlns:a16="http://schemas.microsoft.com/office/drawing/2014/main" id="{01E6CD46-1501-457B-B5F3-60C4920D4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9886</xdr:colOff>
      <xdr:row>21</xdr:row>
      <xdr:rowOff>29658</xdr:rowOff>
    </xdr:from>
    <xdr:to>
      <xdr:col>18</xdr:col>
      <xdr:colOff>13729</xdr:colOff>
      <xdr:row>40</xdr:row>
      <xdr:rowOff>18228</xdr:rowOff>
    </xdr:to>
    <xdr:graphicFrame macro="">
      <xdr:nvGraphicFramePr>
        <xdr:cNvPr id="5" name="Chart 4">
          <a:extLst>
            <a:ext uri="{FF2B5EF4-FFF2-40B4-BE49-F238E27FC236}">
              <a16:creationId xmlns:a16="http://schemas.microsoft.com/office/drawing/2014/main" id="{96D14F3F-42D9-4BA3-8DB2-9D4305782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13729</xdr:colOff>
      <xdr:row>6</xdr:row>
      <xdr:rowOff>137297</xdr:rowOff>
    </xdr:from>
    <xdr:to>
      <xdr:col>6</xdr:col>
      <xdr:colOff>391298</xdr:colOff>
      <xdr:row>8</xdr:row>
      <xdr:rowOff>123567</xdr:rowOff>
    </xdr:to>
    <xdr:sp macro="" textlink="">
      <xdr:nvSpPr>
        <xdr:cNvPr id="8" name="Speech Bubble: Rectangle with Corners Rounded 7">
          <a:extLst>
            <a:ext uri="{FF2B5EF4-FFF2-40B4-BE49-F238E27FC236}">
              <a16:creationId xmlns:a16="http://schemas.microsoft.com/office/drawing/2014/main" id="{75E54D55-00AB-FFA0-A622-78B7865C8FF0}"/>
            </a:ext>
          </a:extLst>
        </xdr:cNvPr>
        <xdr:cNvSpPr/>
      </xdr:nvSpPr>
      <xdr:spPr>
        <a:xfrm>
          <a:off x="2752810" y="1146432"/>
          <a:ext cx="988542" cy="356973"/>
        </a:xfrm>
        <a:prstGeom prst="wedgeRoundRectCallout">
          <a:avLst>
            <a:gd name="adj1" fmla="val -29728"/>
            <a:gd name="adj2" fmla="val 91078"/>
            <a:gd name="adj3" fmla="val 16667"/>
          </a:avLst>
        </a:prstGeom>
        <a:noFill/>
        <a:ln w="12700">
          <a:solidFill>
            <a:srgbClr val="00366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b="1">
              <a:solidFill>
                <a:srgbClr val="00366C"/>
              </a:solidFill>
            </a:rPr>
            <a:t>Current</a:t>
          </a:r>
          <a:r>
            <a:rPr lang="en-IN" sz="700" b="1" baseline="0">
              <a:solidFill>
                <a:srgbClr val="00366C"/>
              </a:solidFill>
            </a:rPr>
            <a:t> Market YTM</a:t>
          </a:r>
          <a:br>
            <a:rPr lang="en-IN" sz="700" b="1" baseline="0">
              <a:solidFill>
                <a:srgbClr val="00366C"/>
              </a:solidFill>
            </a:rPr>
          </a:br>
          <a:r>
            <a:rPr lang="en-IN" sz="700" b="1" baseline="0">
              <a:solidFill>
                <a:srgbClr val="00366C"/>
              </a:solidFill>
            </a:rPr>
            <a:t>(7.75%, ₹ 959.71)</a:t>
          </a:r>
          <a:endParaRPr lang="en-IN" sz="700" b="1">
            <a:solidFill>
              <a:srgbClr val="00366C"/>
            </a:solidFill>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08AE-3021-47A8-BD4F-AE5CD78591B1}">
  <sheetPr codeName="Sheet1">
    <pageSetUpPr fitToPage="1"/>
  </sheetPr>
  <dimension ref="A1:Q27"/>
  <sheetViews>
    <sheetView showGridLines="0" tabSelected="1" topLeftCell="A2" zoomScale="103" zoomScaleNormal="104" zoomScaleSheetLayoutView="102" workbookViewId="0">
      <selection activeCell="C30" sqref="C30"/>
    </sheetView>
  </sheetViews>
  <sheetFormatPr defaultRowHeight="14.4"/>
  <cols>
    <col min="1" max="2" width="8.88671875" style="2" customWidth="1"/>
    <col min="3" max="16" width="8.88671875" style="2"/>
    <col min="17" max="17" width="5.5546875" style="2" customWidth="1"/>
    <col min="18" max="16384" width="8.88671875" style="2"/>
  </cols>
  <sheetData>
    <row r="1" spans="1:17">
      <c r="A1" s="6"/>
      <c r="B1"/>
      <c r="C1"/>
      <c r="D1"/>
      <c r="E1"/>
      <c r="F1"/>
      <c r="G1"/>
      <c r="H1"/>
      <c r="I1"/>
      <c r="J1"/>
      <c r="K1"/>
      <c r="L1"/>
      <c r="M1"/>
      <c r="N1"/>
      <c r="O1"/>
      <c r="P1"/>
      <c r="Q1" s="1"/>
    </row>
    <row r="2" spans="1:17">
      <c r="A2" s="6"/>
      <c r="B2"/>
      <c r="C2"/>
      <c r="D2"/>
      <c r="E2"/>
      <c r="F2"/>
      <c r="G2"/>
      <c r="H2"/>
      <c r="I2"/>
      <c r="J2"/>
      <c r="K2"/>
      <c r="L2"/>
      <c r="M2"/>
      <c r="N2"/>
      <c r="O2"/>
      <c r="P2"/>
      <c r="Q2" s="1"/>
    </row>
    <row r="3" spans="1:17">
      <c r="A3" s="6"/>
      <c r="B3"/>
      <c r="C3"/>
      <c r="D3"/>
      <c r="E3"/>
      <c r="F3"/>
      <c r="G3"/>
      <c r="H3"/>
      <c r="I3"/>
      <c r="J3"/>
      <c r="K3"/>
      <c r="L3"/>
      <c r="M3"/>
      <c r="N3"/>
      <c r="O3"/>
      <c r="P3"/>
      <c r="Q3" s="1"/>
    </row>
    <row r="4" spans="1:17">
      <c r="A4" s="6"/>
      <c r="B4"/>
      <c r="C4"/>
      <c r="D4"/>
      <c r="E4"/>
      <c r="F4"/>
      <c r="G4"/>
      <c r="H4"/>
      <c r="I4"/>
      <c r="J4"/>
      <c r="K4"/>
      <c r="L4"/>
      <c r="M4"/>
      <c r="N4"/>
      <c r="O4"/>
      <c r="P4"/>
      <c r="Q4" s="1"/>
    </row>
    <row r="5" spans="1:17">
      <c r="A5" s="6"/>
      <c r="B5"/>
      <c r="C5"/>
      <c r="D5"/>
      <c r="E5"/>
      <c r="F5"/>
      <c r="G5"/>
      <c r="H5"/>
      <c r="I5"/>
      <c r="J5"/>
      <c r="K5"/>
      <c r="L5"/>
      <c r="M5"/>
      <c r="N5"/>
      <c r="O5"/>
      <c r="P5"/>
      <c r="Q5" s="1"/>
    </row>
    <row r="6" spans="1:17">
      <c r="A6" s="6"/>
      <c r="B6"/>
      <c r="C6"/>
      <c r="D6"/>
      <c r="E6"/>
      <c r="F6"/>
      <c r="G6"/>
      <c r="H6"/>
      <c r="I6"/>
      <c r="J6"/>
      <c r="K6"/>
      <c r="L6"/>
      <c r="M6"/>
      <c r="N6"/>
      <c r="O6"/>
      <c r="P6"/>
      <c r="Q6" s="1"/>
    </row>
    <row r="7" spans="1:17">
      <c r="A7" s="6"/>
      <c r="B7"/>
      <c r="C7"/>
      <c r="D7"/>
      <c r="E7"/>
      <c r="F7"/>
      <c r="G7"/>
      <c r="H7"/>
      <c r="I7"/>
      <c r="J7"/>
      <c r="K7"/>
      <c r="L7"/>
      <c r="M7"/>
      <c r="N7"/>
      <c r="O7"/>
      <c r="P7"/>
      <c r="Q7" s="1"/>
    </row>
    <row r="8" spans="1:17">
      <c r="A8" s="6"/>
      <c r="B8"/>
      <c r="C8"/>
      <c r="D8"/>
      <c r="E8"/>
      <c r="F8"/>
      <c r="G8"/>
      <c r="H8"/>
      <c r="I8"/>
      <c r="J8"/>
      <c r="K8"/>
      <c r="L8"/>
      <c r="M8"/>
      <c r="N8"/>
      <c r="O8"/>
      <c r="P8"/>
      <c r="Q8" s="1"/>
    </row>
    <row r="9" spans="1:17">
      <c r="A9" s="6"/>
      <c r="B9"/>
      <c r="C9"/>
      <c r="D9"/>
      <c r="E9"/>
      <c r="F9"/>
      <c r="G9"/>
      <c r="H9"/>
      <c r="I9"/>
      <c r="J9"/>
      <c r="K9"/>
      <c r="L9"/>
      <c r="M9"/>
      <c r="N9"/>
      <c r="O9"/>
      <c r="P9"/>
      <c r="Q9" s="1"/>
    </row>
    <row r="10" spans="1:17">
      <c r="A10" s="6"/>
      <c r="B10"/>
      <c r="C10"/>
      <c r="D10"/>
      <c r="E10"/>
      <c r="F10"/>
      <c r="G10"/>
      <c r="H10"/>
      <c r="I10"/>
      <c r="J10"/>
      <c r="K10"/>
      <c r="L10"/>
      <c r="M10"/>
      <c r="N10"/>
      <c r="O10"/>
      <c r="P10"/>
      <c r="Q10" s="1"/>
    </row>
    <row r="11" spans="1:17">
      <c r="A11" s="6"/>
      <c r="B11"/>
      <c r="C11"/>
      <c r="D11"/>
      <c r="E11"/>
      <c r="F11"/>
      <c r="G11"/>
      <c r="H11"/>
      <c r="I11"/>
      <c r="J11"/>
      <c r="K11"/>
      <c r="L11"/>
      <c r="M11"/>
      <c r="N11"/>
      <c r="O11"/>
      <c r="P11"/>
      <c r="Q11" s="1"/>
    </row>
    <row r="12" spans="1:17">
      <c r="A12" s="6"/>
      <c r="B12"/>
      <c r="C12"/>
      <c r="D12"/>
      <c r="E12"/>
      <c r="F12"/>
      <c r="G12"/>
      <c r="H12"/>
      <c r="I12"/>
      <c r="J12"/>
      <c r="K12"/>
      <c r="L12"/>
      <c r="M12"/>
      <c r="N12"/>
      <c r="O12"/>
      <c r="P12"/>
      <c r="Q12" s="1"/>
    </row>
    <row r="13" spans="1:17">
      <c r="A13" s="6"/>
      <c r="B13"/>
      <c r="C13"/>
      <c r="D13"/>
      <c r="E13"/>
      <c r="F13"/>
      <c r="G13"/>
      <c r="H13"/>
      <c r="I13"/>
      <c r="J13"/>
      <c r="K13"/>
      <c r="L13"/>
      <c r="M13"/>
      <c r="N13"/>
      <c r="O13"/>
      <c r="P13"/>
      <c r="Q13" s="1"/>
    </row>
    <row r="14" spans="1:17">
      <c r="A14" s="6"/>
      <c r="B14"/>
      <c r="C14"/>
      <c r="D14"/>
      <c r="E14"/>
      <c r="F14"/>
      <c r="G14"/>
      <c r="H14"/>
      <c r="I14"/>
      <c r="J14"/>
      <c r="K14"/>
      <c r="L14"/>
      <c r="M14"/>
      <c r="N14"/>
      <c r="O14"/>
      <c r="P14"/>
      <c r="Q14" s="1"/>
    </row>
    <row r="15" spans="1:17">
      <c r="A15" s="6"/>
      <c r="B15"/>
      <c r="C15"/>
      <c r="D15"/>
      <c r="E15"/>
      <c r="F15"/>
      <c r="G15"/>
      <c r="H15"/>
      <c r="I15"/>
      <c r="J15"/>
      <c r="K15"/>
      <c r="L15"/>
      <c r="M15"/>
      <c r="N15"/>
      <c r="O15"/>
      <c r="P15"/>
      <c r="Q15" s="1"/>
    </row>
    <row r="16" spans="1:17">
      <c r="A16" s="6"/>
      <c r="B16"/>
      <c r="C16"/>
      <c r="D16"/>
      <c r="E16"/>
      <c r="F16"/>
      <c r="G16"/>
      <c r="H16"/>
      <c r="I16"/>
      <c r="J16"/>
      <c r="K16"/>
      <c r="L16"/>
      <c r="M16"/>
      <c r="N16"/>
      <c r="O16"/>
      <c r="P16"/>
      <c r="Q16" s="1"/>
    </row>
    <row r="17" spans="1:17">
      <c r="A17" s="6"/>
      <c r="B17"/>
      <c r="C17"/>
      <c r="D17"/>
      <c r="E17"/>
      <c r="F17"/>
      <c r="G17"/>
      <c r="H17"/>
      <c r="I17"/>
      <c r="J17"/>
      <c r="K17"/>
      <c r="L17"/>
      <c r="M17"/>
      <c r="N17"/>
      <c r="O17"/>
      <c r="P17"/>
      <c r="Q17" s="1"/>
    </row>
    <row r="18" spans="1:17">
      <c r="A18" s="6"/>
      <c r="B18"/>
      <c r="C18"/>
      <c r="D18"/>
      <c r="E18"/>
      <c r="F18"/>
      <c r="G18"/>
      <c r="H18"/>
      <c r="I18"/>
      <c r="J18"/>
      <c r="K18"/>
      <c r="L18"/>
      <c r="M18"/>
      <c r="N18"/>
      <c r="O18"/>
      <c r="P18"/>
      <c r="Q18" s="1"/>
    </row>
    <row r="19" spans="1:17">
      <c r="A19" s="6"/>
      <c r="B19"/>
      <c r="C19"/>
      <c r="D19"/>
      <c r="E19"/>
      <c r="F19"/>
      <c r="G19"/>
      <c r="H19"/>
      <c r="I19"/>
      <c r="J19"/>
      <c r="K19"/>
      <c r="L19"/>
      <c r="M19"/>
      <c r="N19"/>
      <c r="O19"/>
      <c r="P19"/>
      <c r="Q19" s="1"/>
    </row>
    <row r="20" spans="1:17">
      <c r="A20" s="6"/>
      <c r="B20"/>
      <c r="C20"/>
      <c r="D20"/>
      <c r="E20"/>
      <c r="F20"/>
      <c r="G20"/>
      <c r="H20"/>
      <c r="I20"/>
      <c r="J20"/>
      <c r="K20"/>
      <c r="L20"/>
      <c r="M20"/>
      <c r="N20"/>
      <c r="O20"/>
      <c r="P20"/>
      <c r="Q20" s="1"/>
    </row>
    <row r="21" spans="1:17">
      <c r="A21" s="6"/>
      <c r="B21"/>
      <c r="C21"/>
      <c r="D21"/>
      <c r="E21"/>
      <c r="F21"/>
      <c r="G21"/>
      <c r="H21"/>
      <c r="I21"/>
      <c r="J21"/>
      <c r="K21"/>
      <c r="L21"/>
      <c r="M21"/>
      <c r="N21"/>
      <c r="O21"/>
      <c r="P21"/>
      <c r="Q21" s="1"/>
    </row>
    <row r="22" spans="1:17">
      <c r="A22" s="6"/>
      <c r="B22"/>
      <c r="C22"/>
      <c r="D22"/>
      <c r="E22" s="3"/>
      <c r="F22"/>
      <c r="G22"/>
      <c r="H22"/>
      <c r="I22"/>
      <c r="J22"/>
      <c r="K22"/>
      <c r="L22"/>
      <c r="M22"/>
      <c r="N22"/>
      <c r="O22"/>
      <c r="P22"/>
      <c r="Q22" s="1"/>
    </row>
    <row r="23" spans="1:17">
      <c r="A23" s="6"/>
      <c r="B23"/>
      <c r="C23"/>
      <c r="D23"/>
      <c r="E23"/>
      <c r="F23"/>
      <c r="G23"/>
      <c r="H23"/>
      <c r="I23"/>
      <c r="J23"/>
      <c r="K23"/>
      <c r="L23"/>
      <c r="M23"/>
      <c r="N23"/>
      <c r="O23"/>
      <c r="P23"/>
      <c r="Q23" s="1"/>
    </row>
    <row r="24" spans="1:17">
      <c r="A24" s="6"/>
      <c r="B24"/>
      <c r="C24"/>
      <c r="D24"/>
      <c r="E24"/>
      <c r="F24"/>
      <c r="G24"/>
      <c r="H24"/>
      <c r="I24"/>
      <c r="J24"/>
      <c r="K24"/>
      <c r="L24"/>
      <c r="M24"/>
      <c r="N24"/>
      <c r="O24"/>
      <c r="P24"/>
      <c r="Q24" s="1"/>
    </row>
    <row r="25" spans="1:17">
      <c r="A25" s="6"/>
      <c r="B25"/>
      <c r="C25"/>
      <c r="D25"/>
      <c r="E25"/>
      <c r="F25"/>
      <c r="G25"/>
      <c r="H25"/>
      <c r="I25"/>
      <c r="J25"/>
      <c r="K25"/>
      <c r="L25"/>
      <c r="M25"/>
      <c r="N25"/>
      <c r="O25"/>
      <c r="P25"/>
      <c r="Q25" s="1"/>
    </row>
    <row r="26" spans="1:17">
      <c r="A26" s="6"/>
      <c r="B26"/>
      <c r="C26"/>
      <c r="D26"/>
      <c r="E26"/>
      <c r="F26"/>
      <c r="G26"/>
      <c r="H26"/>
      <c r="I26"/>
      <c r="J26"/>
      <c r="K26"/>
      <c r="L26"/>
      <c r="M26"/>
      <c r="N26"/>
      <c r="O26"/>
      <c r="P26"/>
      <c r="Q26" s="1"/>
    </row>
    <row r="27" spans="1:17" ht="15" thickBot="1">
      <c r="A27" s="7"/>
      <c r="B27" s="4"/>
      <c r="C27" s="4"/>
      <c r="D27" s="4"/>
      <c r="E27" s="4"/>
      <c r="F27" s="4"/>
      <c r="G27" s="4"/>
      <c r="H27" s="4"/>
      <c r="I27" s="4"/>
      <c r="J27" s="4"/>
      <c r="K27" s="4"/>
      <c r="L27" s="4"/>
      <c r="M27" s="4"/>
      <c r="N27" s="4"/>
      <c r="O27" s="4"/>
      <c r="P27" s="4"/>
      <c r="Q27" s="5"/>
    </row>
  </sheetData>
  <sheetProtection algorithmName="SHA-512" hashValue="+aHusmgS0YOhklGMR8rdDC+zZbnokc8jcsG++FEPkBiRw5tGNeTExAybHH77OzaN3a3bBgpDNmMl5ej4MSwI6w==" saltValue="BBKaOMPJYW54mLO0fH+/pg==" spinCount="100000" sheet="1" objects="1" scenarios="1"/>
  <pageMargins left="0.7" right="0.7" top="1.34" bottom="0.75" header="0.3" footer="0.3"/>
  <pageSetup scale="82"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E75B6"/>
  </sheetPr>
  <dimension ref="A1:F29"/>
  <sheetViews>
    <sheetView showGridLines="0" zoomScale="88" zoomScaleNormal="88" workbookViewId="0">
      <selection activeCell="A3" sqref="A3"/>
    </sheetView>
  </sheetViews>
  <sheetFormatPr defaultColWidth="8.6640625" defaultRowHeight="14.4"/>
  <cols>
    <col min="1" max="1" width="2.33203125" style="8" customWidth="1"/>
    <col min="2" max="2" width="30" style="8" customWidth="1"/>
    <col min="3" max="3" width="55" style="8" customWidth="1"/>
    <col min="4" max="4" width="3.6640625" style="8" customWidth="1"/>
    <col min="5" max="5" width="47.5546875" style="8" customWidth="1"/>
    <col min="6" max="6" width="28.21875" style="8" customWidth="1"/>
    <col min="7" max="16384" width="8.6640625" style="8"/>
  </cols>
  <sheetData>
    <row r="1" spans="1:6" ht="36.6" customHeight="1">
      <c r="A1" s="210" t="s">
        <v>11</v>
      </c>
      <c r="B1" s="210"/>
      <c r="C1" s="210"/>
      <c r="D1" s="210"/>
      <c r="E1" s="210"/>
      <c r="F1" s="210"/>
    </row>
    <row r="2" spans="1:6" s="9" customFormat="1" ht="15" customHeight="1" thickBot="1">
      <c r="A2" s="211"/>
      <c r="B2" s="211"/>
      <c r="C2" s="211"/>
      <c r="D2" s="211"/>
      <c r="E2" s="211"/>
      <c r="F2" s="211"/>
    </row>
    <row r="3" spans="1:6">
      <c r="A3" s="10"/>
      <c r="B3" s="10"/>
      <c r="C3" s="10"/>
      <c r="D3" s="10"/>
      <c r="E3" s="10"/>
      <c r="F3" s="10"/>
    </row>
    <row r="4" spans="1:6" ht="21">
      <c r="B4" s="208" t="s">
        <v>187</v>
      </c>
      <c r="C4" s="209"/>
      <c r="E4" s="208" t="s">
        <v>189</v>
      </c>
      <c r="F4" s="209"/>
    </row>
    <row r="5" spans="1:6" s="9" customFormat="1" ht="20.399999999999999" customHeight="1">
      <c r="B5" s="11" t="s">
        <v>12</v>
      </c>
      <c r="C5" s="12" t="s">
        <v>188</v>
      </c>
      <c r="E5" s="11" t="s">
        <v>12</v>
      </c>
      <c r="F5" s="12" t="s">
        <v>188</v>
      </c>
    </row>
    <row r="6" spans="1:6" ht="21" customHeight="1">
      <c r="B6" s="13" t="s">
        <v>6</v>
      </c>
      <c r="C6" s="14">
        <v>46182</v>
      </c>
      <c r="E6" s="13" t="s">
        <v>25</v>
      </c>
      <c r="F6" s="19">
        <f>Face_Value*Coupon_Rate/Coupon_Frequency</f>
        <v>71.5</v>
      </c>
    </row>
    <row r="7" spans="1:6" ht="21" customHeight="1">
      <c r="B7" s="13" t="s">
        <v>13</v>
      </c>
      <c r="C7" s="15">
        <v>1000</v>
      </c>
      <c r="E7" s="13" t="s">
        <v>26</v>
      </c>
      <c r="F7" s="20">
        <f>YEARFRAC(Issue_Date,Maturity_Date,1)</f>
        <v>14.997946611909651</v>
      </c>
    </row>
    <row r="8" spans="1:6" ht="21" customHeight="1">
      <c r="B8" s="13" t="s">
        <v>7</v>
      </c>
      <c r="C8" s="16">
        <v>7.1499999999999994E-2</v>
      </c>
      <c r="E8" s="13" t="s">
        <v>27</v>
      </c>
      <c r="F8" s="21">
        <f>YEARFRAC(Settlement_Date,Maturity_Date,1)</f>
        <v>9.6202090592334493</v>
      </c>
    </row>
    <row r="9" spans="1:6" ht="21" customHeight="1">
      <c r="B9" s="13" t="s">
        <v>14</v>
      </c>
      <c r="C9" s="17">
        <v>1</v>
      </c>
      <c r="E9" s="13" t="s">
        <v>28</v>
      </c>
      <c r="F9" s="22">
        <f>C11-C6</f>
        <v>3514</v>
      </c>
    </row>
    <row r="10" spans="1:6" ht="21" customHeight="1">
      <c r="B10" s="13" t="s">
        <v>15</v>
      </c>
      <c r="C10" s="14">
        <v>44218</v>
      </c>
      <c r="E10" s="13" t="s">
        <v>29</v>
      </c>
      <c r="F10" s="23">
        <f>COUPPCD(Settlement_Date,Maturity_Date,1,3)</f>
        <v>46044</v>
      </c>
    </row>
    <row r="11" spans="1:6" ht="21" customHeight="1">
      <c r="B11" s="13" t="s">
        <v>16</v>
      </c>
      <c r="C11" s="14">
        <v>49696</v>
      </c>
      <c r="E11" s="13" t="s">
        <v>30</v>
      </c>
      <c r="F11" s="23">
        <f>COUPNCD(Settlement_Date,Maturity_Date,1,3)</f>
        <v>46409</v>
      </c>
    </row>
    <row r="12" spans="1:6" ht="21" customHeight="1">
      <c r="B12" s="13" t="s">
        <v>190</v>
      </c>
      <c r="C12" s="15">
        <v>1028.93</v>
      </c>
      <c r="E12" s="13" t="s">
        <v>31</v>
      </c>
      <c r="F12" s="22">
        <f>C6-F10</f>
        <v>138</v>
      </c>
    </row>
    <row r="13" spans="1:6" ht="21" customHeight="1">
      <c r="B13" s="13" t="s">
        <v>17</v>
      </c>
      <c r="C13" s="16">
        <v>7.7499999999999999E-2</v>
      </c>
      <c r="E13" s="13" t="s">
        <v>32</v>
      </c>
      <c r="F13" s="24">
        <f>Face_Value*Coupon_Rate*Days_Accrued/365</f>
        <v>27.032876712328768</v>
      </c>
    </row>
    <row r="14" spans="1:6" ht="21" customHeight="1">
      <c r="B14" s="13" t="s">
        <v>18</v>
      </c>
      <c r="C14" s="18" t="s">
        <v>19</v>
      </c>
    </row>
    <row r="15" spans="1:6" ht="21" customHeight="1">
      <c r="B15" s="13" t="s">
        <v>20</v>
      </c>
      <c r="C15" s="18" t="s">
        <v>21</v>
      </c>
    </row>
    <row r="16" spans="1:6" ht="21" customHeight="1">
      <c r="B16" s="13" t="s">
        <v>22</v>
      </c>
      <c r="C16" s="16">
        <v>6.9699999999999998E-2</v>
      </c>
    </row>
    <row r="17" spans="2:3" ht="21" customHeight="1">
      <c r="B17" s="13" t="s">
        <v>23</v>
      </c>
      <c r="C17" s="16">
        <v>7.4999999999999997E-2</v>
      </c>
    </row>
    <row r="18" spans="2:3" ht="21" customHeight="1">
      <c r="B18" s="13" t="s">
        <v>24</v>
      </c>
      <c r="C18" s="16">
        <v>8.5000000000000006E-2</v>
      </c>
    </row>
    <row r="20" spans="2:3" ht="7.5" customHeight="1"/>
    <row r="21" spans="2:3" ht="18" customHeight="1"/>
    <row r="22" spans="2:3" ht="18" customHeight="1"/>
    <row r="23" spans="2:3" ht="18" customHeight="1"/>
    <row r="24" spans="2:3" ht="18" customHeight="1"/>
    <row r="25" spans="2:3" ht="18" customHeight="1"/>
    <row r="26" spans="2:3" ht="18" customHeight="1"/>
    <row r="27" spans="2:3" ht="18" customHeight="1"/>
    <row r="28" spans="2:3" ht="18" customHeight="1"/>
    <row r="29" spans="2:3" ht="18" customHeight="1"/>
  </sheetData>
  <sheetProtection algorithmName="SHA-512" hashValue="bkZI+avSQ/vnioP/CPy1O36rL51EGBbJ2HuByUxJKUhJayXCVCrKM9zpYAL9wFOYXVCAadiMjzFaXvTaUE+EgA==" saltValue="aubYGN04LEt1W0rpG0Yymw==" spinCount="100000" sheet="1" objects="1" scenarios="1"/>
  <mergeCells count="3">
    <mergeCell ref="B4:C4"/>
    <mergeCell ref="E4:F4"/>
    <mergeCell ref="A1:F2"/>
  </mergeCells>
  <pageMargins left="0.75" right="0.75" top="1.19" bottom="1" header="0.511811023622047" footer="0.511811023622047"/>
  <pageSetup paperSize="9" scale="75"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375623"/>
    <pageSetUpPr fitToPage="1"/>
  </sheetPr>
  <dimension ref="B1:I39"/>
  <sheetViews>
    <sheetView showGridLines="0" zoomScaleNormal="100" workbookViewId="0">
      <selection activeCell="A2" sqref="A2"/>
    </sheetView>
  </sheetViews>
  <sheetFormatPr defaultColWidth="8.6640625" defaultRowHeight="14.4"/>
  <cols>
    <col min="1" max="1" width="2.33203125" style="8" customWidth="1"/>
    <col min="2" max="2" width="34.5546875" style="8" bestFit="1" customWidth="1"/>
    <col min="3" max="3" width="35" style="8" customWidth="1"/>
    <col min="4" max="4" width="5" style="9" customWidth="1"/>
    <col min="5" max="5" width="30" style="9" customWidth="1"/>
    <col min="6" max="6" width="41" style="9" customWidth="1"/>
    <col min="7" max="7" width="5" style="9" customWidth="1"/>
    <col min="8" max="9" width="8.6640625" style="9"/>
    <col min="10" max="16384" width="8.6640625" style="8"/>
  </cols>
  <sheetData>
    <row r="1" spans="2:6" ht="18" customHeight="1">
      <c r="B1" s="213" t="s">
        <v>34</v>
      </c>
      <c r="C1" s="213"/>
      <c r="D1" s="213"/>
      <c r="E1" s="213"/>
      <c r="F1" s="213"/>
    </row>
    <row r="2" spans="2:6" ht="22.8" customHeight="1" thickBot="1">
      <c r="B2" s="214"/>
      <c r="C2" s="214"/>
      <c r="D2" s="214"/>
      <c r="E2" s="214"/>
      <c r="F2" s="214"/>
    </row>
    <row r="4" spans="2:6" ht="21">
      <c r="B4" s="212" t="s">
        <v>191</v>
      </c>
      <c r="C4" s="212"/>
      <c r="E4" s="212" t="s">
        <v>192</v>
      </c>
      <c r="F4" s="212"/>
    </row>
    <row r="5" spans="2:6" ht="21" customHeight="1">
      <c r="B5" s="25" t="s">
        <v>2</v>
      </c>
      <c r="C5" s="26" t="s">
        <v>3</v>
      </c>
      <c r="E5" s="25" t="s">
        <v>6</v>
      </c>
      <c r="F5" s="30">
        <f>Settlement_Date</f>
        <v>46182</v>
      </c>
    </row>
    <row r="6" spans="2:6" ht="21" customHeight="1">
      <c r="B6" s="25" t="s">
        <v>0</v>
      </c>
      <c r="C6" s="26" t="s">
        <v>1</v>
      </c>
      <c r="E6" s="25" t="s">
        <v>27</v>
      </c>
      <c r="F6" s="31">
        <f>Overview!F8</f>
        <v>9.6202090592334493</v>
      </c>
    </row>
    <row r="7" spans="2:6" ht="21" customHeight="1">
      <c r="B7" s="25" t="s">
        <v>35</v>
      </c>
      <c r="C7" s="26" t="s">
        <v>36</v>
      </c>
      <c r="E7" s="25" t="s">
        <v>8</v>
      </c>
      <c r="F7" s="32">
        <f>Current_YTM</f>
        <v>7.7499999999999999E-2</v>
      </c>
    </row>
    <row r="8" spans="2:6" ht="21" customHeight="1">
      <c r="B8" s="25" t="s">
        <v>37</v>
      </c>
      <c r="C8" s="26" t="s">
        <v>38</v>
      </c>
      <c r="E8" s="25" t="s">
        <v>56</v>
      </c>
      <c r="F8" s="33">
        <f>Dirty_Price</f>
        <v>986.43288989282246</v>
      </c>
    </row>
    <row r="9" spans="2:6" ht="21" customHeight="1">
      <c r="B9" s="25" t="s">
        <v>39</v>
      </c>
      <c r="C9" s="26" t="s">
        <v>40</v>
      </c>
      <c r="E9" s="25" t="s">
        <v>57</v>
      </c>
      <c r="F9" s="33">
        <f>Accrued_Interest</f>
        <v>27.032876712328768</v>
      </c>
    </row>
    <row r="10" spans="2:6" ht="21" customHeight="1">
      <c r="B10" s="25" t="s">
        <v>41</v>
      </c>
      <c r="C10" s="26" t="s">
        <v>42</v>
      </c>
      <c r="E10" s="25" t="s">
        <v>9</v>
      </c>
      <c r="F10" s="33">
        <f>clean_Price</f>
        <v>959.40001318049372</v>
      </c>
    </row>
    <row r="11" spans="2:6" ht="21" customHeight="1">
      <c r="B11" s="25" t="s">
        <v>13</v>
      </c>
      <c r="C11" s="27">
        <f>Face_Value</f>
        <v>1000</v>
      </c>
      <c r="E11" s="25" t="s">
        <v>58</v>
      </c>
      <c r="F11" s="32">
        <f>Current_Yield</f>
        <v>7.4525744233597979E-2</v>
      </c>
    </row>
    <row r="12" spans="2:6" ht="21" customHeight="1">
      <c r="B12" s="25" t="s">
        <v>15</v>
      </c>
      <c r="C12" s="28">
        <f>Issue_Date</f>
        <v>44218</v>
      </c>
      <c r="E12" s="25" t="s">
        <v>59</v>
      </c>
      <c r="F12" s="31">
        <f>Macaulay_Duration</f>
        <v>7.0408061438278695</v>
      </c>
    </row>
    <row r="13" spans="2:6" ht="21" customHeight="1">
      <c r="B13" s="25" t="s">
        <v>16</v>
      </c>
      <c r="C13" s="28">
        <f>Maturity_Date</f>
        <v>49696</v>
      </c>
      <c r="E13" s="25" t="s">
        <v>60</v>
      </c>
      <c r="F13" s="31">
        <f>Modified_Duration</f>
        <v>6.5343908527404828</v>
      </c>
    </row>
    <row r="14" spans="2:6" ht="21" customHeight="1">
      <c r="B14" s="25" t="s">
        <v>44</v>
      </c>
      <c r="C14" s="29" t="str">
        <f>TEXT(Overview!F7,"0.00")&amp;" years"</f>
        <v>15.00 years</v>
      </c>
      <c r="E14" s="25" t="s">
        <v>61</v>
      </c>
      <c r="F14" s="33">
        <f>Valuation!C23</f>
        <v>0.64457380525580188</v>
      </c>
    </row>
    <row r="15" spans="2:6" ht="21" customHeight="1">
      <c r="B15" s="25" t="s">
        <v>45</v>
      </c>
      <c r="C15" s="26" t="s">
        <v>46</v>
      </c>
      <c r="E15" s="25" t="s">
        <v>62</v>
      </c>
      <c r="F15" s="31">
        <f>Convexity</f>
        <v>57.891941278410044</v>
      </c>
    </row>
    <row r="16" spans="2:6" ht="21" customHeight="1">
      <c r="B16" s="25" t="s">
        <v>47</v>
      </c>
      <c r="C16" s="26" t="s">
        <v>48</v>
      </c>
      <c r="E16" s="25" t="s">
        <v>63</v>
      </c>
      <c r="F16" s="31">
        <f>(Overview!$C$13-Overview!C16)*10000</f>
        <v>78.000000000000014</v>
      </c>
    </row>
    <row r="17" spans="2:6" ht="21" customHeight="1">
      <c r="B17" s="25" t="s">
        <v>49</v>
      </c>
      <c r="C17" s="26" t="s">
        <v>50</v>
      </c>
      <c r="E17" s="25" t="s">
        <v>64</v>
      </c>
      <c r="F17" s="31">
        <f>(Overview!$C$13-Overview!C17)*10000</f>
        <v>25.000000000000021</v>
      </c>
    </row>
    <row r="18" spans="2:6" ht="21" customHeight="1">
      <c r="B18" s="25" t="s">
        <v>51</v>
      </c>
      <c r="C18" s="26" t="s">
        <v>52</v>
      </c>
      <c r="E18" s="25" t="s">
        <v>65</v>
      </c>
      <c r="F18" s="31">
        <f>(Overview!$C$13-Overview!C18)*10000</f>
        <v>-75.000000000000071</v>
      </c>
    </row>
    <row r="19" spans="2:6" ht="21" customHeight="1">
      <c r="B19" s="25" t="s">
        <v>53</v>
      </c>
      <c r="C19" s="26" t="s">
        <v>54</v>
      </c>
      <c r="E19" s="25" t="s">
        <v>4</v>
      </c>
      <c r="F19" s="26" t="s">
        <v>66</v>
      </c>
    </row>
    <row r="20" spans="2:6" ht="21" customHeight="1">
      <c r="B20" s="25" t="s">
        <v>55</v>
      </c>
      <c r="C20" s="34" t="str">
        <f>Overview!C14</f>
        <v>ACT/365</v>
      </c>
      <c r="E20" s="25" t="s">
        <v>5</v>
      </c>
      <c r="F20" s="26" t="s">
        <v>67</v>
      </c>
    </row>
    <row r="22" spans="2:6" ht="18" customHeight="1"/>
    <row r="23" spans="2:6" ht="18" customHeight="1"/>
    <row r="24" spans="2:6" ht="18" customHeight="1"/>
    <row r="25" spans="2:6" ht="18" customHeight="1"/>
    <row r="26" spans="2:6" ht="18" customHeight="1"/>
    <row r="27" spans="2:6" ht="18" customHeight="1"/>
    <row r="28" spans="2:6" ht="18" customHeight="1"/>
    <row r="29" spans="2:6" ht="18" customHeight="1"/>
    <row r="30" spans="2:6" ht="18" customHeight="1"/>
    <row r="31" spans="2:6" ht="18" customHeight="1"/>
    <row r="32" spans="2:6" ht="18" customHeight="1"/>
    <row r="33" ht="18" customHeight="1"/>
    <row r="34" ht="18" customHeight="1"/>
    <row r="35" ht="18" customHeight="1"/>
    <row r="36" ht="18" customHeight="1"/>
    <row r="37" ht="18" customHeight="1"/>
    <row r="38" ht="18" customHeight="1"/>
    <row r="39" ht="18" customHeight="1"/>
  </sheetData>
  <sheetProtection algorithmName="SHA-512" hashValue="s5AEezLpad9RhZHZqIvHSZ5BTwt8YNLkGBOuVn9gwwMnBEHPEkq1ECBip7WFYOz/qVoD0K5wUkDMnlLHhlTz7g==" saltValue="HJx7Boq41pdJPQzjSHXaGw==" spinCount="100000" sheet="1" objects="1" scenarios="1"/>
  <mergeCells count="3">
    <mergeCell ref="B4:C4"/>
    <mergeCell ref="E4:F4"/>
    <mergeCell ref="B1:F2"/>
  </mergeCells>
  <pageMargins left="0.75" right="0.75" top="1" bottom="1" header="0.511811023622047" footer="0.511811023622047"/>
  <pageSetup paperSize="9" scale="87"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70AD47"/>
    <pageSetUpPr fitToPage="1"/>
  </sheetPr>
  <dimension ref="B1:L22"/>
  <sheetViews>
    <sheetView showGridLines="0" zoomScale="98" zoomScaleNormal="98" workbookViewId="0"/>
  </sheetViews>
  <sheetFormatPr defaultColWidth="8.6640625" defaultRowHeight="14.4"/>
  <cols>
    <col min="1" max="1" width="2.33203125" style="9" customWidth="1"/>
    <col min="2" max="2" width="21.109375" style="9" customWidth="1"/>
    <col min="3" max="3" width="16" style="9" customWidth="1"/>
    <col min="4" max="8" width="14" style="9" customWidth="1"/>
    <col min="9" max="9" width="12.88671875" style="9" customWidth="1"/>
    <col min="10" max="10" width="16" style="9" customWidth="1"/>
    <col min="11" max="11" width="15.21875" style="9" bestFit="1" customWidth="1"/>
    <col min="12" max="12" width="12" style="9" bestFit="1" customWidth="1"/>
    <col min="13" max="16384" width="8.6640625" style="9"/>
  </cols>
  <sheetData>
    <row r="1" spans="2:12" ht="37.200000000000003" thickBot="1">
      <c r="B1" s="35" t="s">
        <v>215</v>
      </c>
      <c r="C1" s="35"/>
      <c r="D1" s="35"/>
      <c r="E1" s="35"/>
      <c r="F1" s="35"/>
      <c r="G1" s="35"/>
      <c r="H1" s="35"/>
      <c r="I1" s="35"/>
      <c r="J1" s="35"/>
      <c r="K1" s="35"/>
      <c r="L1" s="35"/>
    </row>
    <row r="2" spans="2:12">
      <c r="B2" s="10"/>
      <c r="C2" s="10"/>
      <c r="D2" s="36"/>
      <c r="E2" s="36"/>
      <c r="F2" s="36"/>
      <c r="G2" s="10"/>
      <c r="H2" s="10"/>
      <c r="I2" s="36"/>
      <c r="J2" s="36"/>
      <c r="K2" s="36"/>
      <c r="L2" s="10"/>
    </row>
    <row r="3" spans="2:12" ht="27.6">
      <c r="B3" s="37" t="s">
        <v>33</v>
      </c>
      <c r="C3" s="37" t="s">
        <v>68</v>
      </c>
      <c r="D3" s="38" t="s">
        <v>216</v>
      </c>
      <c r="E3" s="38" t="s">
        <v>217</v>
      </c>
      <c r="F3" s="37" t="s">
        <v>69</v>
      </c>
      <c r="G3" s="37" t="s">
        <v>70</v>
      </c>
      <c r="H3" s="37" t="s">
        <v>71</v>
      </c>
      <c r="I3" s="38" t="s">
        <v>218</v>
      </c>
      <c r="J3" s="37" t="s">
        <v>72</v>
      </c>
      <c r="K3" s="38" t="s">
        <v>219</v>
      </c>
      <c r="L3" s="38" t="s">
        <v>220</v>
      </c>
    </row>
    <row r="4" spans="2:12" ht="18" customHeight="1">
      <c r="B4" s="39">
        <v>1</v>
      </c>
      <c r="C4" s="40">
        <v>46409</v>
      </c>
      <c r="D4" s="50">
        <f>C4-Overview!$C$6</f>
        <v>227</v>
      </c>
      <c r="E4" s="51">
        <f>D4/365</f>
        <v>0.62191780821917808</v>
      </c>
      <c r="F4" s="52">
        <f>Overview!$C$7*Overview!$C$8</f>
        <v>71.5</v>
      </c>
      <c r="G4" s="52">
        <f>0</f>
        <v>0</v>
      </c>
      <c r="H4" s="52">
        <f>F4+G4</f>
        <v>71.5</v>
      </c>
      <c r="I4" s="51">
        <f>1/(1+Overview!$C$13)^E4</f>
        <v>0.95463887759518196</v>
      </c>
      <c r="J4" s="52">
        <f>H4*I4</f>
        <v>68.256679748055504</v>
      </c>
      <c r="K4" s="62">
        <f>E4*J4</f>
        <v>42.450044665229036</v>
      </c>
      <c r="L4" s="63">
        <f>E4*(E4+1)*J4</f>
        <v>68.850483402234502</v>
      </c>
    </row>
    <row r="5" spans="2:12" ht="18" customHeight="1">
      <c r="B5" s="41">
        <v>2</v>
      </c>
      <c r="C5" s="42">
        <v>46774</v>
      </c>
      <c r="D5" s="53">
        <f>C5-Overview!$C$6</f>
        <v>592</v>
      </c>
      <c r="E5" s="54">
        <f t="shared" ref="E5:E13" si="0">D5/365</f>
        <v>1.6219178082191781</v>
      </c>
      <c r="F5" s="55">
        <f>Overview!$C$7*Overview!$C$8</f>
        <v>71.5</v>
      </c>
      <c r="G5" s="55">
        <f>0</f>
        <v>0</v>
      </c>
      <c r="H5" s="55">
        <f t="shared" ref="H5:H13" si="1">F5+G5</f>
        <v>71.5</v>
      </c>
      <c r="I5" s="54">
        <f>1/(1+Overview!$C$13)^E5</f>
        <v>0.88597575646884641</v>
      </c>
      <c r="J5" s="55">
        <f t="shared" ref="J5:J12" si="2">H5*I5</f>
        <v>63.347266587522519</v>
      </c>
      <c r="K5" s="64">
        <f t="shared" ref="K5:K13" si="3">E5*J5</f>
        <v>102.74405978031049</v>
      </c>
      <c r="L5" s="65">
        <f t="shared" ref="L5:L12" si="4">E5*(E5+1)*J5</f>
        <v>269.38648002673187</v>
      </c>
    </row>
    <row r="6" spans="2:12" ht="18" customHeight="1">
      <c r="B6" s="43">
        <v>3</v>
      </c>
      <c r="C6" s="42">
        <v>47140</v>
      </c>
      <c r="D6" s="56">
        <f>C6-Overview!$C$6</f>
        <v>958</v>
      </c>
      <c r="E6" s="57">
        <f t="shared" si="0"/>
        <v>2.6246575342465754</v>
      </c>
      <c r="F6" s="58">
        <f>Overview!$C$7*Overview!$C$8</f>
        <v>71.5</v>
      </c>
      <c r="G6" s="58">
        <f>0</f>
        <v>0</v>
      </c>
      <c r="H6" s="58">
        <f t="shared" si="1"/>
        <v>71.5</v>
      </c>
      <c r="I6" s="57">
        <f>1/(1+Overview!$C$13)^E6</f>
        <v>0.82208314656155135</v>
      </c>
      <c r="J6" s="58">
        <f t="shared" si="2"/>
        <v>58.778944979150921</v>
      </c>
      <c r="K6" s="66">
        <f t="shared" si="3"/>
        <v>154.2746007945934</v>
      </c>
      <c r="L6" s="65">
        <f t="shared" si="4"/>
        <v>559.19259411300561</v>
      </c>
    </row>
    <row r="7" spans="2:12" ht="18" customHeight="1">
      <c r="B7" s="41">
        <v>4</v>
      </c>
      <c r="C7" s="42">
        <v>47505</v>
      </c>
      <c r="D7" s="53">
        <f>C7-Overview!$C$6</f>
        <v>1323</v>
      </c>
      <c r="E7" s="54">
        <f t="shared" si="0"/>
        <v>3.6246575342465754</v>
      </c>
      <c r="F7" s="55">
        <f>Overview!$C$7*Overview!$C$8</f>
        <v>71.5</v>
      </c>
      <c r="G7" s="55">
        <f>0</f>
        <v>0</v>
      </c>
      <c r="H7" s="55">
        <f t="shared" si="1"/>
        <v>71.5</v>
      </c>
      <c r="I7" s="54">
        <f>1/(1+Overview!$C$13)^E7</f>
        <v>0.76295419634482742</v>
      </c>
      <c r="J7" s="55">
        <f t="shared" si="2"/>
        <v>54.551225038655161</v>
      </c>
      <c r="K7" s="64">
        <f t="shared" si="3"/>
        <v>197.72950883874185</v>
      </c>
      <c r="L7" s="65">
        <f t="shared" si="4"/>
        <v>914.43126279396222</v>
      </c>
    </row>
    <row r="8" spans="2:12" ht="18" customHeight="1">
      <c r="B8" s="43">
        <v>5</v>
      </c>
      <c r="C8" s="42">
        <v>47870</v>
      </c>
      <c r="D8" s="56">
        <f>C8-Overview!$C$6</f>
        <v>1688</v>
      </c>
      <c r="E8" s="57">
        <f t="shared" si="0"/>
        <v>4.624657534246575</v>
      </c>
      <c r="F8" s="58">
        <f>Overview!$C$7*Overview!$C$8</f>
        <v>71.5</v>
      </c>
      <c r="G8" s="58">
        <f>0</f>
        <v>0</v>
      </c>
      <c r="H8" s="58">
        <f t="shared" si="1"/>
        <v>71.5</v>
      </c>
      <c r="I8" s="57">
        <f>1/(1+Overview!$C$13)^E8</f>
        <v>0.70807814045923656</v>
      </c>
      <c r="J8" s="58">
        <f t="shared" si="2"/>
        <v>50.627587042835415</v>
      </c>
      <c r="K8" s="66">
        <f t="shared" si="3"/>
        <v>234.1352518583731</v>
      </c>
      <c r="L8" s="65">
        <f t="shared" si="4"/>
        <v>1316.9306083979175</v>
      </c>
    </row>
    <row r="9" spans="2:12" ht="18" customHeight="1">
      <c r="B9" s="41">
        <v>6</v>
      </c>
      <c r="C9" s="42">
        <v>48235</v>
      </c>
      <c r="D9" s="53">
        <f>C9-Overview!$C$6</f>
        <v>2053</v>
      </c>
      <c r="E9" s="54">
        <f t="shared" si="0"/>
        <v>5.624657534246575</v>
      </c>
      <c r="F9" s="55">
        <f>Overview!$C$7*Overview!$C$8</f>
        <v>71.5</v>
      </c>
      <c r="G9" s="55">
        <f>0</f>
        <v>0</v>
      </c>
      <c r="H9" s="55">
        <f t="shared" si="1"/>
        <v>71.5</v>
      </c>
      <c r="I9" s="54">
        <f>1/(1+Overview!$C$13)^E9</f>
        <v>0.65714908627307345</v>
      </c>
      <c r="J9" s="55">
        <f t="shared" si="2"/>
        <v>46.986159668524749</v>
      </c>
      <c r="K9" s="64">
        <f t="shared" si="3"/>
        <v>264.28105698488031</v>
      </c>
      <c r="L9" s="65">
        <f t="shared" si="4"/>
        <v>1750.7714953135355</v>
      </c>
    </row>
    <row r="10" spans="2:12" ht="18" customHeight="1">
      <c r="B10" s="43">
        <v>7</v>
      </c>
      <c r="C10" s="42">
        <v>48601</v>
      </c>
      <c r="D10" s="56">
        <f>C10-Overview!$C$6</f>
        <v>2419</v>
      </c>
      <c r="E10" s="57">
        <f t="shared" si="0"/>
        <v>6.6273972602739724</v>
      </c>
      <c r="F10" s="58">
        <f>Overview!$C$7*Overview!$C$8</f>
        <v>71.5</v>
      </c>
      <c r="G10" s="58">
        <f>0</f>
        <v>0</v>
      </c>
      <c r="H10" s="58">
        <f t="shared" si="1"/>
        <v>71.5</v>
      </c>
      <c r="I10" s="57">
        <f>1/(1+Overview!$C$13)^E10</f>
        <v>0.60975843261960938</v>
      </c>
      <c r="J10" s="58">
        <f t="shared" si="2"/>
        <v>43.597727932302071</v>
      </c>
      <c r="K10" s="66">
        <f t="shared" si="3"/>
        <v>288.93946265270876</v>
      </c>
      <c r="L10" s="65">
        <f t="shared" si="4"/>
        <v>2203.8560658223046</v>
      </c>
    </row>
    <row r="11" spans="2:12" ht="18" customHeight="1">
      <c r="B11" s="41">
        <v>8</v>
      </c>
      <c r="C11" s="42">
        <v>48966</v>
      </c>
      <c r="D11" s="53">
        <f>C11-Overview!$C$6</f>
        <v>2784</v>
      </c>
      <c r="E11" s="54">
        <f t="shared" si="0"/>
        <v>7.6273972602739724</v>
      </c>
      <c r="F11" s="55">
        <f>Overview!$C$7*Overview!$C$8</f>
        <v>71.5</v>
      </c>
      <c r="G11" s="55">
        <f>0</f>
        <v>0</v>
      </c>
      <c r="H11" s="55">
        <f t="shared" si="1"/>
        <v>71.5</v>
      </c>
      <c r="I11" s="54">
        <f>1/(1+Overview!$C$13)^E11</f>
        <v>0.56590109755880236</v>
      </c>
      <c r="J11" s="55">
        <f t="shared" si="2"/>
        <v>40.461928475454371</v>
      </c>
      <c r="K11" s="64">
        <f t="shared" si="3"/>
        <v>308.6192023990821</v>
      </c>
      <c r="L11" s="65">
        <f t="shared" si="4"/>
        <v>2662.58046124578</v>
      </c>
    </row>
    <row r="12" spans="2:12" ht="18" customHeight="1">
      <c r="B12" s="43">
        <v>9</v>
      </c>
      <c r="C12" s="42">
        <v>49331</v>
      </c>
      <c r="D12" s="56">
        <f>C12-Overview!$C$6</f>
        <v>3149</v>
      </c>
      <c r="E12" s="57">
        <f t="shared" si="0"/>
        <v>8.6273972602739732</v>
      </c>
      <c r="F12" s="58">
        <f>Overview!$C$7*Overview!$C$8</f>
        <v>71.5</v>
      </c>
      <c r="G12" s="58">
        <f>0</f>
        <v>0</v>
      </c>
      <c r="H12" s="58">
        <f t="shared" si="1"/>
        <v>71.5</v>
      </c>
      <c r="I12" s="57">
        <f>1/(1+Overview!$C$13)^E12</f>
        <v>0.52519823439332003</v>
      </c>
      <c r="J12" s="58">
        <f t="shared" si="2"/>
        <v>37.55167375912238</v>
      </c>
      <c r="K12" s="66">
        <f t="shared" si="3"/>
        <v>323.97320730815449</v>
      </c>
      <c r="L12" s="65">
        <f t="shared" si="4"/>
        <v>3119.0187684406983</v>
      </c>
    </row>
    <row r="13" spans="2:12" ht="18" customHeight="1">
      <c r="B13" s="44">
        <v>10</v>
      </c>
      <c r="C13" s="45">
        <v>49696</v>
      </c>
      <c r="D13" s="59">
        <f>C13-Overview!$C$6</f>
        <v>3514</v>
      </c>
      <c r="E13" s="60">
        <f t="shared" si="0"/>
        <v>9.6273972602739732</v>
      </c>
      <c r="F13" s="61">
        <f>Overview!$C$7*Overview!$C$8</f>
        <v>71.5</v>
      </c>
      <c r="G13" s="61">
        <f>Overview!$C$7</f>
        <v>1000</v>
      </c>
      <c r="H13" s="61">
        <f t="shared" si="1"/>
        <v>1071.5</v>
      </c>
      <c r="I13" s="60">
        <f>1/(1+Overview!$C$13)^E13</f>
        <v>0.48742295535342928</v>
      </c>
      <c r="J13" s="61">
        <f>H13*I13</f>
        <v>522.27369666119944</v>
      </c>
      <c r="K13" s="67">
        <f t="shared" si="3"/>
        <v>5028.1363563491914</v>
      </c>
      <c r="L13" s="68">
        <f>E13*(E13+1)*J13</f>
        <v>53436.002537749358</v>
      </c>
    </row>
    <row r="14" spans="2:12" ht="19.5" customHeight="1">
      <c r="B14" s="215" t="s">
        <v>73</v>
      </c>
      <c r="C14" s="215"/>
      <c r="D14" s="215"/>
      <c r="E14" s="215"/>
      <c r="F14" s="69">
        <f>SUM(F4:F13)</f>
        <v>715</v>
      </c>
      <c r="G14" s="69">
        <f>SUM(G4:G13)</f>
        <v>1000</v>
      </c>
      <c r="H14" s="69">
        <f>SUM(H4:H13)</f>
        <v>1715</v>
      </c>
      <c r="I14" s="46"/>
      <c r="J14" s="69">
        <f>SUM(J4:J13)</f>
        <v>986.43288989282246</v>
      </c>
      <c r="K14" s="70">
        <f>SUM(K4:K13)</f>
        <v>6945.2827516312645</v>
      </c>
      <c r="L14" s="70">
        <f>SUM(L4:L13)</f>
        <v>66301.020757305523</v>
      </c>
    </row>
    <row r="16" spans="2:12" ht="7.5" customHeight="1"/>
    <row r="17" spans="2:7" ht="18" customHeight="1">
      <c r="B17" s="216" t="s">
        <v>221</v>
      </c>
      <c r="C17" s="216"/>
    </row>
    <row r="18" spans="2:7">
      <c r="B18" s="47" t="s">
        <v>56</v>
      </c>
      <c r="C18" s="71">
        <f>SUM(J4:J13)</f>
        <v>986.43288989282246</v>
      </c>
    </row>
    <row r="19" spans="2:7">
      <c r="B19" s="47" t="s">
        <v>57</v>
      </c>
      <c r="C19" s="71">
        <f>Accrued_Interest</f>
        <v>27.032876712328768</v>
      </c>
    </row>
    <row r="20" spans="2:7">
      <c r="B20" s="47" t="s">
        <v>9</v>
      </c>
      <c r="C20" s="71">
        <f>C18-C19</f>
        <v>959.40001318049372</v>
      </c>
    </row>
    <row r="21" spans="2:7">
      <c r="B21" s="47" t="s">
        <v>74</v>
      </c>
      <c r="C21" s="72" t="str">
        <f>IF(ROUND(C18,2)=ROUND(C19+C20,2),"PASS","FAIL")</f>
        <v>PASS</v>
      </c>
      <c r="G21" s="48"/>
    </row>
    <row r="22" spans="2:7">
      <c r="E22" s="49"/>
    </row>
  </sheetData>
  <sheetProtection algorithmName="SHA-512" hashValue="kY1mbGYyvjlzyZg7A2A1BX5aw+As1VKH5DKDmNWA2ZcvRQXHUIWGVQQo82O2Nrr86pv9N9lnqdiIcaNiw2g5Hw==" saltValue="9x6DmoLxoaZPxf6hWv/cLw==" spinCount="100000" sheet="1" objects="1" scenarios="1"/>
  <mergeCells count="2">
    <mergeCell ref="B14:E14"/>
    <mergeCell ref="B17:C17"/>
  </mergeCells>
  <conditionalFormatting sqref="C21">
    <cfRule type="cellIs" dxfId="6" priority="1" operator="equal">
      <formula>"FAIL"</formula>
    </cfRule>
    <cfRule type="cellIs" dxfId="5" priority="2" operator="equal">
      <formula>"PASS"</formula>
    </cfRule>
  </conditionalFormatting>
  <pageMargins left="0.75" right="0.75" top="1" bottom="1" header="0.511811023622047" footer="0.511811023622047"/>
  <pageSetup paperSize="9" scale="78"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C55A11"/>
  </sheetPr>
  <dimension ref="B1:I25"/>
  <sheetViews>
    <sheetView showGridLines="0" topLeftCell="A5" zoomScale="93" zoomScaleNormal="93" workbookViewId="0"/>
  </sheetViews>
  <sheetFormatPr defaultColWidth="8.6640625" defaultRowHeight="14.4"/>
  <cols>
    <col min="1" max="1" width="2.33203125" style="8" customWidth="1"/>
    <col min="2" max="2" width="28" style="8" customWidth="1"/>
    <col min="3" max="3" width="16" style="8" customWidth="1"/>
    <col min="4" max="4" width="6.6640625" style="8" customWidth="1"/>
    <col min="5" max="5" width="23.21875" style="8" bestFit="1" customWidth="1"/>
    <col min="6" max="6" width="14" style="8" customWidth="1"/>
    <col min="7" max="7" width="5.109375" style="8" customWidth="1"/>
    <col min="8" max="8" width="28.6640625" style="8" bestFit="1" customWidth="1"/>
    <col min="9" max="12" width="12" style="8" customWidth="1"/>
    <col min="13" max="16384" width="8.6640625" style="8"/>
  </cols>
  <sheetData>
    <row r="1" spans="2:9" ht="37.200000000000003" thickBot="1">
      <c r="B1" s="35" t="s">
        <v>75</v>
      </c>
      <c r="C1" s="35"/>
      <c r="D1" s="35"/>
      <c r="E1" s="35"/>
      <c r="F1" s="35"/>
      <c r="G1" s="35"/>
      <c r="H1" s="35"/>
      <c r="I1" s="35"/>
    </row>
    <row r="2" spans="2:9">
      <c r="B2" s="88"/>
      <c r="C2" s="88"/>
      <c r="D2" s="36"/>
      <c r="E2" s="89"/>
      <c r="F2" s="89"/>
      <c r="G2" s="10"/>
      <c r="H2" s="88"/>
      <c r="I2" s="89"/>
    </row>
    <row r="3" spans="2:9" ht="19.8">
      <c r="B3" s="90" t="s">
        <v>76</v>
      </c>
      <c r="C3" s="91"/>
      <c r="D3" s="92"/>
      <c r="E3" s="217" t="s">
        <v>77</v>
      </c>
      <c r="F3" s="218"/>
      <c r="G3" s="92"/>
      <c r="H3" s="219" t="s">
        <v>78</v>
      </c>
      <c r="I3" s="220"/>
    </row>
    <row r="4" spans="2:9" ht="22.8" customHeight="1">
      <c r="B4" s="93" t="s">
        <v>79</v>
      </c>
      <c r="C4" s="94" t="s">
        <v>80</v>
      </c>
      <c r="E4" s="93" t="s">
        <v>79</v>
      </c>
      <c r="F4" s="95" t="s">
        <v>80</v>
      </c>
      <c r="H4" s="94" t="s">
        <v>81</v>
      </c>
      <c r="I4" s="94" t="s">
        <v>82</v>
      </c>
    </row>
    <row r="5" spans="2:9">
      <c r="B5" s="96" t="s">
        <v>13</v>
      </c>
      <c r="C5" s="75">
        <f>Face_Value</f>
        <v>1000</v>
      </c>
      <c r="E5" s="96" t="s">
        <v>83</v>
      </c>
      <c r="F5" s="76">
        <f>PRICE(Settlement_Date,Maturity_Date,Coupon_Rate,Current_YTM,100,1,3)*Face_Value/100</f>
        <v>959.70656274504825</v>
      </c>
      <c r="H5" s="96" t="s">
        <v>84</v>
      </c>
      <c r="I5" s="77" t="str">
        <f>IF(ROUND(SUM('Cash Flows'!J4:J13),2)=ROUND(Dirty_Price,2),"PASS","FAIL")</f>
        <v>PASS</v>
      </c>
    </row>
    <row r="6" spans="2:9" ht="19.5" customHeight="1">
      <c r="B6" s="96" t="s">
        <v>7</v>
      </c>
      <c r="C6" s="78">
        <f>Coupon_Rate</f>
        <v>7.1499999999999994E-2</v>
      </c>
      <c r="E6" s="96" t="s">
        <v>85</v>
      </c>
      <c r="F6" s="79">
        <f>YIELD(Settlement_Date,Maturity_Date,Coupon_Rate,clean_Price/Face_Value*100,100,1,3)</f>
        <v>7.7547578782356727E-2</v>
      </c>
      <c r="H6" s="96" t="s">
        <v>86</v>
      </c>
      <c r="I6" s="77" t="str">
        <f>IF(ROUND(Dirty_Price,2)=ROUND(clean_Price+Accrued_Interest,2),"PASS","FAIL")</f>
        <v>PASS</v>
      </c>
    </row>
    <row r="7" spans="2:9" ht="19.5" customHeight="1">
      <c r="B7" s="96" t="s">
        <v>87</v>
      </c>
      <c r="C7" s="78">
        <f>Current_YTM</f>
        <v>7.7499999999999999E-2</v>
      </c>
      <c r="E7" s="96" t="s">
        <v>10</v>
      </c>
      <c r="F7" s="80">
        <f>DURATION(Settlement_Date,Maturity_Date,Coupon_Rate,Current_YTM,1,3)</f>
        <v>7.0370988773559935</v>
      </c>
      <c r="H7" s="96" t="s">
        <v>88</v>
      </c>
      <c r="I7" s="77" t="str">
        <f>IF(C21&lt;C20,"PASS","FAIL")</f>
        <v>PASS</v>
      </c>
    </row>
    <row r="8" spans="2:9" ht="19.5" customHeight="1">
      <c r="B8" s="96" t="s">
        <v>6</v>
      </c>
      <c r="C8" s="81">
        <f>Settlement_Date</f>
        <v>46182</v>
      </c>
      <c r="E8" s="96" t="s">
        <v>89</v>
      </c>
      <c r="F8" s="82">
        <f>MDURATION(Settlement_Date,Maturity_Date,Coupon_Rate,Current_YTM,1,3)</f>
        <v>6.5309502342050987</v>
      </c>
      <c r="H8" s="96" t="s">
        <v>90</v>
      </c>
      <c r="I8" s="77" t="str">
        <f>IF(PRICE(Settlement_Date,Maturity_Date,Coupon_Rate,Current_YTM+0.001,100,1,3)&lt;PRICE(Settlement_Date,Maturity_Date,Coupon_Rate,Current_YTM-0.001,100,1,3),"PASS","FAIL")</f>
        <v>PASS</v>
      </c>
    </row>
    <row r="9" spans="2:9" ht="19.5" customHeight="1">
      <c r="B9" s="96" t="s">
        <v>16</v>
      </c>
      <c r="C9" s="81">
        <f>Maturity_Date</f>
        <v>49696</v>
      </c>
      <c r="E9" s="96" t="s">
        <v>91</v>
      </c>
      <c r="F9" s="76">
        <f>Overview!C7*Overview!C8*Overview!F12/365</f>
        <v>27.032876712328768</v>
      </c>
      <c r="H9" s="96" t="s">
        <v>92</v>
      </c>
      <c r="I9" s="77" t="str">
        <f>IF(ROUND(SUM('Cash Flows'!G4:G13),2)=ROUND(Face_Value,2),"PASS","FAIL")</f>
        <v>PASS</v>
      </c>
    </row>
    <row r="10" spans="2:9" ht="18" customHeight="1">
      <c r="B10" s="96" t="s">
        <v>93</v>
      </c>
      <c r="C10" s="83">
        <f>Remaining_Tenor</f>
        <v>9.6202090592334493</v>
      </c>
      <c r="F10" s="97"/>
    </row>
    <row r="11" spans="2:9" ht="18" customHeight="1">
      <c r="C11" s="98"/>
    </row>
    <row r="12" spans="2:9" ht="18" customHeight="1">
      <c r="B12" s="99" t="s">
        <v>56</v>
      </c>
      <c r="C12" s="84">
        <f>Dirty_Price</f>
        <v>986.43288989282246</v>
      </c>
      <c r="D12" s="9"/>
      <c r="E12" s="9"/>
      <c r="F12" s="9"/>
    </row>
    <row r="13" spans="2:9" ht="18" customHeight="1">
      <c r="B13" s="99" t="s">
        <v>29</v>
      </c>
      <c r="C13" s="81">
        <f>Overview!F10</f>
        <v>46044</v>
      </c>
      <c r="D13" s="9"/>
      <c r="E13" s="9"/>
      <c r="F13" s="9"/>
    </row>
    <row r="14" spans="2:9" ht="18" customHeight="1">
      <c r="B14" s="99" t="s">
        <v>31</v>
      </c>
      <c r="C14" s="85">
        <f>Days_Accrued</f>
        <v>138</v>
      </c>
      <c r="D14" s="9"/>
      <c r="E14" s="9"/>
      <c r="F14" s="9"/>
    </row>
    <row r="15" spans="2:9" ht="18" customHeight="1">
      <c r="B15" s="99" t="s">
        <v>57</v>
      </c>
      <c r="C15" s="84">
        <f>Accrued_Interest</f>
        <v>27.032876712328768</v>
      </c>
      <c r="D15" s="9"/>
      <c r="E15" s="9"/>
      <c r="F15" s="9"/>
    </row>
    <row r="16" spans="2:9" ht="18" customHeight="1">
      <c r="B16" s="99" t="s">
        <v>9</v>
      </c>
      <c r="C16" s="84">
        <f>clean_Price</f>
        <v>959.40001318049372</v>
      </c>
      <c r="D16" s="9"/>
      <c r="E16" s="9"/>
      <c r="F16" s="9"/>
    </row>
    <row r="17" spans="2:6" ht="18" customHeight="1">
      <c r="B17" s="98"/>
      <c r="C17" s="98"/>
    </row>
    <row r="18" spans="2:6" ht="18" customHeight="1">
      <c r="B18" s="99" t="s">
        <v>58</v>
      </c>
      <c r="C18" s="78">
        <f>Face_Value*Coupon_Rate/C16</f>
        <v>7.4525744233597979E-2</v>
      </c>
      <c r="D18" s="9"/>
      <c r="E18" s="9"/>
      <c r="F18" s="9"/>
    </row>
    <row r="19" spans="2:6" ht="18" customHeight="1">
      <c r="B19" s="98"/>
      <c r="C19" s="98"/>
      <c r="D19" s="9"/>
      <c r="E19" s="9"/>
      <c r="F19" s="9"/>
    </row>
    <row r="20" spans="2:6" ht="18" customHeight="1">
      <c r="B20" s="99" t="s">
        <v>59</v>
      </c>
      <c r="C20" s="86">
        <f>Total_Duration/Total_Present_Value</f>
        <v>7.0408061438278695</v>
      </c>
      <c r="D20" s="9"/>
      <c r="E20" s="9"/>
      <c r="F20" s="9"/>
    </row>
    <row r="21" spans="2:6" ht="18" customHeight="1">
      <c r="B21" s="99" t="s">
        <v>60</v>
      </c>
      <c r="C21" s="83">
        <f>Macaulay_Duration/(1+Current_YTM)</f>
        <v>6.5343908527404828</v>
      </c>
      <c r="D21" s="9"/>
      <c r="E21" s="9"/>
      <c r="F21" s="9"/>
    </row>
    <row r="22" spans="2:6" ht="18" customHeight="1">
      <c r="B22" s="99" t="s">
        <v>94</v>
      </c>
      <c r="C22" s="84">
        <f>Modified_Duration*Dirty_Price/100</f>
        <v>64.457380525580191</v>
      </c>
      <c r="D22" s="9"/>
      <c r="E22" s="9"/>
      <c r="F22" s="9"/>
    </row>
    <row r="23" spans="2:6" ht="18" customHeight="1">
      <c r="B23" s="99" t="s">
        <v>95</v>
      </c>
      <c r="C23" s="84">
        <f>Modified_Duration*Dirty_Price/10000</f>
        <v>0.64457380525580188</v>
      </c>
      <c r="D23" s="9"/>
      <c r="E23" s="9"/>
      <c r="F23" s="9"/>
    </row>
    <row r="24" spans="2:6" ht="18" customHeight="1">
      <c r="B24" s="99" t="s">
        <v>96</v>
      </c>
      <c r="C24" s="84">
        <f>C23</f>
        <v>0.64457380525580188</v>
      </c>
      <c r="D24" s="9"/>
      <c r="E24" s="9"/>
      <c r="F24" s="9"/>
    </row>
    <row r="25" spans="2:6" ht="15.6">
      <c r="B25" s="100" t="s">
        <v>62</v>
      </c>
      <c r="C25" s="87">
        <f>'Cash Flows'!L14/((1+Current_YTM)^2*Dirty_Price)</f>
        <v>57.891941278410044</v>
      </c>
      <c r="D25" s="9"/>
      <c r="E25" s="9"/>
      <c r="F25" s="9"/>
    </row>
  </sheetData>
  <sheetProtection algorithmName="SHA-512" hashValue="zzTVJsIfjsEFJ2L5noLHNiNdf9a6bUykuwN9fJh5ZTcrJhCit9+OyFrZF4unZWvJjjrjCHMMrCHf57A2hiOc0w==" saltValue="hUX0zKiNsukpgCOJoqPp9g==" spinCount="100000" sheet="1" objects="1" scenarios="1"/>
  <mergeCells count="2">
    <mergeCell ref="E3:F3"/>
    <mergeCell ref="H3:I3"/>
  </mergeCells>
  <conditionalFormatting sqref="I5:I9">
    <cfRule type="cellIs" dxfId="4" priority="1" operator="equal">
      <formula>"FAIL"</formula>
    </cfRule>
    <cfRule type="cellIs" dxfId="3" priority="2" operator="equal">
      <formula>"PASS"</formula>
    </cfRule>
  </conditionalFormatting>
  <pageMargins left="0.75" right="0.75" top="1" bottom="1" header="0.511811023622047" footer="0.511811023622047"/>
  <pageSetup paperSize="9" scale="91"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7030A0"/>
  </sheetPr>
  <dimension ref="B1:J18"/>
  <sheetViews>
    <sheetView showGridLines="0" zoomScale="107" zoomScaleNormal="107" workbookViewId="0"/>
  </sheetViews>
  <sheetFormatPr defaultColWidth="8.6640625" defaultRowHeight="14.4"/>
  <cols>
    <col min="1" max="1" width="2.33203125" style="101" customWidth="1"/>
    <col min="2" max="2" width="21" style="101" bestFit="1" customWidth="1"/>
    <col min="3" max="3" width="15.77734375" style="101" bestFit="1" customWidth="1"/>
    <col min="4" max="4" width="12" style="101" customWidth="1"/>
    <col min="5" max="7" width="14" style="101" customWidth="1"/>
    <col min="8" max="8" width="20.5546875" style="101" bestFit="1" customWidth="1"/>
    <col min="9" max="9" width="21.44140625" style="101" bestFit="1" customWidth="1"/>
    <col min="10" max="10" width="22" style="101" customWidth="1"/>
    <col min="11" max="16384" width="8.6640625" style="101"/>
  </cols>
  <sheetData>
    <row r="1" spans="2:10" ht="37.200000000000003" thickBot="1">
      <c r="B1" s="35" t="s">
        <v>222</v>
      </c>
      <c r="C1" s="35"/>
      <c r="D1" s="35"/>
      <c r="E1" s="35"/>
      <c r="F1" s="35"/>
      <c r="G1" s="35"/>
      <c r="H1" s="35"/>
      <c r="I1" s="35"/>
      <c r="J1" s="35"/>
    </row>
    <row r="2" spans="2:10">
      <c r="B2" s="10"/>
      <c r="C2" s="10"/>
      <c r="D2" s="36"/>
      <c r="E2" s="36"/>
      <c r="F2" s="36"/>
      <c r="G2" s="10"/>
      <c r="H2" s="10"/>
      <c r="I2" s="36"/>
      <c r="J2" s="10"/>
    </row>
    <row r="3" spans="2:10" ht="15" customHeight="1">
      <c r="B3" s="37" t="s">
        <v>97</v>
      </c>
      <c r="C3" s="37" t="s">
        <v>98</v>
      </c>
      <c r="D3" s="37" t="s">
        <v>99</v>
      </c>
      <c r="E3" s="37" t="s">
        <v>100</v>
      </c>
      <c r="F3" s="37" t="s">
        <v>101</v>
      </c>
      <c r="G3" s="37" t="s">
        <v>102</v>
      </c>
      <c r="H3" s="37" t="s">
        <v>103</v>
      </c>
      <c r="I3" s="37" t="s">
        <v>104</v>
      </c>
      <c r="J3" s="37" t="s">
        <v>105</v>
      </c>
    </row>
    <row r="4" spans="2:10" ht="19.5" customHeight="1">
      <c r="B4" s="102" t="s">
        <v>106</v>
      </c>
      <c r="C4" s="103">
        <v>-200</v>
      </c>
      <c r="D4" s="112">
        <f t="shared" ref="D4:D12" si="0">Current_YTM+C4/10000</f>
        <v>5.7499999999999996E-2</v>
      </c>
      <c r="E4" s="113">
        <f t="shared" ref="E4:E12" si="1">PRICE(Settlement_Date,Maturity_Date,Coupon_Rate,D4,100,1,3)*Face_Value/100</f>
        <v>1100.8300794455672</v>
      </c>
      <c r="F4" s="113">
        <f t="shared" ref="F4:F12" si="2">E4-clean_Price</f>
        <v>141.43006626507349</v>
      </c>
      <c r="G4" s="112">
        <f t="shared" ref="G4:G12" si="3">F4/clean_Price</f>
        <v>0.14741511811764588</v>
      </c>
      <c r="H4" s="113">
        <f t="shared" ref="H4:H12" si="4">clean_Price*(1-Modified_Duration*(C4/10000))</f>
        <v>1084.781906585408</v>
      </c>
      <c r="I4" s="113">
        <f t="shared" ref="I4:I12" si="5">clean_Price*(1-Modified_Duration*(C4/10000)+0.5*Convexity*(C4/10000)^2)</f>
        <v>1095.890212430518</v>
      </c>
      <c r="J4" s="113">
        <f>clean_Price*0.5*Convexity*(C4/10000)^2</f>
        <v>11.108305845110193</v>
      </c>
    </row>
    <row r="5" spans="2:10" ht="19.5" customHeight="1">
      <c r="B5" s="104" t="s">
        <v>107</v>
      </c>
      <c r="C5" s="105">
        <v>-150</v>
      </c>
      <c r="D5" s="114">
        <f t="shared" si="0"/>
        <v>6.25E-2</v>
      </c>
      <c r="E5" s="115">
        <f t="shared" si="1"/>
        <v>1063.1339543385971</v>
      </c>
      <c r="F5" s="115">
        <f t="shared" si="2"/>
        <v>103.73394115810333</v>
      </c>
      <c r="G5" s="114">
        <f t="shared" si="3"/>
        <v>0.10812376457471204</v>
      </c>
      <c r="H5" s="116">
        <f t="shared" si="4"/>
        <v>1053.4364332341795</v>
      </c>
      <c r="I5" s="115">
        <f t="shared" si="5"/>
        <v>1059.6848552720539</v>
      </c>
      <c r="J5" s="115">
        <f t="shared" ref="J5:J11" si="6">clean_Price*0.5*Convexity*(C5/10000)^2</f>
        <v>6.2484220378744828</v>
      </c>
    </row>
    <row r="6" spans="2:10" ht="19.5" customHeight="1">
      <c r="B6" s="106" t="s">
        <v>108</v>
      </c>
      <c r="C6" s="105">
        <v>-100</v>
      </c>
      <c r="D6" s="114">
        <f t="shared" si="0"/>
        <v>6.7500000000000004E-2</v>
      </c>
      <c r="E6" s="115">
        <f t="shared" si="1"/>
        <v>1027.1032607212655</v>
      </c>
      <c r="F6" s="115">
        <f t="shared" si="2"/>
        <v>67.703247540771827</v>
      </c>
      <c r="G6" s="114">
        <f t="shared" si="3"/>
        <v>7.0568320419685762E-2</v>
      </c>
      <c r="H6" s="115">
        <f t="shared" si="4"/>
        <v>1022.0909598829509</v>
      </c>
      <c r="I6" s="115">
        <f t="shared" si="5"/>
        <v>1024.8680363442284</v>
      </c>
      <c r="J6" s="115">
        <f t="shared" si="6"/>
        <v>2.7770764612775483</v>
      </c>
    </row>
    <row r="7" spans="2:10" ht="19.5" customHeight="1">
      <c r="B7" s="104" t="s">
        <v>109</v>
      </c>
      <c r="C7" s="105">
        <v>-50</v>
      </c>
      <c r="D7" s="114">
        <f t="shared" si="0"/>
        <v>7.2499999999999995E-2</v>
      </c>
      <c r="E7" s="115">
        <f t="shared" si="1"/>
        <v>992.65392724567471</v>
      </c>
      <c r="F7" s="115">
        <f t="shared" si="2"/>
        <v>33.253914065180993</v>
      </c>
      <c r="G7" s="114">
        <f t="shared" si="3"/>
        <v>3.4661156564863287E-2</v>
      </c>
      <c r="H7" s="116">
        <f t="shared" si="4"/>
        <v>990.74548653172224</v>
      </c>
      <c r="I7" s="115">
        <f t="shared" si="5"/>
        <v>991.43975564704169</v>
      </c>
      <c r="J7" s="115">
        <f t="shared" si="6"/>
        <v>0.69426911531938706</v>
      </c>
    </row>
    <row r="8" spans="2:10" ht="19.5" customHeight="1">
      <c r="B8" s="107" t="s">
        <v>110</v>
      </c>
      <c r="C8" s="107">
        <v>0</v>
      </c>
      <c r="D8" s="117">
        <f t="shared" si="0"/>
        <v>7.7499999999999999E-2</v>
      </c>
      <c r="E8" s="118">
        <f t="shared" si="1"/>
        <v>959.70656274504825</v>
      </c>
      <c r="F8" s="118">
        <f t="shared" si="2"/>
        <v>0.30654956455452975</v>
      </c>
      <c r="G8" s="117">
        <f t="shared" si="3"/>
        <v>3.1952216004072328E-4</v>
      </c>
      <c r="H8" s="119">
        <f t="shared" si="4"/>
        <v>959.40001318049372</v>
      </c>
      <c r="I8" s="118">
        <f t="shared" si="5"/>
        <v>959.40001318049372</v>
      </c>
      <c r="J8" s="118">
        <f t="shared" si="6"/>
        <v>0</v>
      </c>
    </row>
    <row r="9" spans="2:10" ht="19.5" customHeight="1">
      <c r="B9" s="104" t="s">
        <v>111</v>
      </c>
      <c r="C9" s="105">
        <v>50</v>
      </c>
      <c r="D9" s="114">
        <f t="shared" si="0"/>
        <v>8.2500000000000004E-2</v>
      </c>
      <c r="E9" s="115">
        <f t="shared" si="1"/>
        <v>928.18617347633608</v>
      </c>
      <c r="F9" s="115">
        <f t="shared" si="2"/>
        <v>-31.213839704157635</v>
      </c>
      <c r="G9" s="114">
        <f t="shared" si="3"/>
        <v>-3.2534750130637446E-2</v>
      </c>
      <c r="H9" s="116">
        <f t="shared" si="4"/>
        <v>928.0545398292652</v>
      </c>
      <c r="I9" s="115">
        <f t="shared" si="5"/>
        <v>928.74880894458454</v>
      </c>
      <c r="J9" s="115">
        <f t="shared" si="6"/>
        <v>0.69426911531938706</v>
      </c>
    </row>
    <row r="10" spans="2:10" ht="19.5" customHeight="1">
      <c r="B10" s="106" t="s">
        <v>112</v>
      </c>
      <c r="C10" s="105">
        <v>100</v>
      </c>
      <c r="D10" s="114">
        <f t="shared" si="0"/>
        <v>8.7499999999999994E-2</v>
      </c>
      <c r="E10" s="115">
        <f t="shared" si="1"/>
        <v>898.02189872421377</v>
      </c>
      <c r="F10" s="115">
        <f t="shared" si="2"/>
        <v>-61.378114456279945</v>
      </c>
      <c r="G10" s="114">
        <f t="shared" si="3"/>
        <v>-6.3975519713415682E-2</v>
      </c>
      <c r="H10" s="115">
        <f t="shared" si="4"/>
        <v>896.70906647803656</v>
      </c>
      <c r="I10" s="115">
        <f t="shared" si="5"/>
        <v>899.48614293931416</v>
      </c>
      <c r="J10" s="115">
        <f t="shared" si="6"/>
        <v>2.7770764612775483</v>
      </c>
    </row>
    <row r="11" spans="2:10" ht="19.5" customHeight="1">
      <c r="B11" s="104" t="s">
        <v>113</v>
      </c>
      <c r="C11" s="105">
        <v>150</v>
      </c>
      <c r="D11" s="114">
        <f t="shared" si="0"/>
        <v>9.2499999999999999E-2</v>
      </c>
      <c r="E11" s="115">
        <f t="shared" si="1"/>
        <v>869.14676349361241</v>
      </c>
      <c r="F11" s="115">
        <f t="shared" si="2"/>
        <v>-90.253249686881304</v>
      </c>
      <c r="G11" s="114">
        <f t="shared" si="3"/>
        <v>-9.4072595837980041E-2</v>
      </c>
      <c r="H11" s="116">
        <f t="shared" si="4"/>
        <v>865.36359312680804</v>
      </c>
      <c r="I11" s="115">
        <f t="shared" si="5"/>
        <v>871.61201516468248</v>
      </c>
      <c r="J11" s="115">
        <f t="shared" si="6"/>
        <v>6.2484220378744828</v>
      </c>
    </row>
    <row r="12" spans="2:10" ht="19.5" customHeight="1">
      <c r="B12" s="106" t="s">
        <v>114</v>
      </c>
      <c r="C12" s="105">
        <v>200</v>
      </c>
      <c r="D12" s="114">
        <f t="shared" si="0"/>
        <v>9.7500000000000003E-2</v>
      </c>
      <c r="E12" s="115">
        <f t="shared" si="1"/>
        <v>841.49744711169933</v>
      </c>
      <c r="F12" s="115">
        <f t="shared" si="2"/>
        <v>-117.90256606879439</v>
      </c>
      <c r="G12" s="114">
        <f t="shared" si="3"/>
        <v>-0.1228919787878022</v>
      </c>
      <c r="H12" s="115">
        <f t="shared" si="4"/>
        <v>834.01811977557929</v>
      </c>
      <c r="I12" s="115">
        <f t="shared" si="5"/>
        <v>845.12642562068959</v>
      </c>
      <c r="J12" s="115">
        <f>clean_Price*0.5*Convexity*(C12/10000)^2</f>
        <v>11.108305845110193</v>
      </c>
    </row>
    <row r="14" spans="2:10" ht="7.5" customHeight="1"/>
    <row r="15" spans="2:10" ht="18" customHeight="1">
      <c r="B15" s="221" t="s">
        <v>115</v>
      </c>
      <c r="C15" s="222"/>
      <c r="D15" s="9"/>
      <c r="E15" s="9"/>
      <c r="F15" s="9"/>
    </row>
    <row r="16" spans="2:10" s="9" customFormat="1" ht="18" customHeight="1">
      <c r="B16" s="108" t="s">
        <v>79</v>
      </c>
      <c r="C16" s="109" t="s">
        <v>80</v>
      </c>
    </row>
    <row r="17" spans="2:4">
      <c r="B17" s="110" t="s">
        <v>61</v>
      </c>
      <c r="C17" s="120">
        <f>Valuation!C23</f>
        <v>0.64457380525580188</v>
      </c>
    </row>
    <row r="18" spans="2:4">
      <c r="B18" s="110" t="s">
        <v>89</v>
      </c>
      <c r="C18" s="121">
        <f>Valuation!C21</f>
        <v>6.5343908527404828</v>
      </c>
      <c r="D18" s="111"/>
    </row>
  </sheetData>
  <sheetProtection algorithmName="SHA-512" hashValue="vkAFh9Ye62T32J3DYzjcc9eVjR6p6s+Me7uwOq+PDdzB64Z34Y/9SgmbeGPuRZM1hDnNXr3urNS6ea0MR+vBNA==" saltValue="PnY1S+FZ8twteqshFzSAag==" spinCount="100000" sheet="1" objects="1" scenarios="1"/>
  <mergeCells count="1">
    <mergeCell ref="B15:C15"/>
  </mergeCells>
  <conditionalFormatting sqref="F4:J12">
    <cfRule type="cellIs" dxfId="2" priority="1" operator="lessThan">
      <formula>0</formula>
    </cfRule>
  </conditionalFormatting>
  <pageMargins left="0.75" right="0.75" top="1" bottom="1" header="0.511811023622047" footer="0.511811023622047"/>
  <pageSetup paperSize="9" scale="82"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sheetPr>
  <dimension ref="B1:E16"/>
  <sheetViews>
    <sheetView showGridLines="0" zoomScaleNormal="100" workbookViewId="0"/>
  </sheetViews>
  <sheetFormatPr defaultColWidth="8.6640625" defaultRowHeight="14.4"/>
  <cols>
    <col min="1" max="1" width="2.33203125" style="122" customWidth="1"/>
    <col min="2" max="2" width="42.5546875" style="122" customWidth="1"/>
    <col min="3" max="3" width="22.21875" style="122" customWidth="1"/>
    <col min="4" max="4" width="19.109375" style="122" customWidth="1"/>
    <col min="5" max="5" width="26.6640625" style="122" customWidth="1"/>
    <col min="6" max="16384" width="8.6640625" style="122"/>
  </cols>
  <sheetData>
    <row r="1" spans="2:5" ht="31.8" thickBot="1">
      <c r="B1" s="223" t="s">
        <v>223</v>
      </c>
      <c r="C1" s="223"/>
      <c r="D1" s="223"/>
      <c r="E1" s="223"/>
    </row>
    <row r="2" spans="2:5">
      <c r="B2" s="10"/>
      <c r="C2" s="10"/>
      <c r="D2" s="36"/>
      <c r="E2" s="36"/>
    </row>
    <row r="3" spans="2:5" ht="7.5" customHeight="1"/>
    <row r="4" spans="2:5" ht="18">
      <c r="B4" s="224" t="s">
        <v>224</v>
      </c>
      <c r="C4" s="225"/>
      <c r="D4" s="225"/>
      <c r="E4" s="226"/>
    </row>
    <row r="5" spans="2:5" ht="15.6">
      <c r="B5" s="123" t="s">
        <v>116</v>
      </c>
      <c r="C5" s="124" t="s">
        <v>117</v>
      </c>
      <c r="D5" s="124" t="s">
        <v>118</v>
      </c>
      <c r="E5" s="124" t="s">
        <v>119</v>
      </c>
    </row>
    <row r="6" spans="2:5" ht="18" customHeight="1">
      <c r="B6" s="125" t="s">
        <v>120</v>
      </c>
      <c r="C6" s="126">
        <v>5.7500000000000002E-2</v>
      </c>
      <c r="D6" s="127">
        <f>Current_YTM</f>
        <v>7.7499999999999999E-2</v>
      </c>
      <c r="E6" s="126">
        <v>8.7499999999999994E-2</v>
      </c>
    </row>
    <row r="7" spans="2:5" ht="18" customHeight="1">
      <c r="B7" s="96" t="s">
        <v>121</v>
      </c>
      <c r="C7" s="128">
        <f>Valuation!$C$16</f>
        <v>959.40001318049372</v>
      </c>
      <c r="D7" s="128">
        <f>Valuation!$C$16</f>
        <v>959.40001318049372</v>
      </c>
      <c r="E7" s="128">
        <f>Valuation!$C$16</f>
        <v>959.40001318049372</v>
      </c>
    </row>
    <row r="9" spans="2:5" ht="7.5" customHeight="1"/>
    <row r="10" spans="2:5" ht="21" customHeight="1">
      <c r="B10" s="224" t="s">
        <v>225</v>
      </c>
      <c r="C10" s="225"/>
      <c r="D10" s="225"/>
      <c r="E10" s="226"/>
    </row>
    <row r="11" spans="2:5" ht="15.6">
      <c r="B11" s="123" t="s">
        <v>122</v>
      </c>
      <c r="C11" s="124" t="s">
        <v>117</v>
      </c>
      <c r="D11" s="124" t="s">
        <v>118</v>
      </c>
      <c r="E11" s="124" t="s">
        <v>119</v>
      </c>
    </row>
    <row r="12" spans="2:5" ht="19.5" customHeight="1">
      <c r="B12" s="125" t="s">
        <v>123</v>
      </c>
      <c r="C12" s="129">
        <f>PRICE(Settlement_Date+365,Maturity_Date,Coupon_Rate,C6,100,1,3)*Face_Value/100</f>
        <v>1092.6547690065599</v>
      </c>
      <c r="D12" s="129">
        <f>PRICE(Settlement_Date+365,Maturity_Date,Coupon_Rate,D6,100,1,3)*Face_Value/100</f>
        <v>962.63229687446528</v>
      </c>
      <c r="E12" s="129">
        <f>PRICE(Settlement_Date+365,Maturity_Date,Coupon_Rate,E6,100,1,3)*Face_Value/100</f>
        <v>905.16029384256501</v>
      </c>
    </row>
    <row r="13" spans="2:5" ht="19.5" customHeight="1">
      <c r="B13" s="96" t="s">
        <v>124</v>
      </c>
      <c r="C13" s="116">
        <f>Face_Value*Coupon_Rate</f>
        <v>71.5</v>
      </c>
      <c r="D13" s="116">
        <f>Face_Value*Coupon_Rate</f>
        <v>71.5</v>
      </c>
      <c r="E13" s="116">
        <f>Face_Value*Coupon_Rate</f>
        <v>71.5</v>
      </c>
    </row>
    <row r="14" spans="2:5" ht="19.5" customHeight="1">
      <c r="B14" s="96" t="s">
        <v>125</v>
      </c>
      <c r="C14" s="115">
        <f>C12-clean_Price</f>
        <v>133.25475582606623</v>
      </c>
      <c r="D14" s="115">
        <f>D12-clean_Price</f>
        <v>3.2322836939715671</v>
      </c>
      <c r="E14" s="115">
        <f>E12-clean_Price</f>
        <v>-54.239719337928705</v>
      </c>
    </row>
    <row r="15" spans="2:5" ht="19.5" customHeight="1">
      <c r="B15" s="96" t="s">
        <v>126</v>
      </c>
      <c r="C15" s="116">
        <f>C13+C14</f>
        <v>204.75475582606623</v>
      </c>
      <c r="D15" s="116">
        <f t="shared" ref="D15:E15" si="0">D13+D14</f>
        <v>74.732283693971567</v>
      </c>
      <c r="E15" s="116">
        <f t="shared" si="0"/>
        <v>17.260280662071295</v>
      </c>
    </row>
    <row r="16" spans="2:5" ht="19.5" customHeight="1">
      <c r="B16" s="96" t="s">
        <v>127</v>
      </c>
      <c r="C16" s="114">
        <f>C15/clean_Price</f>
        <v>0.21341958829798904</v>
      </c>
      <c r="D16" s="114">
        <f>D15/clean_Price</f>
        <v>7.7894812035938593E-2</v>
      </c>
      <c r="E16" s="114">
        <f>E15/clean_Price</f>
        <v>1.7990702965337658E-2</v>
      </c>
    </row>
  </sheetData>
  <sheetProtection algorithmName="SHA-512" hashValue="E42i6g8DCm3kSMWVLdueG9MwU+nvH+bsKS+DTuuUfvj0HnfVZrPP6sd4bKZH+0271vPl3uXv0aQA6CDNEt1f+g==" saltValue="7Q4WeRVuiztY24+vJdbYYw==" spinCount="100000" sheet="1" objects="1" scenarios="1"/>
  <mergeCells count="3">
    <mergeCell ref="B1:E1"/>
    <mergeCell ref="B10:E10"/>
    <mergeCell ref="B4:E4"/>
  </mergeCells>
  <conditionalFormatting sqref="C12:E16">
    <cfRule type="cellIs" dxfId="1" priority="1" operator="lessThan">
      <formula>0</formula>
    </cfRule>
  </conditionalFormatting>
  <pageMargins left="0.75" right="0.75" top="1" bottom="1" header="0.511811023622047" footer="0.511811023622047"/>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ED7D31"/>
    <pageSetUpPr fitToPage="1"/>
  </sheetPr>
  <dimension ref="B1:O44"/>
  <sheetViews>
    <sheetView showGridLines="0" zoomScaleNormal="100" workbookViewId="0"/>
  </sheetViews>
  <sheetFormatPr defaultColWidth="8.6640625" defaultRowHeight="14.4"/>
  <cols>
    <col min="1" max="1" width="2.33203125" style="122" customWidth="1"/>
    <col min="2" max="2" width="42" style="122" customWidth="1"/>
    <col min="3" max="8" width="17" style="122" customWidth="1"/>
    <col min="9" max="11" width="12" style="122" customWidth="1"/>
    <col min="12" max="12" width="14.109375" style="122" bestFit="1" customWidth="1"/>
    <col min="13" max="15" width="12" style="122" customWidth="1"/>
    <col min="16" max="16384" width="8.6640625" style="122"/>
  </cols>
  <sheetData>
    <row r="1" spans="2:15" ht="31.8" thickBot="1">
      <c r="B1" s="227" t="s">
        <v>128</v>
      </c>
      <c r="C1" s="227"/>
      <c r="D1" s="227"/>
      <c r="E1" s="227"/>
      <c r="F1" s="227"/>
      <c r="G1" s="227"/>
      <c r="H1" s="227"/>
      <c r="I1" s="227"/>
      <c r="J1" s="9"/>
      <c r="K1" s="9"/>
      <c r="L1" s="9"/>
      <c r="M1" s="9"/>
      <c r="N1" s="9"/>
      <c r="O1" s="9"/>
    </row>
    <row r="2" spans="2:15">
      <c r="B2" s="10"/>
      <c r="C2" s="10"/>
      <c r="D2" s="36"/>
      <c r="E2" s="36"/>
      <c r="F2" s="10"/>
      <c r="G2" s="10"/>
      <c r="H2" s="36"/>
      <c r="I2" s="36"/>
      <c r="J2" s="9"/>
      <c r="K2" s="9"/>
      <c r="L2" s="9"/>
    </row>
    <row r="3" spans="2:15" ht="18" customHeight="1">
      <c r="B3" s="224" t="s">
        <v>129</v>
      </c>
      <c r="C3" s="225"/>
      <c r="D3" s="225"/>
      <c r="E3" s="225"/>
      <c r="F3" s="225"/>
      <c r="G3" s="225"/>
      <c r="H3" s="225"/>
      <c r="I3" s="9"/>
      <c r="J3" s="9"/>
      <c r="K3" s="9"/>
      <c r="L3" s="9"/>
    </row>
    <row r="4" spans="2:15" ht="15" customHeight="1">
      <c r="B4" s="123" t="s">
        <v>79</v>
      </c>
      <c r="C4" s="130" t="s">
        <v>130</v>
      </c>
      <c r="D4" s="130" t="s">
        <v>131</v>
      </c>
      <c r="E4" s="130" t="s">
        <v>132</v>
      </c>
      <c r="F4" s="131" t="s">
        <v>133</v>
      </c>
      <c r="G4" s="130" t="s">
        <v>134</v>
      </c>
      <c r="H4" s="124" t="s">
        <v>135</v>
      </c>
      <c r="I4" s="9"/>
      <c r="J4" s="9"/>
      <c r="K4" s="9"/>
      <c r="L4" s="9"/>
    </row>
    <row r="5" spans="2:15" ht="18" customHeight="1">
      <c r="B5" s="132" t="s">
        <v>136</v>
      </c>
      <c r="C5" s="133">
        <v>76262</v>
      </c>
      <c r="D5" s="133">
        <v>77807</v>
      </c>
      <c r="E5" s="133">
        <v>91508</v>
      </c>
      <c r="F5" s="133">
        <v>107106</v>
      </c>
      <c r="G5" s="133">
        <v>115444</v>
      </c>
      <c r="H5" s="155">
        <f>_xlfn.RRI(4,C5,G5)</f>
        <v>0.10921515308097463</v>
      </c>
      <c r="I5" s="9"/>
      <c r="J5" s="9"/>
      <c r="K5" s="9"/>
      <c r="L5" s="9"/>
    </row>
    <row r="6" spans="2:15" ht="18" customHeight="1">
      <c r="B6" s="132" t="s">
        <v>186</v>
      </c>
      <c r="C6" s="133"/>
      <c r="D6" s="156">
        <f>D5/C5-1</f>
        <v>2.0259106763525825E-2</v>
      </c>
      <c r="E6" s="156">
        <f>E5/D5-1</f>
        <v>0.17608955492436418</v>
      </c>
      <c r="F6" s="156">
        <f>F5/E5-1</f>
        <v>0.17045504218210428</v>
      </c>
      <c r="G6" s="156">
        <f>G5/F5-1</f>
        <v>7.7848113084234338E-2</v>
      </c>
      <c r="H6" s="9"/>
      <c r="I6" s="9"/>
      <c r="J6" s="9"/>
      <c r="K6" s="9"/>
      <c r="L6" s="9"/>
    </row>
    <row r="7" spans="2:15" ht="18" customHeight="1">
      <c r="B7" s="134" t="s">
        <v>137</v>
      </c>
      <c r="C7" s="135">
        <v>23338</v>
      </c>
      <c r="D7" s="135">
        <v>26501</v>
      </c>
      <c r="E7" s="135">
        <v>33573</v>
      </c>
      <c r="F7" s="135">
        <v>38603</v>
      </c>
      <c r="G7" s="135">
        <v>42848</v>
      </c>
      <c r="H7" s="157">
        <f>_xlfn.RRI(4,C7,G7)</f>
        <v>0.16403685249973465</v>
      </c>
      <c r="I7" s="9"/>
      <c r="J7" s="9"/>
      <c r="K7" s="9"/>
      <c r="L7" s="9"/>
    </row>
    <row r="8" spans="2:15" ht="18" customHeight="1">
      <c r="B8" s="132" t="s">
        <v>186</v>
      </c>
      <c r="C8" s="133"/>
      <c r="D8" s="156">
        <f>D7/C7-1</f>
        <v>0.13553003684977294</v>
      </c>
      <c r="E8" s="156">
        <f>E7/D7-1</f>
        <v>0.26685785442058796</v>
      </c>
      <c r="F8" s="156">
        <f>F7/E7-1</f>
        <v>0.14982277425311996</v>
      </c>
      <c r="G8" s="156">
        <f>G7/F7-1</f>
        <v>0.10996554671916692</v>
      </c>
      <c r="H8" s="9"/>
      <c r="I8" s="9"/>
      <c r="J8" s="9"/>
      <c r="K8" s="9"/>
      <c r="L8" s="9"/>
    </row>
    <row r="9" spans="2:15" ht="18" customHeight="1">
      <c r="B9" s="134" t="s">
        <v>138</v>
      </c>
      <c r="C9" s="135">
        <v>23382</v>
      </c>
      <c r="D9" s="135">
        <v>26496</v>
      </c>
      <c r="E9" s="135">
        <v>33588</v>
      </c>
      <c r="F9" s="135">
        <v>38632</v>
      </c>
      <c r="G9" s="135">
        <v>42850</v>
      </c>
      <c r="H9" s="157">
        <f>_xlfn.RRI(4,C9,G9)</f>
        <v>0.16350242427645556</v>
      </c>
      <c r="I9" s="9"/>
      <c r="J9" s="9"/>
      <c r="K9" s="9"/>
      <c r="L9" s="9"/>
    </row>
    <row r="10" spans="2:15" ht="18" customHeight="1">
      <c r="B10" s="132" t="s">
        <v>186</v>
      </c>
      <c r="C10" s="133"/>
      <c r="D10" s="156">
        <f>D9/C9-1</f>
        <v>0.13317936874518854</v>
      </c>
      <c r="E10" s="156">
        <f>E9/D9-1</f>
        <v>0.26766304347826098</v>
      </c>
      <c r="F10" s="156">
        <f>F9/E9-1</f>
        <v>0.15017268071930445</v>
      </c>
      <c r="G10" s="156">
        <f>G9/F9-1</f>
        <v>0.1091840960861461</v>
      </c>
      <c r="H10" s="9"/>
      <c r="I10" s="9"/>
      <c r="J10" s="9"/>
      <c r="K10" s="9"/>
      <c r="L10" s="9"/>
    </row>
    <row r="11" spans="2:15" ht="18" customHeight="1">
      <c r="B11" s="134" t="s">
        <v>139</v>
      </c>
      <c r="C11" s="135">
        <v>18768</v>
      </c>
      <c r="D11" s="135">
        <v>21179</v>
      </c>
      <c r="E11" s="135">
        <v>26461</v>
      </c>
      <c r="F11" s="135">
        <v>30514</v>
      </c>
      <c r="G11" s="135">
        <v>33625</v>
      </c>
      <c r="H11" s="157">
        <f>_xlfn.RRI(4,C11,G11)</f>
        <v>0.15694063387599844</v>
      </c>
      <c r="I11" s="9"/>
      <c r="J11" s="9"/>
      <c r="K11" s="9"/>
      <c r="L11" s="9"/>
    </row>
    <row r="12" spans="2:15" ht="18" customHeight="1">
      <c r="B12" s="132" t="s">
        <v>186</v>
      </c>
      <c r="C12" s="133"/>
      <c r="D12" s="156">
        <f>D11/C11-1</f>
        <v>0.12846334185848263</v>
      </c>
      <c r="E12" s="156">
        <f>E11/D11-1</f>
        <v>0.24939798857358708</v>
      </c>
      <c r="F12" s="156">
        <f>F11/E11-1</f>
        <v>0.15316881448169006</v>
      </c>
      <c r="G12" s="156">
        <f>G11/F11-1</f>
        <v>0.10195320180900569</v>
      </c>
      <c r="H12" s="9"/>
      <c r="I12" s="9"/>
      <c r="J12" s="9"/>
      <c r="K12" s="9"/>
      <c r="L12" s="9"/>
    </row>
    <row r="13" spans="2:15" ht="18" customHeight="1">
      <c r="B13" s="134" t="s">
        <v>226</v>
      </c>
      <c r="C13" s="136">
        <v>42.47</v>
      </c>
      <c r="D13" s="136">
        <v>48.15</v>
      </c>
      <c r="E13" s="136">
        <v>59.88</v>
      </c>
      <c r="F13" s="136">
        <v>69.67</v>
      </c>
      <c r="G13" s="136">
        <v>78.489999999999995</v>
      </c>
      <c r="H13" s="157">
        <f>_xlfn.RRI(4,C13,G13)</f>
        <v>0.16595829645305837</v>
      </c>
      <c r="I13" s="9"/>
      <c r="J13" s="9"/>
      <c r="K13" s="9"/>
      <c r="L13" s="9"/>
    </row>
    <row r="14" spans="2:15">
      <c r="B14" s="137" t="s">
        <v>186</v>
      </c>
      <c r="C14" s="138"/>
      <c r="D14" s="158">
        <f>D13/C13-1</f>
        <v>0.13374146456322111</v>
      </c>
      <c r="E14" s="158">
        <f>E13/D13-1</f>
        <v>0.24361370716510922</v>
      </c>
      <c r="F14" s="158">
        <f>F13/E13-1</f>
        <v>0.1634936539746159</v>
      </c>
      <c r="G14" s="158">
        <f>G13/F13-1</f>
        <v>0.12659681354959074</v>
      </c>
      <c r="H14" s="9"/>
      <c r="I14" s="9"/>
      <c r="J14" s="9"/>
      <c r="K14" s="9"/>
      <c r="L14" s="9"/>
    </row>
    <row r="15" spans="2:15">
      <c r="I15" s="9"/>
      <c r="J15" s="9"/>
      <c r="K15" s="9"/>
      <c r="L15" s="9"/>
    </row>
    <row r="16" spans="2:15">
      <c r="I16" s="9"/>
      <c r="J16" s="9"/>
      <c r="K16" s="9"/>
      <c r="L16" s="9"/>
    </row>
    <row r="17" spans="2:15" ht="18" customHeight="1">
      <c r="B17" s="224" t="s">
        <v>140</v>
      </c>
      <c r="C17" s="225"/>
      <c r="D17" s="225"/>
      <c r="E17" s="225"/>
      <c r="F17" s="225"/>
      <c r="G17" s="225"/>
      <c r="H17" s="225"/>
      <c r="I17" s="9"/>
      <c r="J17" s="9"/>
      <c r="K17" s="9"/>
      <c r="L17" s="9"/>
    </row>
    <row r="18" spans="2:15" ht="15" customHeight="1">
      <c r="B18" s="123" t="s">
        <v>79</v>
      </c>
      <c r="C18" s="130" t="s">
        <v>130</v>
      </c>
      <c r="D18" s="130" t="s">
        <v>131</v>
      </c>
      <c r="E18" s="130" t="s">
        <v>132</v>
      </c>
      <c r="F18" s="131" t="s">
        <v>133</v>
      </c>
      <c r="G18" s="130" t="s">
        <v>228</v>
      </c>
      <c r="H18" s="130" t="s">
        <v>141</v>
      </c>
      <c r="I18" s="9"/>
      <c r="J18" s="9"/>
      <c r="K18" s="9"/>
      <c r="L18" s="9"/>
    </row>
    <row r="19" spans="2:15" ht="18" customHeight="1">
      <c r="B19" s="139" t="s">
        <v>142</v>
      </c>
      <c r="C19" s="140">
        <v>2640</v>
      </c>
      <c r="D19" s="141">
        <v>2640</v>
      </c>
      <c r="E19" s="141">
        <v>3300</v>
      </c>
      <c r="F19" s="141">
        <v>3300</v>
      </c>
      <c r="G19" s="141">
        <v>3300</v>
      </c>
      <c r="H19" s="159">
        <f>_xlfn.RRI(4,C19,G19)</f>
        <v>5.7371263440564091E-2</v>
      </c>
      <c r="I19" s="142"/>
      <c r="J19" s="143"/>
    </row>
    <row r="20" spans="2:15" ht="18" customHeight="1">
      <c r="B20" s="144" t="s">
        <v>186</v>
      </c>
      <c r="C20" s="145"/>
      <c r="D20" s="160">
        <f>D19/C19-1</f>
        <v>0</v>
      </c>
      <c r="E20" s="160">
        <f>E19/D19-1</f>
        <v>0.25</v>
      </c>
      <c r="F20" s="160">
        <f>F19/E19-1</f>
        <v>0</v>
      </c>
      <c r="G20" s="160">
        <f>G19/F19-1</f>
        <v>0</v>
      </c>
      <c r="H20" s="9"/>
      <c r="I20" s="142"/>
      <c r="J20" s="143"/>
    </row>
    <row r="21" spans="2:15" ht="18" customHeight="1">
      <c r="B21" s="139" t="s">
        <v>143</v>
      </c>
      <c r="C21" s="140">
        <v>69036</v>
      </c>
      <c r="D21" s="141">
        <v>81518</v>
      </c>
      <c r="E21" s="141">
        <v>97847</v>
      </c>
      <c r="F21" s="141">
        <v>114438</v>
      </c>
      <c r="G21" s="141">
        <v>129561</v>
      </c>
      <c r="H21" s="159">
        <f>_xlfn.RRI(4,C21,G21)</f>
        <v>0.17044138084988258</v>
      </c>
      <c r="J21" s="143"/>
    </row>
    <row r="22" spans="2:15" ht="18" customHeight="1">
      <c r="B22" s="144" t="s">
        <v>186</v>
      </c>
      <c r="C22" s="145"/>
      <c r="D22" s="160">
        <f>D21/C21-1</f>
        <v>0.18080421808911296</v>
      </c>
      <c r="E22" s="160">
        <f>E21/D21-1</f>
        <v>0.20031158762481915</v>
      </c>
      <c r="F22" s="160">
        <f>F21/E21-1</f>
        <v>0.16956064059194453</v>
      </c>
      <c r="G22" s="160">
        <f>G21/F21-1</f>
        <v>0.13215015991191748</v>
      </c>
      <c r="H22" s="9"/>
      <c r="J22" s="143"/>
    </row>
    <row r="23" spans="2:15" s="147" customFormat="1" ht="18" customHeight="1">
      <c r="B23" s="146" t="s">
        <v>227</v>
      </c>
      <c r="C23" s="161">
        <f>C19+C21</f>
        <v>71676</v>
      </c>
      <c r="D23" s="162">
        <f>D19+D21</f>
        <v>84158</v>
      </c>
      <c r="E23" s="162">
        <f>E19+E21</f>
        <v>101147</v>
      </c>
      <c r="F23" s="162">
        <f>F19+F21</f>
        <v>117738</v>
      </c>
      <c r="G23" s="162">
        <f>G19+G21</f>
        <v>132861</v>
      </c>
      <c r="H23" s="9"/>
      <c r="J23" s="148"/>
    </row>
    <row r="24" spans="2:15" ht="18" customHeight="1">
      <c r="B24" s="139" t="s">
        <v>144</v>
      </c>
      <c r="C24" s="140">
        <v>660476</v>
      </c>
      <c r="D24" s="141">
        <v>751158</v>
      </c>
      <c r="E24" s="141">
        <v>861961</v>
      </c>
      <c r="F24" s="141">
        <v>971758</v>
      </c>
      <c r="G24" s="141">
        <v>1012503</v>
      </c>
      <c r="H24" s="159">
        <f>_xlfn.RRI(4,C24,G24)</f>
        <v>0.11271724643286807</v>
      </c>
      <c r="J24" s="143"/>
    </row>
    <row r="25" spans="2:15" ht="18" customHeight="1">
      <c r="B25" s="144" t="s">
        <v>186</v>
      </c>
      <c r="C25" s="145"/>
      <c r="D25" s="160">
        <f>D24/C24-1</f>
        <v>0.13729794875211221</v>
      </c>
      <c r="E25" s="160">
        <f>E24/D24-1</f>
        <v>0.14750957854406122</v>
      </c>
      <c r="F25" s="160">
        <f>F24/E24-1</f>
        <v>0.12738047313045486</v>
      </c>
      <c r="G25" s="160">
        <f>G24/F24-1</f>
        <v>4.1929163433694461E-2</v>
      </c>
      <c r="H25" s="9"/>
      <c r="J25" s="143"/>
    </row>
    <row r="26" spans="2:15" ht="18" customHeight="1">
      <c r="B26" s="139" t="s">
        <v>236</v>
      </c>
      <c r="C26" s="140">
        <v>791000</v>
      </c>
      <c r="D26" s="141">
        <v>896112</v>
      </c>
      <c r="E26" s="141">
        <v>1038877</v>
      </c>
      <c r="F26" s="141">
        <v>1178086</v>
      </c>
      <c r="G26" s="141">
        <v>1244579</v>
      </c>
      <c r="H26" s="159">
        <f>_xlfn.RRI(4,C26,G26)</f>
        <v>0.11998316935620124</v>
      </c>
      <c r="J26" s="143"/>
    </row>
    <row r="27" spans="2:15" ht="18" customHeight="1">
      <c r="B27" s="144" t="s">
        <v>186</v>
      </c>
      <c r="C27" s="145"/>
      <c r="D27" s="160">
        <f>D26/C26-1</f>
        <v>0.13288495575221249</v>
      </c>
      <c r="E27" s="160">
        <f>E26/D26-1</f>
        <v>0.15931602299712533</v>
      </c>
      <c r="F27" s="160">
        <f>F26/E26-1</f>
        <v>0.13399950138466821</v>
      </c>
      <c r="G27" s="160">
        <f>G26/F26-1</f>
        <v>5.6441550107547256E-2</v>
      </c>
      <c r="H27" s="9"/>
      <c r="J27" s="143"/>
    </row>
    <row r="28" spans="2:15" s="147" customFormat="1" ht="18" customHeight="1">
      <c r="B28" s="146" t="s">
        <v>145</v>
      </c>
      <c r="C28" s="163">
        <f>C24/C23</f>
        <v>9.2147441263463357</v>
      </c>
      <c r="D28" s="164">
        <f>D24/D23</f>
        <v>8.9255685733976566</v>
      </c>
      <c r="E28" s="164">
        <f>E24/E23</f>
        <v>8.5218642174261223</v>
      </c>
      <c r="F28" s="164">
        <f>F24/F23</f>
        <v>8.2535629958042431</v>
      </c>
      <c r="G28" s="164">
        <f>G24/G23</f>
        <v>7.6207690744462262</v>
      </c>
      <c r="H28" s="9"/>
    </row>
    <row r="29" spans="2:15" ht="18" customHeight="1">
      <c r="B29" s="139" t="s">
        <v>146</v>
      </c>
      <c r="C29" s="140">
        <v>373388</v>
      </c>
      <c r="D29" s="141">
        <v>432312</v>
      </c>
      <c r="E29" s="141">
        <v>481353</v>
      </c>
      <c r="F29" s="141">
        <v>543120</v>
      </c>
      <c r="G29" s="141">
        <v>574018</v>
      </c>
      <c r="H29" s="159">
        <f>_xlfn.RRI(4,C29,G29)</f>
        <v>0.11350273653509468</v>
      </c>
    </row>
    <row r="30" spans="2:15">
      <c r="B30" s="149"/>
      <c r="C30" s="150"/>
      <c r="D30" s="160">
        <f>D29/C29-1</f>
        <v>0.15780903510557387</v>
      </c>
      <c r="E30" s="160">
        <f>E29/D29-1</f>
        <v>0.11343890523510791</v>
      </c>
      <c r="F30" s="160">
        <f>F29/E29-1</f>
        <v>0.12831954927049383</v>
      </c>
      <c r="G30" s="160">
        <f>G29/F29-1</f>
        <v>5.6889821770511162E-2</v>
      </c>
      <c r="H30" s="9"/>
    </row>
    <row r="32" spans="2:15" ht="18" customHeight="1">
      <c r="B32" s="224" t="s">
        <v>147</v>
      </c>
      <c r="C32" s="225"/>
      <c r="D32" s="225"/>
      <c r="E32" s="225"/>
      <c r="F32" s="225"/>
      <c r="G32" s="225"/>
      <c r="H32" s="225"/>
      <c r="I32" s="225"/>
      <c r="J32" s="9"/>
      <c r="K32" s="9"/>
      <c r="L32" s="9"/>
      <c r="M32" s="9"/>
      <c r="N32" s="9"/>
      <c r="O32" s="9"/>
    </row>
    <row r="33" spans="2:15" ht="15" customHeight="1">
      <c r="B33" s="123" t="s">
        <v>79</v>
      </c>
      <c r="C33" s="130" t="s">
        <v>148</v>
      </c>
      <c r="D33" s="130" t="s">
        <v>130</v>
      </c>
      <c r="E33" s="130" t="s">
        <v>131</v>
      </c>
      <c r="F33" s="131" t="s">
        <v>132</v>
      </c>
      <c r="G33" s="130" t="s">
        <v>133</v>
      </c>
      <c r="H33" s="130" t="s">
        <v>149</v>
      </c>
      <c r="I33" s="130" t="s">
        <v>150</v>
      </c>
      <c r="J33" s="9"/>
      <c r="K33" s="9"/>
      <c r="L33" s="9"/>
      <c r="M33" s="9"/>
      <c r="N33" s="9"/>
      <c r="O33" s="9"/>
    </row>
    <row r="34" spans="2:15" ht="20.399999999999999" customHeight="1">
      <c r="B34" s="146" t="s">
        <v>230</v>
      </c>
      <c r="C34" s="151">
        <v>7.3899999999999993E-2</v>
      </c>
      <c r="D34" s="151">
        <v>5.6099999999999997E-2</v>
      </c>
      <c r="E34" s="151">
        <v>3.9100000000000003E-2</v>
      </c>
      <c r="F34" s="151">
        <v>3.0200000000000001E-2</v>
      </c>
      <c r="G34" s="151">
        <v>1.9400000000000001E-2</v>
      </c>
      <c r="H34" s="151">
        <v>1.26E-2</v>
      </c>
      <c r="I34" s="165">
        <f t="shared" ref="I34:I40" si="0">AVERAGE(C34:H34)</f>
        <v>3.8550000000000001E-2</v>
      </c>
      <c r="J34" s="9"/>
      <c r="K34" s="9"/>
      <c r="L34" s="9"/>
      <c r="M34" s="9"/>
      <c r="N34" s="9"/>
      <c r="O34" s="9"/>
    </row>
    <row r="35" spans="2:15" ht="20.399999999999999" customHeight="1">
      <c r="B35" s="146" t="s">
        <v>229</v>
      </c>
      <c r="C35" s="151">
        <v>2.0899999999999998E-2</v>
      </c>
      <c r="D35" s="151">
        <v>2.8000000000000001E-2</v>
      </c>
      <c r="E35" s="151">
        <v>1.03E-2</v>
      </c>
      <c r="F35" s="151">
        <v>8.5000000000000006E-3</v>
      </c>
      <c r="G35" s="151">
        <v>3.8E-3</v>
      </c>
      <c r="H35" s="151">
        <v>2.5999999999999999E-3</v>
      </c>
      <c r="I35" s="165">
        <f t="shared" si="0"/>
        <v>1.2350000000000002E-2</v>
      </c>
      <c r="J35" s="9"/>
      <c r="K35" s="9"/>
      <c r="L35" s="9"/>
      <c r="M35" s="9"/>
      <c r="N35" s="9"/>
      <c r="O35" s="9"/>
    </row>
    <row r="36" spans="2:15" ht="20.399999999999999" customHeight="1">
      <c r="B36" s="146" t="s">
        <v>231</v>
      </c>
      <c r="C36" s="151">
        <v>0.1883</v>
      </c>
      <c r="D36" s="151">
        <v>0.2351</v>
      </c>
      <c r="E36" s="151">
        <v>0.24399999999999999</v>
      </c>
      <c r="F36" s="151">
        <v>0.25409999999999999</v>
      </c>
      <c r="G36" s="151">
        <v>0.2208</v>
      </c>
      <c r="H36" s="151">
        <v>0.22</v>
      </c>
      <c r="I36" s="165">
        <f t="shared" si="0"/>
        <v>0.22705</v>
      </c>
      <c r="J36" s="9"/>
      <c r="K36" s="9"/>
      <c r="L36" s="9"/>
      <c r="M36" s="9"/>
      <c r="N36" s="9"/>
      <c r="O36" s="9"/>
    </row>
    <row r="37" spans="2:15" ht="20.399999999999999" customHeight="1">
      <c r="B37" s="146" t="s">
        <v>232</v>
      </c>
      <c r="C37" s="151">
        <v>0.21</v>
      </c>
      <c r="D37" s="151">
        <v>0.21</v>
      </c>
      <c r="E37" s="151">
        <v>0.2</v>
      </c>
      <c r="F37" s="151">
        <v>0.21</v>
      </c>
      <c r="G37" s="151">
        <v>0.21</v>
      </c>
      <c r="H37" s="151">
        <v>0.21</v>
      </c>
      <c r="I37" s="165">
        <f t="shared" si="0"/>
        <v>0.20833333333333334</v>
      </c>
      <c r="J37" s="9"/>
      <c r="K37" s="9"/>
      <c r="L37" s="9"/>
      <c r="M37" s="9"/>
      <c r="N37" s="9"/>
      <c r="O37" s="9"/>
    </row>
    <row r="38" spans="2:15" ht="20.399999999999999" customHeight="1">
      <c r="B38" s="146" t="s">
        <v>233</v>
      </c>
      <c r="C38" s="151">
        <v>2.24E-2</v>
      </c>
      <c r="D38" s="151">
        <v>2.5499999999999998E-2</v>
      </c>
      <c r="E38" s="151">
        <v>2.7699999999999999E-2</v>
      </c>
      <c r="F38" s="151">
        <v>3.0200000000000001E-2</v>
      </c>
      <c r="G38" s="151">
        <v>3.2000000000000001E-2</v>
      </c>
      <c r="H38" s="151">
        <v>3.3500000000000002E-2</v>
      </c>
      <c r="I38" s="165">
        <f t="shared" si="0"/>
        <v>2.8550000000000002E-2</v>
      </c>
      <c r="J38" s="9"/>
      <c r="K38" s="9"/>
      <c r="L38" s="9"/>
      <c r="M38" s="9"/>
      <c r="N38" s="9"/>
      <c r="O38" s="9"/>
    </row>
    <row r="39" spans="2:15" ht="20.399999999999999" customHeight="1">
      <c r="B39" s="146" t="s">
        <v>234</v>
      </c>
      <c r="C39" s="152">
        <v>6.36</v>
      </c>
      <c r="D39" s="152">
        <v>5.52</v>
      </c>
      <c r="E39" s="152">
        <v>5.43</v>
      </c>
      <c r="F39" s="152">
        <v>5.26</v>
      </c>
      <c r="G39" s="152">
        <v>5.23</v>
      </c>
      <c r="H39" s="152">
        <v>4.8499999999999996</v>
      </c>
      <c r="I39" s="166">
        <f t="shared" si="0"/>
        <v>5.4416666666666664</v>
      </c>
      <c r="J39" s="9"/>
      <c r="K39" s="9"/>
      <c r="L39" s="9"/>
      <c r="M39" s="9"/>
      <c r="N39" s="9"/>
      <c r="O39" s="9"/>
    </row>
    <row r="40" spans="2:15" ht="20.399999999999999" customHeight="1">
      <c r="B40" s="146" t="s">
        <v>235</v>
      </c>
      <c r="C40" s="151">
        <v>4.07E-2</v>
      </c>
      <c r="D40" s="151">
        <v>4.2700000000000002E-2</v>
      </c>
      <c r="E40" s="151">
        <v>4.0899999999999999E-2</v>
      </c>
      <c r="F40" s="151">
        <v>4.02E-2</v>
      </c>
      <c r="G40" s="151">
        <v>4.4499999999999998E-2</v>
      </c>
      <c r="H40" s="151">
        <v>4.3999999999999997E-2</v>
      </c>
      <c r="I40" s="165">
        <f t="shared" si="0"/>
        <v>4.2166666666666658E-2</v>
      </c>
      <c r="J40" s="9"/>
      <c r="K40" s="9"/>
      <c r="L40" s="9"/>
      <c r="M40" s="9"/>
      <c r="N40" s="9"/>
      <c r="O40" s="9"/>
    </row>
    <row r="41" spans="2:15">
      <c r="J41" s="9"/>
      <c r="K41" s="9"/>
      <c r="L41" s="9"/>
      <c r="M41" s="9"/>
      <c r="N41" s="9"/>
      <c r="O41" s="9"/>
    </row>
    <row r="42" spans="2:15" s="153" customFormat="1">
      <c r="B42" s="153" t="s">
        <v>249</v>
      </c>
      <c r="C42" s="154">
        <v>0.15</v>
      </c>
      <c r="D42" s="167">
        <f>C42</f>
        <v>0.15</v>
      </c>
      <c r="E42" s="167">
        <f t="shared" ref="E42:H42" si="1">D42</f>
        <v>0.15</v>
      </c>
      <c r="F42" s="167">
        <f t="shared" si="1"/>
        <v>0.15</v>
      </c>
      <c r="G42" s="167">
        <f t="shared" si="1"/>
        <v>0.15</v>
      </c>
      <c r="H42" s="167">
        <f t="shared" si="1"/>
        <v>0.15</v>
      </c>
    </row>
    <row r="43" spans="2:15">
      <c r="J43" s="9"/>
      <c r="K43" s="9"/>
      <c r="L43" s="9"/>
      <c r="M43" s="9"/>
      <c r="N43" s="9"/>
      <c r="O43" s="9"/>
    </row>
    <row r="44" spans="2:15">
      <c r="J44" s="9"/>
      <c r="K44" s="9"/>
      <c r="L44" s="9"/>
      <c r="M44" s="9"/>
      <c r="N44" s="9"/>
      <c r="O44" s="9"/>
    </row>
  </sheetData>
  <sheetProtection algorithmName="SHA-512" hashValue="+rav4wXUgIiLPvNiUioxIfSaWxCthvParDSNYjIDiSrbWwst1fvcg+p1zo37+IAeE/Gs80mEWFfe0ZHrMAf4Qg==" saltValue="oB/YHofimQJHAhtmb7ftrw==" spinCount="100000" sheet="1" objects="1" scenarios="1"/>
  <mergeCells count="4">
    <mergeCell ref="B3:H3"/>
    <mergeCell ref="B32:I32"/>
    <mergeCell ref="B1:I1"/>
    <mergeCell ref="B17:H17"/>
  </mergeCells>
  <pageMargins left="0.75" right="0.75" top="1" bottom="1" header="0.511811023622047" footer="0.511811023622047"/>
  <pageSetup paperSize="9" scale="82" fitToHeight="0" orientation="landscape" r:id="rId1"/>
  <rowBreaks count="1" manualBreakCount="1">
    <brk id="30"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B1:I17"/>
  <sheetViews>
    <sheetView showGridLines="0" zoomScaleNormal="100" workbookViewId="0"/>
  </sheetViews>
  <sheetFormatPr defaultColWidth="8.6640625" defaultRowHeight="14.4"/>
  <cols>
    <col min="1" max="1" width="2.33203125" style="122" customWidth="1"/>
    <col min="2" max="2" width="30" style="122" customWidth="1"/>
    <col min="3" max="3" width="12" style="122" customWidth="1"/>
    <col min="4" max="4" width="14" style="122" customWidth="1"/>
    <col min="5" max="5" width="15.6640625" style="122" customWidth="1"/>
    <col min="6" max="6" width="14" style="122" customWidth="1"/>
    <col min="7" max="7" width="17.21875" style="122" customWidth="1"/>
    <col min="8" max="8" width="18" style="122" customWidth="1"/>
    <col min="9" max="9" width="16" style="122" customWidth="1"/>
    <col min="10" max="16384" width="8.6640625" style="122"/>
  </cols>
  <sheetData>
    <row r="1" spans="2:9" ht="31.8" thickBot="1">
      <c r="B1" s="227" t="s">
        <v>152</v>
      </c>
      <c r="C1" s="227"/>
      <c r="D1" s="227"/>
      <c r="E1" s="227"/>
      <c r="F1" s="227"/>
      <c r="G1" s="227"/>
      <c r="H1" s="227"/>
      <c r="I1" s="227"/>
    </row>
    <row r="2" spans="2:9">
      <c r="B2" s="10"/>
      <c r="C2" s="10"/>
      <c r="D2" s="36"/>
      <c r="E2" s="36"/>
      <c r="F2" s="10"/>
      <c r="G2" s="10"/>
      <c r="H2" s="36"/>
      <c r="I2" s="36"/>
    </row>
    <row r="3" spans="2:9" ht="7.5" customHeight="1"/>
    <row r="4" spans="2:9" ht="31.2">
      <c r="B4" s="168" t="s">
        <v>153</v>
      </c>
      <c r="C4" s="168" t="s">
        <v>154</v>
      </c>
      <c r="D4" s="168" t="s">
        <v>155</v>
      </c>
      <c r="E4" s="168" t="s">
        <v>43</v>
      </c>
      <c r="F4" s="169" t="s">
        <v>237</v>
      </c>
      <c r="G4" s="169" t="s">
        <v>238</v>
      </c>
      <c r="H4" s="169" t="s">
        <v>239</v>
      </c>
      <c r="I4" s="169" t="s">
        <v>240</v>
      </c>
    </row>
    <row r="5" spans="2:9" ht="19.2" customHeight="1">
      <c r="B5" s="170" t="s">
        <v>156</v>
      </c>
      <c r="C5" s="171" t="s">
        <v>157</v>
      </c>
      <c r="D5" s="171">
        <v>2035</v>
      </c>
      <c r="E5" s="172">
        <v>6.4799999999999996E-2</v>
      </c>
      <c r="F5" s="172">
        <v>6.9134000000000001E-2</v>
      </c>
      <c r="G5" s="173" t="s">
        <v>241</v>
      </c>
      <c r="H5" s="174" t="s">
        <v>241</v>
      </c>
      <c r="I5" s="175" t="s">
        <v>151</v>
      </c>
    </row>
    <row r="6" spans="2:9" ht="19.2" customHeight="1">
      <c r="B6" s="176" t="s">
        <v>159</v>
      </c>
      <c r="C6" s="177" t="s">
        <v>160</v>
      </c>
      <c r="D6" s="177" t="s">
        <v>161</v>
      </c>
      <c r="E6" s="186">
        <f>Coupon_Rate</f>
        <v>7.1499999999999994E-2</v>
      </c>
      <c r="F6" s="186">
        <f>Current_YTM</f>
        <v>7.7499999999999999E-2</v>
      </c>
      <c r="G6" s="187">
        <f>(F6-$F$5)*10000</f>
        <v>83.659999999999982</v>
      </c>
      <c r="H6" s="178">
        <v>0</v>
      </c>
      <c r="I6" s="177" t="s">
        <v>110</v>
      </c>
    </row>
    <row r="7" spans="2:9" ht="19.2" customHeight="1">
      <c r="B7" s="170" t="s">
        <v>162</v>
      </c>
      <c r="C7" s="171" t="s">
        <v>160</v>
      </c>
      <c r="D7" s="179" t="s">
        <v>211</v>
      </c>
      <c r="E7" s="171" t="s">
        <v>212</v>
      </c>
      <c r="F7" s="172">
        <v>7.3899999999999993E-2</v>
      </c>
      <c r="G7" s="188">
        <f>(F7-$F$5)*10000</f>
        <v>47.659999999999926</v>
      </c>
      <c r="H7" s="189">
        <f>(F7-F6)*10000</f>
        <v>-36.000000000000057</v>
      </c>
      <c r="I7" s="190" t="str">
        <f>IF(F7&gt;F6,"Wider / Cheaper",IF(F7=F6,"PAR","Tighter / Richer"))</f>
        <v>Tighter / Richer</v>
      </c>
    </row>
    <row r="8" spans="2:9" ht="19.2" customHeight="1">
      <c r="B8" s="180" t="s">
        <v>163</v>
      </c>
      <c r="C8" s="181" t="s">
        <v>160</v>
      </c>
      <c r="D8" s="181" t="s">
        <v>164</v>
      </c>
      <c r="E8" s="182">
        <v>0.05</v>
      </c>
      <c r="F8" s="183">
        <v>5.1299999999999998E-2</v>
      </c>
      <c r="G8" s="188">
        <f>(F8-$F$5)*10000</f>
        <v>-178.34000000000003</v>
      </c>
      <c r="H8" s="191">
        <f>(F8-F6)*10000</f>
        <v>-262</v>
      </c>
      <c r="I8" s="192" t="str">
        <f>IF(F8&gt;F6,"Wider / Cheaper",IF(F8=F6,"PAR","Tighter / Richer"))</f>
        <v>Tighter / Richer</v>
      </c>
    </row>
    <row r="9" spans="2:9" ht="19.2" customHeight="1">
      <c r="B9" s="170" t="s">
        <v>165</v>
      </c>
      <c r="C9" s="171" t="s">
        <v>160</v>
      </c>
      <c r="D9" s="171" t="s">
        <v>214</v>
      </c>
      <c r="E9" s="171" t="s">
        <v>213</v>
      </c>
      <c r="F9" s="172">
        <v>6.3E-2</v>
      </c>
      <c r="G9" s="188">
        <f t="shared" ref="G9" si="0">(F9-$F$5)*10000</f>
        <v>-61.34</v>
      </c>
      <c r="H9" s="189">
        <f>(F9-F6)*10000</f>
        <v>-145</v>
      </c>
      <c r="I9" s="190" t="str">
        <f>IF(F9&gt;F6,"Wider / Cheaper",IF(F9=F6,"PAR","Tighter / Richer"))</f>
        <v>Tighter / Richer</v>
      </c>
    </row>
    <row r="10" spans="2:9" ht="19.2" customHeight="1">
      <c r="B10" s="180" t="s">
        <v>166</v>
      </c>
      <c r="C10" s="181" t="s">
        <v>160</v>
      </c>
      <c r="D10" s="181" t="s">
        <v>167</v>
      </c>
      <c r="E10" s="181" t="s">
        <v>158</v>
      </c>
      <c r="F10" s="183">
        <v>0.08</v>
      </c>
      <c r="G10" s="188">
        <f>(F10-$F$5)*10000</f>
        <v>108.66000000000001</v>
      </c>
      <c r="H10" s="191">
        <f>(F10-F6)*10000</f>
        <v>25.000000000000021</v>
      </c>
      <c r="I10" s="192" t="str">
        <f>IF(F10&gt;F6,"Wider / Cheaper",IF(F10=F6,"PAR","Tighter / Richer"))</f>
        <v>Wider / Cheaper</v>
      </c>
    </row>
    <row r="12" spans="2:9" ht="7.5" customHeight="1"/>
    <row r="13" spans="2:9" ht="18" customHeight="1" thickBot="1">
      <c r="B13" s="184" t="s">
        <v>168</v>
      </c>
      <c r="C13" s="185"/>
      <c r="D13" s="185"/>
      <c r="E13" s="185"/>
      <c r="F13" s="185"/>
      <c r="G13" s="185"/>
      <c r="H13" s="185"/>
      <c r="I13" s="185"/>
    </row>
    <row r="14" spans="2:9" s="9" customFormat="1" ht="4.95" customHeight="1" thickTop="1"/>
    <row r="15" spans="2:9" ht="70.2" customHeight="1">
      <c r="B15" s="228" t="s">
        <v>242</v>
      </c>
      <c r="C15" s="228"/>
      <c r="D15" s="228"/>
      <c r="E15" s="228"/>
      <c r="F15" s="228"/>
      <c r="G15" s="228"/>
      <c r="H15" s="228"/>
      <c r="I15" s="228"/>
    </row>
    <row r="16" spans="2:9" ht="22.8" customHeight="1">
      <c r="B16" s="228"/>
      <c r="C16" s="228"/>
      <c r="D16" s="228"/>
      <c r="E16" s="228"/>
      <c r="F16" s="228"/>
      <c r="G16" s="228"/>
      <c r="H16" s="228"/>
      <c r="I16" s="228"/>
    </row>
    <row r="17" spans="2:9" ht="1.8" customHeight="1">
      <c r="B17" s="228"/>
      <c r="C17" s="228"/>
      <c r="D17" s="228"/>
      <c r="E17" s="228"/>
      <c r="F17" s="228"/>
      <c r="G17" s="228"/>
      <c r="H17" s="228"/>
      <c r="I17" s="228"/>
    </row>
  </sheetData>
  <sheetProtection algorithmName="SHA-512" hashValue="qawfigAFpgxCis/ij57SnuvDZEMCwPmn6SvUORWxzAEKROjZy08b48rkccq4ef4Ls+Jb4YKQnOX8nkx7wZMXjg==" saltValue="a4vUSr15VIWa6OvIo0pimQ==" spinCount="100000" sheet="1" objects="1" scenarios="1"/>
  <mergeCells count="2">
    <mergeCell ref="B15:I17"/>
    <mergeCell ref="B1:I1"/>
  </mergeCells>
  <conditionalFormatting sqref="G5:H10">
    <cfRule type="cellIs" dxfId="0" priority="1" operator="lessThan">
      <formula>0</formula>
    </cfRule>
  </conditionalFormatting>
  <pageMargins left="0.75" right="0.75" top="1" bottom="1" header="0.511811023622047" footer="0.511811023622047"/>
  <pageSetup paperSize="9" scale="9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FF0000"/>
    <pageSetUpPr fitToPage="1"/>
  </sheetPr>
  <dimension ref="B1:N17"/>
  <sheetViews>
    <sheetView showGridLines="0" zoomScale="86" zoomScaleNormal="86" workbookViewId="0"/>
  </sheetViews>
  <sheetFormatPr defaultColWidth="8.6640625" defaultRowHeight="14.4"/>
  <cols>
    <col min="1" max="1" width="2.33203125" style="9" customWidth="1"/>
    <col min="2" max="2" width="41.5546875" style="9" bestFit="1" customWidth="1"/>
    <col min="3" max="3" width="16.109375" style="9" customWidth="1"/>
    <col min="4" max="4" width="15" style="9" customWidth="1"/>
    <col min="5" max="5" width="16.44140625" style="9" customWidth="1"/>
    <col min="6" max="14" width="14" style="9" customWidth="1"/>
    <col min="15" max="16384" width="8.6640625" style="9"/>
  </cols>
  <sheetData>
    <row r="1" spans="2:14" ht="39" customHeight="1" thickBot="1">
      <c r="B1" s="223" t="s">
        <v>169</v>
      </c>
      <c r="C1" s="223"/>
      <c r="D1" s="223"/>
      <c r="E1" s="223"/>
      <c r="F1" s="223"/>
      <c r="G1" s="223"/>
      <c r="H1" s="223"/>
      <c r="I1" s="223"/>
      <c r="J1" s="223"/>
      <c r="K1" s="223"/>
      <c r="L1" s="223"/>
      <c r="M1" s="223"/>
      <c r="N1" s="223"/>
    </row>
    <row r="2" spans="2:14">
      <c r="B2" s="10"/>
      <c r="C2" s="10"/>
      <c r="D2" s="36"/>
      <c r="E2" s="36"/>
      <c r="F2" s="10"/>
      <c r="G2" s="10"/>
      <c r="H2" s="36"/>
      <c r="I2" s="36"/>
      <c r="J2" s="10"/>
      <c r="K2" s="10"/>
      <c r="L2" s="36"/>
      <c r="M2" s="36"/>
      <c r="N2" s="10"/>
    </row>
    <row r="3" spans="2:14" ht="36">
      <c r="B3" s="193" t="s">
        <v>170</v>
      </c>
      <c r="C3" s="193" t="s">
        <v>171</v>
      </c>
      <c r="D3" s="194" t="s">
        <v>246</v>
      </c>
      <c r="E3" s="194" t="s">
        <v>247</v>
      </c>
      <c r="F3" s="234" t="s">
        <v>172</v>
      </c>
      <c r="G3" s="235"/>
      <c r="H3" s="235"/>
      <c r="I3" s="235"/>
      <c r="J3" s="236"/>
      <c r="K3" s="234" t="s">
        <v>243</v>
      </c>
      <c r="L3" s="235"/>
      <c r="M3" s="235"/>
      <c r="N3" s="236"/>
    </row>
    <row r="4" spans="2:14" ht="69.599999999999994" customHeight="1">
      <c r="B4" s="207" t="s">
        <v>173</v>
      </c>
      <c r="C4" s="195" t="s">
        <v>174</v>
      </c>
      <c r="D4" s="195">
        <v>1</v>
      </c>
      <c r="E4" s="196">
        <v>0.1</v>
      </c>
      <c r="F4" s="232" t="s">
        <v>193</v>
      </c>
      <c r="G4" s="232"/>
      <c r="H4" s="232"/>
      <c r="I4" s="232"/>
      <c r="J4" s="232"/>
      <c r="K4" s="233" t="s">
        <v>194</v>
      </c>
      <c r="L4" s="233"/>
      <c r="M4" s="233"/>
      <c r="N4" s="233"/>
    </row>
    <row r="5" spans="2:14" ht="65.400000000000006" customHeight="1">
      <c r="B5" s="207" t="s">
        <v>175</v>
      </c>
      <c r="C5" s="197" t="s">
        <v>176</v>
      </c>
      <c r="D5" s="197">
        <v>4</v>
      </c>
      <c r="E5" s="198">
        <v>0.2</v>
      </c>
      <c r="F5" s="232" t="s">
        <v>195</v>
      </c>
      <c r="G5" s="232"/>
      <c r="H5" s="232"/>
      <c r="I5" s="232"/>
      <c r="J5" s="232"/>
      <c r="K5" s="233" t="s">
        <v>196</v>
      </c>
      <c r="L5" s="233"/>
      <c r="M5" s="233"/>
      <c r="N5" s="233"/>
    </row>
    <row r="6" spans="2:14" ht="64.8" customHeight="1">
      <c r="B6" s="207" t="s">
        <v>177</v>
      </c>
      <c r="C6" s="199" t="s">
        <v>178</v>
      </c>
      <c r="D6" s="199">
        <v>3</v>
      </c>
      <c r="E6" s="200">
        <v>0.1</v>
      </c>
      <c r="F6" s="232" t="s">
        <v>197</v>
      </c>
      <c r="G6" s="232"/>
      <c r="H6" s="232"/>
      <c r="I6" s="232"/>
      <c r="J6" s="232"/>
      <c r="K6" s="233" t="s">
        <v>198</v>
      </c>
      <c r="L6" s="233"/>
      <c r="M6" s="233"/>
      <c r="N6" s="233"/>
    </row>
    <row r="7" spans="2:14" ht="61.2" customHeight="1">
      <c r="B7" s="207" t="s">
        <v>179</v>
      </c>
      <c r="C7" s="201" t="s">
        <v>180</v>
      </c>
      <c r="D7" s="201">
        <v>2</v>
      </c>
      <c r="E7" s="202">
        <v>0.05</v>
      </c>
      <c r="F7" s="232" t="s">
        <v>199</v>
      </c>
      <c r="G7" s="232"/>
      <c r="H7" s="232"/>
      <c r="I7" s="232"/>
      <c r="J7" s="232"/>
      <c r="K7" s="233" t="s">
        <v>200</v>
      </c>
      <c r="L7" s="233"/>
      <c r="M7" s="233"/>
      <c r="N7" s="233"/>
    </row>
    <row r="8" spans="2:14" ht="44.4" customHeight="1">
      <c r="B8" s="207" t="s">
        <v>181</v>
      </c>
      <c r="C8" s="201" t="s">
        <v>180</v>
      </c>
      <c r="D8" s="201">
        <v>2</v>
      </c>
      <c r="E8" s="202">
        <v>0.05</v>
      </c>
      <c r="F8" s="232" t="s">
        <v>201</v>
      </c>
      <c r="G8" s="232"/>
      <c r="H8" s="232"/>
      <c r="I8" s="232"/>
      <c r="J8" s="232"/>
      <c r="K8" s="233" t="s">
        <v>202</v>
      </c>
      <c r="L8" s="233"/>
      <c r="M8" s="233"/>
      <c r="N8" s="233"/>
    </row>
    <row r="9" spans="2:14" ht="78" customHeight="1">
      <c r="B9" s="207" t="s">
        <v>182</v>
      </c>
      <c r="C9" s="199" t="s">
        <v>178</v>
      </c>
      <c r="D9" s="199">
        <v>3</v>
      </c>
      <c r="E9" s="200">
        <v>0.15</v>
      </c>
      <c r="F9" s="232" t="s">
        <v>203</v>
      </c>
      <c r="G9" s="232"/>
      <c r="H9" s="232"/>
      <c r="I9" s="232"/>
      <c r="J9" s="232"/>
      <c r="K9" s="233" t="s">
        <v>204</v>
      </c>
      <c r="L9" s="233"/>
      <c r="M9" s="233"/>
      <c r="N9" s="233"/>
    </row>
    <row r="10" spans="2:14" ht="69.599999999999994" customHeight="1">
      <c r="B10" s="207" t="s">
        <v>183</v>
      </c>
      <c r="C10" s="199" t="s">
        <v>178</v>
      </c>
      <c r="D10" s="199">
        <v>3</v>
      </c>
      <c r="E10" s="200">
        <v>0.2</v>
      </c>
      <c r="F10" s="232" t="s">
        <v>206</v>
      </c>
      <c r="G10" s="232"/>
      <c r="H10" s="232"/>
      <c r="I10" s="232"/>
      <c r="J10" s="232"/>
      <c r="K10" s="233" t="s">
        <v>205</v>
      </c>
      <c r="L10" s="233"/>
      <c r="M10" s="233"/>
      <c r="N10" s="233"/>
    </row>
    <row r="11" spans="2:14" ht="69" customHeight="1">
      <c r="B11" s="207" t="s">
        <v>184</v>
      </c>
      <c r="C11" s="201" t="s">
        <v>180</v>
      </c>
      <c r="D11" s="201">
        <v>2</v>
      </c>
      <c r="E11" s="202">
        <v>0.05</v>
      </c>
      <c r="F11" s="232" t="s">
        <v>207</v>
      </c>
      <c r="G11" s="232"/>
      <c r="H11" s="232"/>
      <c r="I11" s="232"/>
      <c r="J11" s="232"/>
      <c r="K11" s="233" t="s">
        <v>208</v>
      </c>
      <c r="L11" s="233"/>
      <c r="M11" s="233"/>
      <c r="N11" s="233"/>
    </row>
    <row r="12" spans="2:14" ht="64.2" customHeight="1">
      <c r="B12" s="207" t="s">
        <v>185</v>
      </c>
      <c r="C12" s="199" t="s">
        <v>178</v>
      </c>
      <c r="D12" s="199">
        <v>3</v>
      </c>
      <c r="E12" s="200">
        <v>0.1</v>
      </c>
      <c r="F12" s="232" t="s">
        <v>209</v>
      </c>
      <c r="G12" s="232"/>
      <c r="H12" s="232"/>
      <c r="I12" s="232"/>
      <c r="J12" s="232"/>
      <c r="K12" s="233" t="s">
        <v>210</v>
      </c>
      <c r="L12" s="233"/>
      <c r="M12" s="233"/>
      <c r="N12" s="233"/>
    </row>
    <row r="13" spans="2:14">
      <c r="E13" s="203"/>
    </row>
    <row r="14" spans="2:14" ht="7.5" customHeight="1"/>
    <row r="15" spans="2:14" ht="18">
      <c r="B15" s="229" t="s">
        <v>244</v>
      </c>
      <c r="C15" s="230"/>
    </row>
    <row r="16" spans="2:14" ht="21">
      <c r="B16" s="204" t="s">
        <v>245</v>
      </c>
      <c r="C16" s="206">
        <f>SUMPRODUCT(D4:D12,E4:E12)</f>
        <v>2.8500000000000005</v>
      </c>
      <c r="D16" s="231" t="str">
        <f>IF(C16&lt;2,"LOW RISK",IF(C16&lt;3,"LOW-MODERATE RISK",IF(C16&lt;3.5,"MODERATE RISK",IF(C16&lt;4.25,"MODERATE-HIGH RISK","HIGH RISK"))))</f>
        <v>LOW-MODERATE RISK</v>
      </c>
      <c r="E16" s="231"/>
      <c r="F16" s="231"/>
      <c r="G16" s="231"/>
      <c r="H16" s="231"/>
    </row>
    <row r="17" spans="2:2" ht="21" customHeight="1">
      <c r="B17" s="205" t="s">
        <v>248</v>
      </c>
    </row>
  </sheetData>
  <sheetProtection algorithmName="SHA-512" hashValue="ix7yyiYneCZotPLawdf52uoaScw6NK1uValQ+pk8vg8eNUQJmN2n/g2jxSK7QHOvQ8LJuuXdAww5KqWT1YOYCw==" saltValue="JldIE5ZVZnisVio/fD9sNg==" spinCount="100000" sheet="1" objects="1" scenarios="1"/>
  <mergeCells count="23">
    <mergeCell ref="F3:J3"/>
    <mergeCell ref="K3:N3"/>
    <mergeCell ref="F4:J4"/>
    <mergeCell ref="K4:N4"/>
    <mergeCell ref="B1:N1"/>
    <mergeCell ref="F5:J5"/>
    <mergeCell ref="K5:N5"/>
    <mergeCell ref="F6:J6"/>
    <mergeCell ref="K6:N6"/>
    <mergeCell ref="F7:J7"/>
    <mergeCell ref="K7:N7"/>
    <mergeCell ref="F8:J8"/>
    <mergeCell ref="K8:N8"/>
    <mergeCell ref="F9:J9"/>
    <mergeCell ref="K9:N9"/>
    <mergeCell ref="F10:J10"/>
    <mergeCell ref="K10:N10"/>
    <mergeCell ref="B15:C15"/>
    <mergeCell ref="D16:H16"/>
    <mergeCell ref="F11:J11"/>
    <mergeCell ref="K11:N11"/>
    <mergeCell ref="F12:J12"/>
    <mergeCell ref="K12:N12"/>
  </mergeCells>
  <pageMargins left="0.75" right="0.75" top="1" bottom="0.85" header="0.511811023622047" footer="0.511811023622047"/>
  <pageSetup paperSize="9" scale="59"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9D93-AB0F-4240-B149-8780A8639F3E}">
  <sheetPr codeName="Sheet11">
    <tabColor theme="0"/>
    <pageSetUpPr fitToPage="1"/>
  </sheetPr>
  <dimension ref="A1:R42"/>
  <sheetViews>
    <sheetView showGridLines="0" zoomScale="81" zoomScaleNormal="111" workbookViewId="0"/>
  </sheetViews>
  <sheetFormatPr defaultRowHeight="14.4"/>
  <cols>
    <col min="1" max="1" width="4.33203125" style="9" customWidth="1"/>
    <col min="2" max="16384" width="8.88671875" style="9"/>
  </cols>
  <sheetData>
    <row r="1" spans="1:18" ht="31.8" thickBot="1">
      <c r="A1"/>
      <c r="B1" s="238" t="s">
        <v>253</v>
      </c>
      <c r="C1" s="238"/>
      <c r="D1" s="238"/>
      <c r="E1" s="238"/>
      <c r="F1" s="238"/>
      <c r="G1" s="238"/>
      <c r="H1" s="238"/>
      <c r="I1" s="238"/>
      <c r="J1" s="238"/>
      <c r="K1" s="238"/>
      <c r="L1" s="238"/>
      <c r="M1" s="238"/>
      <c r="N1" s="238"/>
      <c r="O1" s="238"/>
      <c r="P1" s="238"/>
      <c r="Q1" s="238"/>
      <c r="R1" s="238"/>
    </row>
    <row r="2" spans="1:18">
      <c r="A2"/>
      <c r="B2" s="74"/>
      <c r="C2" s="74"/>
      <c r="D2" s="73"/>
      <c r="E2" s="73"/>
      <c r="F2" s="74"/>
      <c r="G2" s="74"/>
      <c r="H2" s="73"/>
      <c r="I2" s="73"/>
      <c r="J2" s="74"/>
      <c r="K2" s="74"/>
      <c r="L2" s="73"/>
      <c r="M2" s="73"/>
      <c r="N2" s="74"/>
      <c r="O2" s="74"/>
      <c r="P2" s="74"/>
      <c r="Q2" s="73"/>
      <c r="R2" s="73"/>
    </row>
    <row r="3" spans="1:18" ht="21">
      <c r="A3"/>
      <c r="B3" s="237" t="s">
        <v>250</v>
      </c>
      <c r="C3" s="237"/>
      <c r="D3" s="237"/>
      <c r="E3" s="237"/>
      <c r="F3" s="237"/>
      <c r="G3" s="237"/>
      <c r="H3" s="237"/>
      <c r="I3" s="237"/>
      <c r="J3"/>
      <c r="K3" s="237" t="s">
        <v>251</v>
      </c>
      <c r="L3" s="237"/>
      <c r="M3" s="237"/>
      <c r="N3" s="237"/>
      <c r="O3" s="237"/>
      <c r="P3" s="237"/>
      <c r="Q3" s="237"/>
      <c r="R3" s="237"/>
    </row>
    <row r="4" spans="1:18">
      <c r="A4"/>
      <c r="B4"/>
      <c r="C4"/>
      <c r="D4"/>
      <c r="E4"/>
      <c r="F4"/>
      <c r="G4"/>
      <c r="H4"/>
      <c r="I4"/>
      <c r="J4"/>
      <c r="K4"/>
      <c r="L4"/>
      <c r="M4"/>
      <c r="N4"/>
      <c r="O4"/>
      <c r="P4"/>
      <c r="Q4"/>
      <c r="R4"/>
    </row>
    <row r="5" spans="1:18">
      <c r="A5"/>
      <c r="B5"/>
      <c r="C5"/>
      <c r="D5"/>
      <c r="E5"/>
      <c r="F5"/>
      <c r="G5"/>
      <c r="H5"/>
      <c r="I5"/>
      <c r="J5"/>
      <c r="K5"/>
      <c r="L5"/>
      <c r="M5"/>
      <c r="N5"/>
      <c r="O5"/>
      <c r="P5"/>
      <c r="Q5"/>
      <c r="R5"/>
    </row>
    <row r="6" spans="1:18">
      <c r="A6"/>
      <c r="B6"/>
      <c r="C6"/>
      <c r="D6"/>
      <c r="E6"/>
      <c r="F6"/>
      <c r="G6"/>
      <c r="H6"/>
      <c r="I6"/>
      <c r="J6"/>
      <c r="K6"/>
      <c r="L6"/>
      <c r="M6"/>
      <c r="N6"/>
      <c r="O6"/>
      <c r="P6"/>
      <c r="Q6"/>
      <c r="R6"/>
    </row>
    <row r="7" spans="1:18">
      <c r="A7"/>
      <c r="B7"/>
      <c r="C7"/>
      <c r="D7"/>
      <c r="E7"/>
      <c r="F7"/>
      <c r="G7"/>
      <c r="H7"/>
      <c r="I7"/>
      <c r="J7"/>
      <c r="K7"/>
      <c r="L7"/>
      <c r="M7"/>
      <c r="N7"/>
      <c r="O7"/>
      <c r="P7"/>
      <c r="Q7"/>
      <c r="R7"/>
    </row>
    <row r="8" spans="1:18">
      <c r="A8"/>
      <c r="B8"/>
      <c r="C8"/>
      <c r="D8"/>
      <c r="E8"/>
      <c r="F8"/>
      <c r="G8"/>
      <c r="H8"/>
      <c r="I8"/>
      <c r="J8"/>
      <c r="K8"/>
      <c r="L8"/>
      <c r="M8"/>
      <c r="N8"/>
      <c r="O8"/>
      <c r="P8"/>
      <c r="Q8"/>
      <c r="R8"/>
    </row>
    <row r="9" spans="1:18">
      <c r="A9"/>
      <c r="B9"/>
      <c r="C9"/>
      <c r="D9"/>
      <c r="E9"/>
      <c r="F9"/>
      <c r="G9"/>
      <c r="H9"/>
      <c r="I9"/>
      <c r="J9"/>
      <c r="K9"/>
      <c r="L9"/>
      <c r="M9"/>
      <c r="N9"/>
      <c r="O9"/>
      <c r="P9"/>
      <c r="Q9"/>
      <c r="R9"/>
    </row>
    <row r="10" spans="1:18">
      <c r="A10"/>
      <c r="B10"/>
      <c r="C10"/>
      <c r="D10"/>
      <c r="E10"/>
      <c r="F10"/>
      <c r="G10"/>
      <c r="H10"/>
      <c r="I10"/>
      <c r="J10"/>
      <c r="K10"/>
      <c r="L10"/>
      <c r="M10"/>
      <c r="N10"/>
      <c r="O10"/>
      <c r="P10"/>
      <c r="Q10"/>
      <c r="R10"/>
    </row>
    <row r="11" spans="1:18">
      <c r="A11"/>
      <c r="B11"/>
      <c r="C11"/>
      <c r="D11"/>
      <c r="E11"/>
      <c r="F11"/>
      <c r="G11"/>
      <c r="H11"/>
      <c r="I11"/>
      <c r="J11"/>
      <c r="K11"/>
      <c r="L11"/>
      <c r="M11"/>
      <c r="N11"/>
      <c r="O11"/>
      <c r="P11"/>
      <c r="Q11"/>
      <c r="R11"/>
    </row>
    <row r="12" spans="1:18">
      <c r="A12"/>
      <c r="B12"/>
      <c r="C12"/>
      <c r="D12"/>
      <c r="E12"/>
      <c r="F12"/>
      <c r="G12"/>
      <c r="H12"/>
      <c r="I12"/>
      <c r="J12"/>
      <c r="K12"/>
      <c r="L12"/>
      <c r="M12"/>
      <c r="N12"/>
      <c r="O12"/>
      <c r="P12"/>
      <c r="Q12"/>
      <c r="R12"/>
    </row>
    <row r="13" spans="1:18">
      <c r="A13"/>
      <c r="B13"/>
      <c r="C13"/>
      <c r="D13"/>
      <c r="E13"/>
      <c r="F13"/>
      <c r="G13"/>
      <c r="H13"/>
      <c r="I13"/>
      <c r="J13"/>
      <c r="K13"/>
      <c r="L13"/>
      <c r="M13"/>
      <c r="N13"/>
      <c r="O13"/>
      <c r="P13"/>
      <c r="Q13"/>
      <c r="R13"/>
    </row>
    <row r="14" spans="1:18">
      <c r="A14"/>
      <c r="B14"/>
      <c r="C14"/>
      <c r="D14"/>
      <c r="E14"/>
      <c r="F14"/>
      <c r="G14"/>
      <c r="H14"/>
      <c r="I14"/>
      <c r="J14"/>
      <c r="K14"/>
      <c r="L14"/>
      <c r="M14"/>
      <c r="N14"/>
      <c r="O14"/>
      <c r="P14"/>
      <c r="Q14"/>
      <c r="R14"/>
    </row>
    <row r="15" spans="1:18">
      <c r="A15"/>
      <c r="B15"/>
      <c r="C15"/>
      <c r="D15"/>
      <c r="E15"/>
      <c r="F15"/>
      <c r="G15"/>
      <c r="H15"/>
      <c r="I15"/>
      <c r="J15"/>
      <c r="K15"/>
      <c r="L15"/>
      <c r="M15"/>
      <c r="N15"/>
      <c r="O15"/>
      <c r="P15"/>
      <c r="Q15"/>
      <c r="R15"/>
    </row>
    <row r="16" spans="1:18">
      <c r="A16"/>
      <c r="B16"/>
      <c r="C16"/>
      <c r="D16"/>
      <c r="E16"/>
      <c r="F16"/>
      <c r="G16"/>
      <c r="H16"/>
      <c r="I16"/>
      <c r="J16"/>
      <c r="K16"/>
      <c r="L16"/>
      <c r="M16"/>
      <c r="N16"/>
      <c r="O16"/>
      <c r="P16"/>
      <c r="Q16"/>
      <c r="R16"/>
    </row>
    <row r="17" spans="1:18">
      <c r="A17"/>
      <c r="B17"/>
      <c r="C17"/>
      <c r="D17"/>
      <c r="E17"/>
      <c r="F17"/>
      <c r="G17"/>
      <c r="H17"/>
      <c r="I17"/>
      <c r="J17"/>
      <c r="K17"/>
      <c r="L17"/>
      <c r="M17"/>
      <c r="N17"/>
      <c r="O17"/>
      <c r="P17"/>
      <c r="Q17"/>
      <c r="R17"/>
    </row>
    <row r="18" spans="1:18">
      <c r="A18"/>
      <c r="B18"/>
      <c r="C18"/>
      <c r="D18"/>
      <c r="E18"/>
      <c r="F18"/>
      <c r="G18"/>
      <c r="H18"/>
      <c r="I18"/>
      <c r="J18"/>
      <c r="K18"/>
      <c r="L18"/>
      <c r="M18"/>
      <c r="N18"/>
      <c r="O18"/>
      <c r="P18"/>
      <c r="Q18"/>
      <c r="R18"/>
    </row>
    <row r="19" spans="1:18" ht="2.4" customHeight="1">
      <c r="A19"/>
      <c r="B19"/>
      <c r="C19"/>
      <c r="D19"/>
      <c r="E19"/>
      <c r="F19"/>
      <c r="G19"/>
      <c r="H19"/>
      <c r="I19"/>
      <c r="J19"/>
      <c r="K19"/>
      <c r="L19"/>
      <c r="M19"/>
      <c r="N19"/>
      <c r="O19"/>
      <c r="P19"/>
      <c r="Q19"/>
      <c r="R19"/>
    </row>
    <row r="20" spans="1:18">
      <c r="A20"/>
      <c r="B20"/>
      <c r="C20"/>
      <c r="D20"/>
      <c r="E20"/>
      <c r="F20"/>
      <c r="G20"/>
      <c r="H20"/>
      <c r="I20"/>
      <c r="J20"/>
      <c r="K20"/>
      <c r="L20"/>
      <c r="M20"/>
      <c r="N20"/>
      <c r="O20"/>
      <c r="P20"/>
      <c r="Q20"/>
      <c r="R20"/>
    </row>
    <row r="21" spans="1:18" ht="21">
      <c r="A21"/>
      <c r="B21" s="237" t="s">
        <v>252</v>
      </c>
      <c r="C21" s="237"/>
      <c r="D21" s="237"/>
      <c r="E21" s="237"/>
      <c r="F21" s="237"/>
      <c r="G21" s="237"/>
      <c r="H21" s="237"/>
      <c r="I21" s="237"/>
      <c r="J21"/>
      <c r="K21" s="237" t="s">
        <v>252</v>
      </c>
      <c r="L21" s="237"/>
      <c r="M21" s="237"/>
      <c r="N21" s="237"/>
      <c r="O21" s="237"/>
      <c r="P21" s="237"/>
      <c r="Q21" s="237"/>
      <c r="R21" s="237"/>
    </row>
    <row r="22" spans="1:18">
      <c r="A22"/>
      <c r="B22"/>
      <c r="C22"/>
      <c r="D22"/>
      <c r="E22"/>
      <c r="F22"/>
      <c r="G22"/>
      <c r="H22"/>
      <c r="I22"/>
      <c r="J22"/>
      <c r="K22"/>
      <c r="L22"/>
      <c r="M22"/>
      <c r="N22"/>
      <c r="O22"/>
      <c r="P22"/>
      <c r="Q22"/>
      <c r="R22"/>
    </row>
    <row r="23" spans="1:18">
      <c r="A23"/>
      <c r="B23"/>
      <c r="C23"/>
      <c r="D23"/>
      <c r="E23"/>
      <c r="F23"/>
      <c r="G23"/>
      <c r="H23"/>
      <c r="I23"/>
      <c r="J23"/>
      <c r="K23"/>
      <c r="L23"/>
      <c r="M23"/>
      <c r="N23"/>
      <c r="O23"/>
      <c r="P23"/>
      <c r="Q23"/>
      <c r="R23"/>
    </row>
    <row r="24" spans="1:18">
      <c r="A24"/>
      <c r="B24"/>
      <c r="C24"/>
      <c r="D24"/>
      <c r="E24"/>
      <c r="F24"/>
      <c r="G24"/>
      <c r="H24"/>
      <c r="I24"/>
      <c r="J24"/>
      <c r="K24"/>
      <c r="L24"/>
      <c r="M24"/>
      <c r="N24"/>
      <c r="O24"/>
      <c r="P24"/>
      <c r="Q24"/>
      <c r="R24"/>
    </row>
    <row r="25" spans="1:18">
      <c r="A25"/>
      <c r="B25"/>
      <c r="C25"/>
      <c r="D25"/>
      <c r="E25"/>
      <c r="F25"/>
      <c r="G25"/>
      <c r="H25"/>
      <c r="I25"/>
      <c r="J25"/>
      <c r="K25"/>
      <c r="L25"/>
      <c r="M25"/>
      <c r="N25"/>
      <c r="O25"/>
      <c r="P25"/>
      <c r="Q25"/>
      <c r="R25"/>
    </row>
    <row r="26" spans="1:18">
      <c r="A26"/>
      <c r="B26"/>
      <c r="C26"/>
      <c r="D26"/>
      <c r="E26"/>
      <c r="F26"/>
      <c r="G26"/>
      <c r="H26"/>
      <c r="I26"/>
      <c r="J26"/>
      <c r="K26"/>
      <c r="L26"/>
      <c r="M26"/>
      <c r="N26"/>
      <c r="O26"/>
      <c r="P26"/>
      <c r="Q26"/>
      <c r="R26"/>
    </row>
    <row r="27" spans="1:18">
      <c r="A27"/>
      <c r="B27"/>
      <c r="C27"/>
      <c r="D27"/>
      <c r="E27"/>
      <c r="F27"/>
      <c r="G27"/>
      <c r="H27"/>
      <c r="I27"/>
      <c r="J27"/>
      <c r="K27"/>
      <c r="L27"/>
      <c r="M27"/>
      <c r="N27"/>
      <c r="O27"/>
      <c r="P27"/>
      <c r="Q27"/>
      <c r="R27"/>
    </row>
    <row r="28" spans="1:18">
      <c r="A28"/>
      <c r="B28"/>
      <c r="C28"/>
      <c r="D28"/>
      <c r="E28"/>
      <c r="F28"/>
      <c r="G28"/>
      <c r="H28"/>
      <c r="I28"/>
      <c r="J28"/>
      <c r="K28"/>
      <c r="L28"/>
      <c r="M28"/>
      <c r="N28"/>
      <c r="O28"/>
      <c r="P28"/>
      <c r="Q28"/>
      <c r="R28"/>
    </row>
    <row r="29" spans="1:18">
      <c r="A29"/>
      <c r="B29"/>
      <c r="C29"/>
      <c r="D29"/>
      <c r="E29"/>
      <c r="F29"/>
      <c r="G29"/>
      <c r="H29"/>
      <c r="I29"/>
      <c r="J29"/>
      <c r="K29"/>
      <c r="L29"/>
      <c r="M29"/>
      <c r="N29"/>
      <c r="O29"/>
      <c r="P29"/>
      <c r="Q29"/>
      <c r="R29"/>
    </row>
    <row r="30" spans="1:18">
      <c r="A30"/>
      <c r="B30"/>
      <c r="C30"/>
      <c r="D30"/>
      <c r="E30"/>
      <c r="F30"/>
      <c r="G30"/>
      <c r="H30"/>
      <c r="I30"/>
      <c r="J30"/>
      <c r="K30"/>
      <c r="L30"/>
      <c r="M30"/>
      <c r="N30"/>
      <c r="O30"/>
      <c r="P30"/>
      <c r="Q30"/>
      <c r="R30"/>
    </row>
    <row r="31" spans="1:18">
      <c r="A31"/>
      <c r="B31"/>
      <c r="C31"/>
      <c r="D31"/>
      <c r="E31"/>
      <c r="F31"/>
      <c r="G31"/>
      <c r="H31"/>
      <c r="I31"/>
      <c r="J31"/>
      <c r="K31"/>
      <c r="L31"/>
      <c r="M31"/>
      <c r="N31"/>
      <c r="O31"/>
      <c r="P31"/>
      <c r="Q31"/>
      <c r="R31"/>
    </row>
    <row r="32" spans="1:18">
      <c r="A32"/>
      <c r="B32"/>
      <c r="C32"/>
      <c r="D32"/>
      <c r="E32"/>
      <c r="F32"/>
      <c r="G32"/>
      <c r="H32"/>
      <c r="I32"/>
      <c r="J32"/>
      <c r="K32"/>
      <c r="L32"/>
      <c r="M32"/>
      <c r="N32"/>
      <c r="O32"/>
      <c r="P32"/>
      <c r="Q32"/>
      <c r="R32"/>
    </row>
    <row r="33" spans="1:18">
      <c r="A33"/>
      <c r="B33"/>
      <c r="C33"/>
      <c r="D33"/>
      <c r="E33"/>
      <c r="F33"/>
      <c r="G33"/>
      <c r="H33"/>
      <c r="I33"/>
      <c r="J33"/>
      <c r="K33"/>
      <c r="L33"/>
      <c r="M33"/>
      <c r="N33"/>
      <c r="O33"/>
      <c r="P33"/>
      <c r="Q33"/>
      <c r="R33"/>
    </row>
    <row r="34" spans="1:18">
      <c r="A34"/>
      <c r="B34"/>
      <c r="C34"/>
      <c r="D34"/>
      <c r="E34"/>
      <c r="F34"/>
      <c r="G34"/>
      <c r="H34"/>
      <c r="I34"/>
      <c r="J34"/>
      <c r="K34"/>
      <c r="L34"/>
      <c r="M34"/>
      <c r="N34"/>
      <c r="O34"/>
      <c r="P34"/>
      <c r="Q34"/>
      <c r="R34"/>
    </row>
    <row r="35" spans="1:18">
      <c r="A35"/>
      <c r="B35"/>
      <c r="C35"/>
      <c r="D35"/>
      <c r="E35"/>
      <c r="F35"/>
      <c r="G35"/>
      <c r="H35"/>
      <c r="I35"/>
      <c r="J35"/>
      <c r="K35"/>
      <c r="L35"/>
      <c r="M35"/>
      <c r="N35"/>
      <c r="O35"/>
      <c r="P35"/>
      <c r="Q35"/>
      <c r="R35"/>
    </row>
    <row r="36" spans="1:18">
      <c r="A36"/>
      <c r="B36"/>
      <c r="C36"/>
      <c r="D36"/>
      <c r="E36"/>
      <c r="F36"/>
      <c r="G36"/>
      <c r="H36"/>
      <c r="I36"/>
      <c r="J36"/>
      <c r="K36"/>
      <c r="L36"/>
      <c r="M36"/>
      <c r="N36"/>
      <c r="O36"/>
      <c r="P36"/>
      <c r="Q36"/>
      <c r="R36"/>
    </row>
    <row r="37" spans="1:18">
      <c r="A37"/>
      <c r="B37"/>
      <c r="C37"/>
      <c r="D37"/>
      <c r="E37"/>
      <c r="F37"/>
      <c r="G37"/>
      <c r="H37"/>
      <c r="I37"/>
      <c r="J37"/>
      <c r="K37"/>
      <c r="L37"/>
      <c r="M37"/>
      <c r="N37"/>
      <c r="O37"/>
      <c r="P37"/>
      <c r="Q37"/>
      <c r="R37"/>
    </row>
    <row r="38" spans="1:18">
      <c r="A38"/>
      <c r="B38"/>
      <c r="C38"/>
      <c r="D38"/>
      <c r="E38"/>
      <c r="F38"/>
      <c r="G38"/>
      <c r="H38"/>
      <c r="I38"/>
      <c r="J38"/>
      <c r="K38"/>
      <c r="L38"/>
      <c r="M38"/>
      <c r="N38"/>
      <c r="O38"/>
      <c r="P38"/>
      <c r="Q38"/>
      <c r="R38"/>
    </row>
    <row r="39" spans="1:18">
      <c r="A39"/>
      <c r="B39"/>
      <c r="C39"/>
      <c r="D39"/>
      <c r="E39"/>
      <c r="F39"/>
      <c r="G39"/>
      <c r="H39"/>
      <c r="I39"/>
      <c r="J39"/>
      <c r="K39"/>
      <c r="L39"/>
      <c r="M39"/>
      <c r="N39"/>
      <c r="O39"/>
      <c r="P39"/>
      <c r="Q39"/>
      <c r="R39"/>
    </row>
    <row r="40" spans="1:18">
      <c r="A40"/>
      <c r="B40"/>
      <c r="C40"/>
      <c r="D40"/>
      <c r="E40"/>
      <c r="F40"/>
      <c r="G40"/>
      <c r="H40"/>
      <c r="I40"/>
      <c r="J40"/>
      <c r="K40"/>
      <c r="L40"/>
      <c r="M40"/>
      <c r="N40"/>
      <c r="O40"/>
      <c r="P40"/>
      <c r="Q40"/>
      <c r="R40"/>
    </row>
    <row r="41" spans="1:18">
      <c r="A41"/>
      <c r="B41"/>
      <c r="C41"/>
      <c r="D41"/>
      <c r="E41"/>
      <c r="F41"/>
      <c r="G41"/>
      <c r="H41"/>
      <c r="I41"/>
      <c r="J41"/>
      <c r="K41"/>
      <c r="L41"/>
      <c r="M41"/>
      <c r="N41"/>
      <c r="O41"/>
      <c r="P41"/>
      <c r="Q41"/>
      <c r="R41"/>
    </row>
    <row r="42" spans="1:18">
      <c r="A42"/>
      <c r="B42"/>
      <c r="C42"/>
      <c r="D42"/>
      <c r="E42"/>
      <c r="F42"/>
      <c r="G42"/>
      <c r="H42"/>
      <c r="I42"/>
      <c r="J42"/>
      <c r="K42"/>
      <c r="L42"/>
      <c r="M42"/>
      <c r="N42"/>
      <c r="O42"/>
      <c r="P42"/>
      <c r="Q42"/>
      <c r="R42"/>
    </row>
  </sheetData>
  <sheetProtection algorithmName="SHA-512" hashValue="7F2Cn1wN/ElVQPWZ0wzg99O42Y+e8zFyRIQrfz97zZxXfDYkzEcLAYEVOlujow7246H0s58NsKHKT0v27y3nsA==" saltValue="WNuZvgE+FSRZW+ctzwEdvA==" spinCount="100000" sheet="1" objects="1" scenarios="1"/>
  <mergeCells count="6">
    <mergeCell ref="B3:I3"/>
    <mergeCell ref="K3:R3"/>
    <mergeCell ref="B21:I21"/>
    <mergeCell ref="K21:R21"/>
    <mergeCell ref="B1:N1"/>
    <mergeCell ref="O1:R1"/>
  </mergeCells>
  <pageMargins left="0.7" right="0.7" top="0.86" bottom="0.75" header="0.3" footer="0.3"/>
  <pageSetup scale="74" orientation="landscape"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22</vt:i4>
      </vt:variant>
    </vt:vector>
  </HeadingPairs>
  <TitlesOfParts>
    <vt:vector size="33" baseType="lpstr">
      <vt:lpstr>Cover</vt:lpstr>
      <vt:lpstr>Overview</vt:lpstr>
      <vt:lpstr>Bond Data</vt:lpstr>
      <vt:lpstr>Cash Flows</vt:lpstr>
      <vt:lpstr>Valuation</vt:lpstr>
      <vt:lpstr>Sensitivity</vt:lpstr>
      <vt:lpstr>Scenarios</vt:lpstr>
      <vt:lpstr>Credit Risk</vt:lpstr>
      <vt:lpstr>Relative Valuation</vt:lpstr>
      <vt:lpstr>Risk Review</vt:lpstr>
      <vt:lpstr>DASHBOARD</vt:lpstr>
      <vt:lpstr>Accrued_Interest</vt:lpstr>
      <vt:lpstr>clean_Price</vt:lpstr>
      <vt:lpstr>Convexity</vt:lpstr>
      <vt:lpstr>Coupon_Amount</vt:lpstr>
      <vt:lpstr>Coupon_Frequency</vt:lpstr>
      <vt:lpstr>Coupon_Rate</vt:lpstr>
      <vt:lpstr>Current_Market_Pirce</vt:lpstr>
      <vt:lpstr>Current_Yield</vt:lpstr>
      <vt:lpstr>Current_YTM</vt:lpstr>
      <vt:lpstr>Day_Count_Conention</vt:lpstr>
      <vt:lpstr>Days_Accrued</vt:lpstr>
      <vt:lpstr>Dirty_Price</vt:lpstr>
      <vt:lpstr>Face_Value</vt:lpstr>
      <vt:lpstr>Issue_Date</vt:lpstr>
      <vt:lpstr>Macaulay_Duration</vt:lpstr>
      <vt:lpstr>Maturity_Date</vt:lpstr>
      <vt:lpstr>Modified_Duration</vt:lpstr>
      <vt:lpstr>'Credit Risk'!Print_Area</vt:lpstr>
      <vt:lpstr>Remaining_Tenor</vt:lpstr>
      <vt:lpstr>Settlement_Date</vt:lpstr>
      <vt:lpstr>Total_Duration</vt:lpstr>
      <vt:lpstr>Total_Present_Value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Anvay Gulwe</cp:lastModifiedBy>
  <cp:revision>0</cp:revision>
  <cp:lastPrinted>2026-06-11T14:51:54Z</cp:lastPrinted>
  <dcterms:created xsi:type="dcterms:W3CDTF">2026-06-09T06:36:23Z</dcterms:created>
  <dcterms:modified xsi:type="dcterms:W3CDTF">2026-06-12T05:55:01Z</dcterms:modified>
  <dc:language>en-US</dc:language>
</cp:coreProperties>
</file>