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oriaazimbe/Downloads/"/>
    </mc:Choice>
  </mc:AlternateContent>
  <xr:revisionPtr revIDLastSave="0" documentId="13_ncr:1_{F373F5A1-168D-E942-8D0C-38F3E82D69B9}" xr6:coauthVersionLast="47" xr6:coauthVersionMax="47" xr10:uidLastSave="{00000000-0000-0000-0000-000000000000}"/>
  <bookViews>
    <workbookView xWindow="240" yWindow="760" windowWidth="28560" windowHeight="16340" activeTab="8" xr2:uid="{00000000-000D-0000-FFFF-FFFF00000000}"/>
  </bookViews>
  <sheets>
    <sheet name="Data" sheetId="1" r:id="rId1"/>
    <sheet name="KPIs" sheetId="2" r:id="rId2"/>
    <sheet name="Dept_by_Country" sheetId="3" r:id="rId3"/>
    <sheet name="Experience_by_Dept" sheetId="4" r:id="rId4"/>
    <sheet name="Salary_by_Dept" sheetId="5" r:id="rId5"/>
    <sheet name="Hiring_Trend" sheetId="6" r:id="rId6"/>
    <sheet name="City_Insights" sheetId="7" r:id="rId7"/>
    <sheet name="Helper_Sorted" sheetId="8" r:id="rId8"/>
    <sheet name="Top5_Earners" sheetId="9" r:id="rId9"/>
  </sheets>
  <definedNames>
    <definedName name="_xlnm._FilterDatabase" localSheetId="0" hidden="1">Data!$A$1:$J$30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F6" i="9"/>
  <c r="E6" i="9"/>
  <c r="D6" i="9"/>
  <c r="C6" i="9"/>
  <c r="B6" i="9"/>
  <c r="A6" i="9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B11" i="6"/>
  <c r="B10" i="6"/>
  <c r="B9" i="6"/>
  <c r="B8" i="6"/>
  <c r="B7" i="6"/>
  <c r="B6" i="6"/>
  <c r="B5" i="6"/>
  <c r="B4" i="6"/>
  <c r="B3" i="6"/>
  <c r="B2" i="6"/>
  <c r="C7" i="5"/>
  <c r="B7" i="5"/>
  <c r="C6" i="5"/>
  <c r="B6" i="5"/>
  <c r="C5" i="5"/>
  <c r="B5" i="5"/>
  <c r="C4" i="5"/>
  <c r="B4" i="5"/>
  <c r="C3" i="5"/>
  <c r="B3" i="5"/>
  <c r="C2" i="5"/>
  <c r="B2" i="5"/>
  <c r="B7" i="4"/>
  <c r="B6" i="4"/>
  <c r="B5" i="4"/>
  <c r="B4" i="4"/>
  <c r="B3" i="4"/>
  <c r="B2" i="4"/>
  <c r="G7" i="3"/>
  <c r="F7" i="3"/>
  <c r="E7" i="3"/>
  <c r="D7" i="3"/>
  <c r="C7" i="3"/>
  <c r="B7" i="3"/>
  <c r="H7" i="3" s="1"/>
  <c r="G6" i="3"/>
  <c r="F6" i="3"/>
  <c r="E6" i="3"/>
  <c r="D6" i="3"/>
  <c r="C6" i="3"/>
  <c r="B6" i="3"/>
  <c r="H6" i="3" s="1"/>
  <c r="G5" i="3"/>
  <c r="F5" i="3"/>
  <c r="E5" i="3"/>
  <c r="D5" i="3"/>
  <c r="C5" i="3"/>
  <c r="B5" i="3"/>
  <c r="H5" i="3" s="1"/>
  <c r="G4" i="3"/>
  <c r="F4" i="3"/>
  <c r="E4" i="3"/>
  <c r="D4" i="3"/>
  <c r="C4" i="3"/>
  <c r="B4" i="3"/>
  <c r="H4" i="3" s="1"/>
  <c r="G3" i="3"/>
  <c r="F3" i="3"/>
  <c r="E3" i="3"/>
  <c r="D3" i="3"/>
  <c r="C3" i="3"/>
  <c r="B3" i="3"/>
  <c r="H3" i="3" s="1"/>
  <c r="G2" i="3"/>
  <c r="G8" i="3" s="1"/>
  <c r="F2" i="3"/>
  <c r="F8" i="3" s="1"/>
  <c r="E2" i="3"/>
  <c r="E8" i="3" s="1"/>
  <c r="D2" i="3"/>
  <c r="D8" i="3" s="1"/>
  <c r="C2" i="3"/>
  <c r="C8" i="3" s="1"/>
  <c r="B2" i="3"/>
  <c r="H2" i="3" s="1"/>
  <c r="B6" i="2"/>
  <c r="B5" i="2"/>
  <c r="B4" i="2"/>
  <c r="B3" i="2"/>
  <c r="B2" i="2"/>
  <c r="H8" i="3" l="1"/>
  <c r="B8" i="3"/>
</calcChain>
</file>

<file path=xl/sharedStrings.xml><?xml version="1.0" encoding="utf-8"?>
<sst xmlns="http://schemas.openxmlformats.org/spreadsheetml/2006/main" count="442" uniqueCount="140">
  <si>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</si>
  <si>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</si>
  <si>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</si>
  <si>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</si>
  <si>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</si>
  <si>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</si>
  <si>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</si>
  <si>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</si>
  <si>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</si>
  <si>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HireYear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</si>
  <si>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</si>
  <si>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</si>
  <si>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</si>
  <si>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</si>
  <si>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</si>
  <si>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</si>
  <si>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</si>
  <si>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</si>
  <si>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</si>
  <si>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</si>
  <si>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</si>
  <si>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</si>
  <si>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</si>
  <si>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</si>
  <si>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</si>
  <si>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</si>
  <si>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</si>
  <si>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</si>
  <si>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</si>
  <si>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</si>
  <si>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</si>
  <si>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</si>
  <si>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</si>
  <si>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</si>
  <si>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</si>
  <si>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</si>
  <si>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</si>
  <si>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</si>
  <si>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</si>
  <si>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Laura Doe</t>
  </si>
  <si>
    <t>John Brown</t>
  </si>
  <si>
    <t>Jane Smith</t>
  </si>
  <si>
    <t>James Johnson</t>
  </si>
  <si>
    <t>Sophia Lee</t>
  </si>
  <si>
    <t>David Kim</t>
  </si>
  <si>
    <t>Emma Garcia</t>
  </si>
  <si>
    <t>Daniel Scott</t>
  </si>
  <si>
    <t>Olivia Miller</t>
  </si>
  <si>
    <t>William Davis</t>
  </si>
  <si>
    <t>Ethan Wilson</t>
  </si>
  <si>
    <t>Ava Taylor</t>
  </si>
  <si>
    <t>Michael Clark</t>
  </si>
  <si>
    <t>Isabella White</t>
  </si>
  <si>
    <t>Alexander Hall</t>
  </si>
  <si>
    <t>Mia Young</t>
  </si>
  <si>
    <t>Jacob Allen</t>
  </si>
  <si>
    <t>Henry Wright</t>
  </si>
  <si>
    <t>Amelia Adams</t>
  </si>
  <si>
    <t>Lucas Nelson</t>
  </si>
  <si>
    <t>Harper Baker</t>
  </si>
  <si>
    <t>Daniel Perez</t>
  </si>
  <si>
    <t>Evelyn Rivera</t>
  </si>
  <si>
    <t>Matthew Carter</t>
  </si>
  <si>
    <t>Sofia Mitchell</t>
  </si>
  <si>
    <t>Benjamin Roberts</t>
  </si>
  <si>
    <t>Abigail Turner</t>
  </si>
  <si>
    <t>Joseph Phillips</t>
  </si>
  <si>
    <t>Emily Campbell</t>
  </si>
  <si>
    <t>HR Specialist</t>
  </si>
  <si>
    <t>Data Analyst</t>
  </si>
  <si>
    <t>Developer</t>
  </si>
  <si>
    <t>Project Manager</t>
  </si>
  <si>
    <t>Data Scientist</t>
  </si>
  <si>
    <t>Financial Analyst</t>
  </si>
  <si>
    <t>Designer</t>
  </si>
  <si>
    <t>Software Engineer</t>
  </si>
  <si>
    <t>Product Manager</t>
  </si>
  <si>
    <t>HR Manager</t>
  </si>
  <si>
    <t>Support Engineer</t>
  </si>
  <si>
    <t>Marketing Specialist</t>
  </si>
  <si>
    <t>DevOps Engineer</t>
  </si>
  <si>
    <t>Recruiter</t>
  </si>
  <si>
    <t>UI/UX Designer</t>
  </si>
  <si>
    <t>Accountant</t>
  </si>
  <si>
    <t>Marketing Analyst</t>
  </si>
  <si>
    <t>Product Owner</t>
  </si>
  <si>
    <t>Customer Support</t>
  </si>
  <si>
    <t>Data Engineer</t>
  </si>
  <si>
    <t>Sales Executive</t>
  </si>
  <si>
    <t>HR Generalist</t>
  </si>
  <si>
    <t>Marketing Manager</t>
  </si>
  <si>
    <t>Finance</t>
  </si>
  <si>
    <t>IT</t>
  </si>
  <si>
    <t>Sales</t>
  </si>
  <si>
    <t>Operations</t>
  </si>
  <si>
    <t>Marketing</t>
  </si>
  <si>
    <t>HR</t>
  </si>
  <si>
    <t>Canada</t>
  </si>
  <si>
    <t>UK</t>
  </si>
  <si>
    <t>USA</t>
  </si>
  <si>
    <t>India</t>
  </si>
  <si>
    <t>France</t>
  </si>
  <si>
    <t>Germany</t>
  </si>
  <si>
    <t>Toronto</t>
  </si>
  <si>
    <t>Berlin</t>
  </si>
  <si>
    <t>New York</t>
  </si>
  <si>
    <t>Delhi</t>
  </si>
  <si>
    <t>Paris</t>
  </si>
  <si>
    <t>Chicago</t>
  </si>
  <si>
    <t>Montreal</t>
  </si>
  <si>
    <t>Boston</t>
  </si>
  <si>
    <t>Lyon</t>
  </si>
  <si>
    <t>Mumbai</t>
  </si>
  <si>
    <t>Vancouver</t>
  </si>
  <si>
    <t>London</t>
  </si>
  <si>
    <t>Miami</t>
  </si>
  <si>
    <t>Paris
EMP018,Charlotte King,Data Scientist,IT,2022-07-13,125700.85,2.5,India,Bangalore</t>
  </si>
  <si>
    <t>Manchester</t>
  </si>
  <si>
    <t>Hamburg</t>
  </si>
  <si>
    <t>San Francisco</t>
  </si>
  <si>
    <t>Bristol</t>
  </si>
  <si>
    <t>Hyderabad</t>
  </si>
  <si>
    <t>Ottawa</t>
  </si>
  <si>
    <t>Atlanta</t>
  </si>
  <si>
    <t>Chennai</t>
  </si>
  <si>
    <t>Liverpool</t>
  </si>
  <si>
    <t>Metric</t>
  </si>
  <si>
    <t>Value</t>
  </si>
  <si>
    <t>Total Headcount</t>
  </si>
  <si>
    <t>Average Salary</t>
  </si>
  <si>
    <t>Median Salary</t>
  </si>
  <si>
    <t>Average Experience (Years)</t>
  </si>
  <si>
    <t>Total Salary Expense</t>
  </si>
  <si>
    <t>Total</t>
  </si>
  <si>
    <t>Avg YearsExperience</t>
  </si>
  <si>
    <t>Avg Salary</t>
  </si>
  <si>
    <t>Total Salary</t>
  </si>
  <si>
    <t>Hires</t>
  </si>
  <si>
    <t>EmployeeCount</t>
  </si>
  <si>
    <t>TotalSalary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</si>
</sst>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/>
    <xf numFmtId="16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21.6640625" customWidth="1"/>
    <col min="3" max="3" width="21.6640625" customWidth="1"/>
    <col min="4" max="4" width="21.33203125" customWidth="1"/>
    <col min="5" max="5" width="29.1640625" customWidth="1"/>
    <col min="6" max="6" width="23" customWidth="1"/>
    <col min="7" max="7" width="21.1640625" customWidth="1"/>
    <col min="8" max="8" width="17.33203125" customWidth="1"/>
    <col min="9" max="9" width="21.6640625" customWidth="1"/>
    <col min="10" max="10" width="1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39</v>
      </c>
      <c r="C2" t="s">
        <v>68</v>
      </c>
      <c r="D2" t="s">
        <v>91</v>
      </c>
      <c r="E2" s="2">
        <v>40953</v>
      </c>
      <c r="F2">
        <v>78960.73</v>
      </c>
      <c r="G2">
        <v>13.1</v>
      </c>
      <c r="H2" t="s">
        <v>97</v>
      </c>
      <c r="I2" t="s">
        <v>103</v>
      </c>
      <c r="J2">
        <v>2012</v>
      </c>
    </row>
    <row r="3" spans="1:10" x14ac:dyDescent="0.2">
      <c r="A3" t="s">
        <v>11</v>
      </c>
      <c r="B3" t="s">
        <v>40</v>
      </c>
      <c r="C3" t="s">
        <v>69</v>
      </c>
      <c r="D3" t="s">
        <v>92</v>
      </c>
      <c r="E3" s="2">
        <v>43380</v>
      </c>
      <c r="F3">
        <v>105887.97</v>
      </c>
      <c r="G3">
        <v>14.8</v>
      </c>
      <c r="H3" t="s">
        <v>98</v>
      </c>
      <c r="I3" t="s">
        <v>104</v>
      </c>
      <c r="J3">
        <v>2018</v>
      </c>
    </row>
    <row r="4" spans="1:10" x14ac:dyDescent="0.2">
      <c r="A4" t="s">
        <v>12</v>
      </c>
      <c r="B4" t="s">
        <v>41</v>
      </c>
      <c r="C4" t="s">
        <v>70</v>
      </c>
      <c r="D4" t="s">
        <v>93</v>
      </c>
      <c r="E4" s="2">
        <v>43762</v>
      </c>
      <c r="F4">
        <v>97023.2</v>
      </c>
      <c r="G4">
        <v>1.3</v>
      </c>
      <c r="H4" t="s">
        <v>97</v>
      </c>
      <c r="I4" t="s">
        <v>104</v>
      </c>
      <c r="J4">
        <v>2019</v>
      </c>
    </row>
    <row r="5" spans="1:10" x14ac:dyDescent="0.2">
      <c r="A5" t="s">
        <v>13</v>
      </c>
      <c r="B5" t="s">
        <v>42</v>
      </c>
      <c r="C5" t="s">
        <v>71</v>
      </c>
      <c r="D5" t="s">
        <v>94</v>
      </c>
      <c r="E5" s="2">
        <v>42522</v>
      </c>
      <c r="F5">
        <v>125500</v>
      </c>
      <c r="G5">
        <v>11.4</v>
      </c>
      <c r="H5" t="s">
        <v>99</v>
      </c>
      <c r="I5" t="s">
        <v>105</v>
      </c>
      <c r="J5">
        <v>2016</v>
      </c>
    </row>
    <row r="6" spans="1:10" x14ac:dyDescent="0.2">
      <c r="A6" t="s">
        <v>14</v>
      </c>
      <c r="B6" t="s">
        <v>43</v>
      </c>
      <c r="C6" t="s">
        <v>72</v>
      </c>
      <c r="D6" t="s">
        <v>92</v>
      </c>
      <c r="E6" s="2">
        <v>43905</v>
      </c>
      <c r="F6">
        <v>115450.5</v>
      </c>
      <c r="G6">
        <v>4.5</v>
      </c>
      <c r="H6" t="s">
        <v>100</v>
      </c>
      <c r="I6" t="s">
        <v>106</v>
      </c>
      <c r="J6">
        <v>2020</v>
      </c>
    </row>
    <row r="7" spans="1:10" x14ac:dyDescent="0.2">
      <c r="A7" t="s">
        <v>15</v>
      </c>
      <c r="B7" t="s">
        <v>44</v>
      </c>
      <c r="C7" t="s">
        <v>73</v>
      </c>
      <c r="D7" t="s">
        <v>91</v>
      </c>
      <c r="E7" s="2">
        <v>42268</v>
      </c>
      <c r="F7">
        <v>98400.75</v>
      </c>
      <c r="G7">
        <v>9.6999999999999993</v>
      </c>
      <c r="H7" t="s">
        <v>97</v>
      </c>
      <c r="I7" t="s">
        <v>103</v>
      </c>
      <c r="J7">
        <v>2015</v>
      </c>
    </row>
    <row r="8" spans="1:10" x14ac:dyDescent="0.2">
      <c r="A8" t="s">
        <v>16</v>
      </c>
      <c r="B8" t="s">
        <v>45</v>
      </c>
      <c r="C8" t="s">
        <v>74</v>
      </c>
      <c r="D8" t="s">
        <v>95</v>
      </c>
      <c r="E8" s="2">
        <v>43080</v>
      </c>
      <c r="F8">
        <v>76500.2</v>
      </c>
      <c r="G8">
        <v>6.1</v>
      </c>
      <c r="H8" t="s">
        <v>101</v>
      </c>
      <c r="I8" t="s">
        <v>107</v>
      </c>
      <c r="J8">
        <v>2017</v>
      </c>
    </row>
    <row r="9" spans="1:10" x14ac:dyDescent="0.2">
      <c r="A9" t="s">
        <v>17</v>
      </c>
      <c r="B9" t="s">
        <v>46</v>
      </c>
      <c r="C9" t="s">
        <v>75</v>
      </c>
      <c r="D9" t="s">
        <v>92</v>
      </c>
      <c r="E9" s="2">
        <v>41845</v>
      </c>
      <c r="F9">
        <v>134200</v>
      </c>
      <c r="G9">
        <v>12</v>
      </c>
      <c r="H9" t="s">
        <v>99</v>
      </c>
      <c r="I9" t="s">
        <v>108</v>
      </c>
      <c r="J9">
        <v>2014</v>
      </c>
    </row>
    <row r="10" spans="1:10" x14ac:dyDescent="0.2">
      <c r="A10" t="s">
        <v>18</v>
      </c>
      <c r="B10" t="s">
        <v>47</v>
      </c>
      <c r="C10" t="s">
        <v>76</v>
      </c>
      <c r="D10" t="s">
        <v>93</v>
      </c>
      <c r="E10" s="2">
        <v>43474</v>
      </c>
      <c r="F10">
        <v>112300.65</v>
      </c>
      <c r="G10">
        <v>3.9</v>
      </c>
      <c r="H10" t="s">
        <v>102</v>
      </c>
      <c r="I10" t="s">
        <v>104</v>
      </c>
      <c r="J10">
        <v>2019</v>
      </c>
    </row>
    <row r="11" spans="1:10" x14ac:dyDescent="0.2">
      <c r="A11" t="s">
        <v>19</v>
      </c>
      <c r="B11" t="s">
        <v>48</v>
      </c>
      <c r="C11" t="s">
        <v>77</v>
      </c>
      <c r="D11" t="s">
        <v>96</v>
      </c>
      <c r="E11" s="2">
        <v>41424</v>
      </c>
      <c r="F11">
        <v>89400.8</v>
      </c>
      <c r="G11">
        <v>14.2</v>
      </c>
      <c r="H11" t="s">
        <v>97</v>
      </c>
      <c r="I11" t="s">
        <v>109</v>
      </c>
      <c r="J11">
        <v>2013</v>
      </c>
    </row>
    <row r="12" spans="1:10" x14ac:dyDescent="0.2">
      <c r="A12" t="s">
        <v>20</v>
      </c>
      <c r="B12" t="s">
        <v>49</v>
      </c>
      <c r="C12" t="s">
        <v>78</v>
      </c>
      <c r="D12" t="s">
        <v>92</v>
      </c>
      <c r="E12" s="2">
        <v>43148</v>
      </c>
      <c r="F12">
        <v>68500.899999999994</v>
      </c>
      <c r="G12">
        <v>5.7</v>
      </c>
      <c r="H12" t="s">
        <v>99</v>
      </c>
      <c r="I12" t="s">
        <v>110</v>
      </c>
      <c r="J12">
        <v>2018</v>
      </c>
    </row>
    <row r="13" spans="1:10" x14ac:dyDescent="0.2">
      <c r="A13" t="s">
        <v>21</v>
      </c>
      <c r="B13" t="s">
        <v>50</v>
      </c>
      <c r="C13" t="s">
        <v>79</v>
      </c>
      <c r="D13" t="s">
        <v>95</v>
      </c>
      <c r="E13" s="2">
        <v>44367</v>
      </c>
      <c r="F13">
        <v>60200.45</v>
      </c>
      <c r="G13">
        <v>2.1</v>
      </c>
      <c r="H13" t="s">
        <v>101</v>
      </c>
      <c r="I13" t="s">
        <v>111</v>
      </c>
      <c r="J13">
        <v>2021</v>
      </c>
    </row>
    <row r="14" spans="1:10" x14ac:dyDescent="0.2">
      <c r="A14" t="s">
        <v>22</v>
      </c>
      <c r="B14" t="s">
        <v>51</v>
      </c>
      <c r="C14" t="s">
        <v>80</v>
      </c>
      <c r="D14" t="s">
        <v>92</v>
      </c>
      <c r="E14" s="2">
        <v>42587</v>
      </c>
      <c r="F14">
        <v>121300.1</v>
      </c>
      <c r="G14">
        <v>8.5</v>
      </c>
      <c r="H14" t="s">
        <v>100</v>
      </c>
      <c r="I14" t="s">
        <v>112</v>
      </c>
      <c r="J14">
        <v>2016</v>
      </c>
    </row>
    <row r="15" spans="1:10" x14ac:dyDescent="0.2">
      <c r="A15" t="s">
        <v>23</v>
      </c>
      <c r="B15" t="s">
        <v>52</v>
      </c>
      <c r="C15" t="s">
        <v>69</v>
      </c>
      <c r="D15" t="s">
        <v>91</v>
      </c>
      <c r="E15" s="2">
        <v>43027</v>
      </c>
      <c r="F15">
        <v>99800.75</v>
      </c>
      <c r="G15">
        <v>7.3</v>
      </c>
      <c r="H15" t="s">
        <v>97</v>
      </c>
      <c r="I15" t="s">
        <v>113</v>
      </c>
      <c r="J15">
        <v>2017</v>
      </c>
    </row>
    <row r="16" spans="1:10" x14ac:dyDescent="0.2">
      <c r="A16" t="s">
        <v>24</v>
      </c>
      <c r="B16" t="s">
        <v>53</v>
      </c>
      <c r="C16" t="s">
        <v>70</v>
      </c>
      <c r="D16" t="s">
        <v>93</v>
      </c>
      <c r="E16" s="2">
        <v>41968</v>
      </c>
      <c r="F16">
        <v>109500.25</v>
      </c>
      <c r="G16">
        <v>10.199999999999999</v>
      </c>
      <c r="H16" t="s">
        <v>98</v>
      </c>
      <c r="I16" t="s">
        <v>114</v>
      </c>
      <c r="J16">
        <v>2014</v>
      </c>
    </row>
    <row r="17" spans="1:10" x14ac:dyDescent="0.2">
      <c r="A17" t="s">
        <v>25</v>
      </c>
      <c r="B17" t="s">
        <v>54</v>
      </c>
      <c r="C17" t="s">
        <v>81</v>
      </c>
      <c r="D17" t="s">
        <v>96</v>
      </c>
      <c r="E17" s="2">
        <v>43569</v>
      </c>
      <c r="F17">
        <v>71500.55</v>
      </c>
      <c r="G17">
        <v>4</v>
      </c>
      <c r="H17" t="s">
        <v>99</v>
      </c>
      <c r="I17" t="s">
        <v>115</v>
      </c>
      <c r="J17">
        <v>2019</v>
      </c>
    </row>
    <row r="18" spans="1:10" x14ac:dyDescent="0.2">
      <c r="A18" t="s">
        <v>26</v>
      </c>
      <c r="B18" t="s">
        <v>55</v>
      </c>
      <c r="C18" t="s">
        <v>82</v>
      </c>
      <c r="D18" t="s">
        <v>95</v>
      </c>
      <c r="E18" s="2">
        <v>42013</v>
      </c>
      <c r="F18">
        <v>85000.65</v>
      </c>
      <c r="G18">
        <v>9.5</v>
      </c>
      <c r="H18" t="s">
        <v>101</v>
      </c>
      <c r="I18" t="s">
        <v>116</v>
      </c>
      <c r="J18">
        <v>2015</v>
      </c>
    </row>
    <row r="19" spans="1:10" x14ac:dyDescent="0.2">
      <c r="A19" t="s">
        <v>27</v>
      </c>
      <c r="B19" t="s">
        <v>56</v>
      </c>
      <c r="C19" t="s">
        <v>83</v>
      </c>
      <c r="D19" t="s">
        <v>91</v>
      </c>
      <c r="E19" s="2">
        <v>41351</v>
      </c>
      <c r="F19">
        <v>88000.4</v>
      </c>
      <c r="G19">
        <v>15</v>
      </c>
      <c r="H19" t="s">
        <v>97</v>
      </c>
      <c r="I19" t="s">
        <v>103</v>
      </c>
      <c r="J19">
        <v>2013</v>
      </c>
    </row>
    <row r="20" spans="1:10" x14ac:dyDescent="0.2">
      <c r="A20" t="s">
        <v>28</v>
      </c>
      <c r="B20" t="s">
        <v>57</v>
      </c>
      <c r="C20" t="s">
        <v>75</v>
      </c>
      <c r="D20" t="s">
        <v>92</v>
      </c>
      <c r="E20" s="2">
        <v>44072</v>
      </c>
      <c r="F20">
        <v>104500.7</v>
      </c>
      <c r="G20">
        <v>3.3</v>
      </c>
      <c r="H20" t="s">
        <v>98</v>
      </c>
      <c r="I20" t="s">
        <v>117</v>
      </c>
      <c r="J20">
        <v>2020</v>
      </c>
    </row>
    <row r="21" spans="1:10" x14ac:dyDescent="0.2">
      <c r="A21" t="s">
        <v>29</v>
      </c>
      <c r="B21" t="s">
        <v>58</v>
      </c>
      <c r="C21" t="s">
        <v>68</v>
      </c>
      <c r="D21" t="s">
        <v>96</v>
      </c>
      <c r="E21" s="2">
        <v>42706</v>
      </c>
      <c r="F21">
        <v>78200.350000000006</v>
      </c>
      <c r="G21">
        <v>6.9</v>
      </c>
      <c r="H21" t="s">
        <v>99</v>
      </c>
      <c r="I21" t="s">
        <v>108</v>
      </c>
      <c r="J21">
        <v>2016</v>
      </c>
    </row>
    <row r="22" spans="1:10" x14ac:dyDescent="0.2">
      <c r="A22" t="s">
        <v>30</v>
      </c>
      <c r="B22" t="s">
        <v>59</v>
      </c>
      <c r="C22" t="s">
        <v>84</v>
      </c>
      <c r="D22" t="s">
        <v>95</v>
      </c>
      <c r="E22" s="2">
        <v>43360</v>
      </c>
      <c r="F22">
        <v>69800.25</v>
      </c>
      <c r="G22">
        <v>5.2</v>
      </c>
      <c r="H22" t="s">
        <v>102</v>
      </c>
      <c r="I22" t="s">
        <v>118</v>
      </c>
      <c r="J22">
        <v>2018</v>
      </c>
    </row>
    <row r="23" spans="1:10" x14ac:dyDescent="0.2">
      <c r="A23" t="s">
        <v>31</v>
      </c>
      <c r="B23" t="s">
        <v>60</v>
      </c>
      <c r="C23" t="s">
        <v>85</v>
      </c>
      <c r="D23" t="s">
        <v>94</v>
      </c>
      <c r="E23" s="2">
        <v>41021</v>
      </c>
      <c r="F23">
        <v>134800.95000000001</v>
      </c>
      <c r="G23">
        <v>14.6</v>
      </c>
      <c r="H23" t="s">
        <v>99</v>
      </c>
      <c r="I23" t="s">
        <v>119</v>
      </c>
      <c r="J23">
        <v>2012</v>
      </c>
    </row>
    <row r="24" spans="1:10" x14ac:dyDescent="0.2">
      <c r="A24" t="s">
        <v>32</v>
      </c>
      <c r="B24" t="s">
        <v>61</v>
      </c>
      <c r="C24" t="s">
        <v>86</v>
      </c>
      <c r="D24" t="s">
        <v>93</v>
      </c>
      <c r="E24" s="2">
        <v>43649</v>
      </c>
      <c r="F24">
        <v>58200.800000000003</v>
      </c>
      <c r="G24">
        <v>3.1</v>
      </c>
      <c r="H24" t="s">
        <v>98</v>
      </c>
      <c r="I24" t="s">
        <v>120</v>
      </c>
      <c r="J24">
        <v>2019</v>
      </c>
    </row>
    <row r="25" spans="1:10" x14ac:dyDescent="0.2">
      <c r="A25" t="s">
        <v>33</v>
      </c>
      <c r="B25" t="s">
        <v>62</v>
      </c>
      <c r="C25" t="s">
        <v>73</v>
      </c>
      <c r="D25" t="s">
        <v>91</v>
      </c>
      <c r="E25" s="2">
        <v>42885</v>
      </c>
      <c r="F25">
        <v>93600.6</v>
      </c>
      <c r="G25">
        <v>7.7</v>
      </c>
      <c r="H25" t="s">
        <v>100</v>
      </c>
      <c r="I25" t="s">
        <v>121</v>
      </c>
      <c r="J25">
        <v>2017</v>
      </c>
    </row>
    <row r="26" spans="1:10" x14ac:dyDescent="0.2">
      <c r="A26" t="s">
        <v>34</v>
      </c>
      <c r="B26" t="s">
        <v>63</v>
      </c>
      <c r="C26" t="s">
        <v>87</v>
      </c>
      <c r="D26" t="s">
        <v>92</v>
      </c>
      <c r="E26" s="2">
        <v>41939</v>
      </c>
      <c r="F26">
        <v>128300.2</v>
      </c>
      <c r="G26">
        <v>11.1</v>
      </c>
      <c r="H26" t="s">
        <v>101</v>
      </c>
      <c r="I26" t="s">
        <v>107</v>
      </c>
      <c r="J26">
        <v>2014</v>
      </c>
    </row>
    <row r="27" spans="1:10" x14ac:dyDescent="0.2">
      <c r="A27" t="s">
        <v>35</v>
      </c>
      <c r="B27" t="s">
        <v>64</v>
      </c>
      <c r="C27" t="s">
        <v>88</v>
      </c>
      <c r="D27" t="s">
        <v>93</v>
      </c>
      <c r="E27" s="2">
        <v>42380</v>
      </c>
      <c r="F27">
        <v>74500.350000000006</v>
      </c>
      <c r="G27">
        <v>8.1999999999999993</v>
      </c>
      <c r="H27" t="s">
        <v>97</v>
      </c>
      <c r="I27" t="s">
        <v>122</v>
      </c>
      <c r="J27">
        <v>2016</v>
      </c>
    </row>
    <row r="28" spans="1:10" x14ac:dyDescent="0.2">
      <c r="A28" t="s">
        <v>36</v>
      </c>
      <c r="B28" t="s">
        <v>65</v>
      </c>
      <c r="C28" t="s">
        <v>89</v>
      </c>
      <c r="D28" t="s">
        <v>96</v>
      </c>
      <c r="E28" s="2">
        <v>42204</v>
      </c>
      <c r="F28">
        <v>81000.55</v>
      </c>
      <c r="G28">
        <v>9.9</v>
      </c>
      <c r="H28" t="s">
        <v>99</v>
      </c>
      <c r="I28" t="s">
        <v>123</v>
      </c>
      <c r="J28">
        <v>2015</v>
      </c>
    </row>
    <row r="29" spans="1:10" x14ac:dyDescent="0.2">
      <c r="A29" t="s">
        <v>37</v>
      </c>
      <c r="B29" t="s">
        <v>66</v>
      </c>
      <c r="C29" t="s">
        <v>70</v>
      </c>
      <c r="D29" t="s">
        <v>92</v>
      </c>
      <c r="E29" s="2">
        <v>43409</v>
      </c>
      <c r="F29">
        <v>115800</v>
      </c>
      <c r="G29">
        <v>5.4</v>
      </c>
      <c r="H29" t="s">
        <v>100</v>
      </c>
      <c r="I29" t="s">
        <v>124</v>
      </c>
      <c r="J29">
        <v>2018</v>
      </c>
    </row>
    <row r="30" spans="1:10" x14ac:dyDescent="0.2">
      <c r="A30" t="s">
        <v>38</v>
      </c>
      <c r="B30" t="s">
        <v>67</v>
      </c>
      <c r="C30" t="s">
        <v>90</v>
      </c>
      <c r="D30" t="s">
        <v>95</v>
      </c>
      <c r="E30" s="2">
        <v>41540</v>
      </c>
      <c r="F30">
        <v>99500.75</v>
      </c>
      <c r="G30">
        <v>12.7</v>
      </c>
      <c r="H30" t="s">
        <v>98</v>
      </c>
      <c r="I30" t="s">
        <v>125</v>
      </c>
      <c r="J30">
        <v>2013</v>
      </c>
    </row>
  </sheetData>
  <autoFilter ref="A1:J3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5" x14ac:dyDescent="0.2"/>
  <cols>
    <col min="1" max="1" width="25.6640625" customWidth="1"/>
    <col min="2" max="2" width="18" customWidth="1"/>
  </cols>
  <sheetData>
    <row r="1" spans="1:2" x14ac:dyDescent="0.2">
      <c r="A1" s="3" t="s">
        <v>126</v>
      </c>
      <c r="B1" s="3" t="s">
        <v>127</v>
      </c>
    </row>
    <row r="2" spans="1:2" x14ac:dyDescent="0.2">
      <c r="A2" t="s">
        <v>128</v>
      </c>
      <c r="B2">
        <f>COUNTA(Data!A2:A30)</f>
        <v>29</v>
      </c>
    </row>
    <row r="3" spans="1:2" x14ac:dyDescent="0.2">
      <c r="A3" t="s">
        <v>129</v>
      </c>
      <c r="B3" s="4">
        <f>AVERAGE(Data!F2:F30)</f>
        <v>95711.529310344835</v>
      </c>
    </row>
    <row r="4" spans="1:2" x14ac:dyDescent="0.2">
      <c r="A4" t="s">
        <v>130</v>
      </c>
      <c r="B4" s="4">
        <f>MEDIAN(Data!F2:F30)</f>
        <v>97023.2</v>
      </c>
    </row>
    <row r="5" spans="1:2" x14ac:dyDescent="0.2">
      <c r="A5" t="s">
        <v>131</v>
      </c>
      <c r="B5">
        <f>AVERAGE(Data!G2:G30)</f>
        <v>8.3241379310344819</v>
      </c>
    </row>
    <row r="6" spans="1:2" x14ac:dyDescent="0.2">
      <c r="A6" t="s">
        <v>132</v>
      </c>
      <c r="B6" s="4">
        <f>SUM(Data!F2:F30)</f>
        <v>2775634.35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E10" sqref="E10"/>
    </sheetView>
  </sheetViews>
  <sheetFormatPr baseColWidth="10" defaultColWidth="8.83203125" defaultRowHeight="15" x14ac:dyDescent="0.2"/>
  <sheetData>
    <row r="1" spans="1:8" x14ac:dyDescent="0.2">
      <c r="A1" s="3" t="s">
        <v>7</v>
      </c>
      <c r="B1" s="3" t="s">
        <v>91</v>
      </c>
      <c r="C1" s="3" t="s">
        <v>96</v>
      </c>
      <c r="D1" s="3" t="s">
        <v>92</v>
      </c>
      <c r="E1" s="3" t="s">
        <v>95</v>
      </c>
      <c r="F1" s="3" t="s">
        <v>94</v>
      </c>
      <c r="G1" s="3" t="s">
        <v>93</v>
      </c>
      <c r="H1" s="3" t="s">
        <v>133</v>
      </c>
    </row>
    <row r="2" spans="1:8" x14ac:dyDescent="0.2">
      <c r="A2" s="3" t="s">
        <v>97</v>
      </c>
      <c r="B2" s="5">
        <f>COUNTIFS(Data!H:H,"Canada",Data!D:D,"Finance")</f>
        <v>4</v>
      </c>
      <c r="C2" s="5">
        <f>COUNTIFS(Data!H:H,"Canada",Data!D:D,"HR")</f>
        <v>1</v>
      </c>
      <c r="D2" s="5">
        <f>COUNTIFS(Data!H:H,"Canada",Data!D:D,"IT")</f>
        <v>0</v>
      </c>
      <c r="E2" s="5">
        <f>COUNTIFS(Data!H:H,"Canada",Data!D:D,"Marketing")</f>
        <v>0</v>
      </c>
      <c r="F2" s="5">
        <f>COUNTIFS(Data!H:H,"Canada",Data!D:D,"Operations")</f>
        <v>0</v>
      </c>
      <c r="G2" s="5">
        <f>COUNTIFS(Data!H:H,"Canada",Data!D:D,"Sales")</f>
        <v>2</v>
      </c>
      <c r="H2" s="5">
        <f t="shared" ref="H2:H7" si="0">SUM(B2:G2)</f>
        <v>7</v>
      </c>
    </row>
    <row r="3" spans="1:8" x14ac:dyDescent="0.2">
      <c r="A3" s="3" t="s">
        <v>101</v>
      </c>
      <c r="B3" s="5">
        <f>COUNTIFS(Data!H:H,"France",Data!D:D,"Finance")</f>
        <v>0</v>
      </c>
      <c r="C3" s="5">
        <f>COUNTIFS(Data!H:H,"France",Data!D:D,"HR")</f>
        <v>0</v>
      </c>
      <c r="D3" s="5">
        <f>COUNTIFS(Data!H:H,"France",Data!D:D,"IT")</f>
        <v>1</v>
      </c>
      <c r="E3" s="5">
        <f>COUNTIFS(Data!H:H,"France",Data!D:D,"Marketing")</f>
        <v>3</v>
      </c>
      <c r="F3" s="5">
        <f>COUNTIFS(Data!H:H,"France",Data!D:D,"Operations")</f>
        <v>0</v>
      </c>
      <c r="G3" s="5">
        <f>COUNTIFS(Data!H:H,"France",Data!D:D,"Sales")</f>
        <v>0</v>
      </c>
      <c r="H3" s="5">
        <f t="shared" si="0"/>
        <v>4</v>
      </c>
    </row>
    <row r="4" spans="1:8" x14ac:dyDescent="0.2">
      <c r="A4" s="3" t="s">
        <v>102</v>
      </c>
      <c r="B4" s="5">
        <f>COUNTIFS(Data!H:H,"Germany",Data!D:D,"Finance")</f>
        <v>0</v>
      </c>
      <c r="C4" s="5">
        <f>COUNTIFS(Data!H:H,"Germany",Data!D:D,"HR")</f>
        <v>0</v>
      </c>
      <c r="D4" s="5">
        <f>COUNTIFS(Data!H:H,"Germany",Data!D:D,"IT")</f>
        <v>0</v>
      </c>
      <c r="E4" s="5">
        <f>COUNTIFS(Data!H:H,"Germany",Data!D:D,"Marketing")</f>
        <v>1</v>
      </c>
      <c r="F4" s="5">
        <f>COUNTIFS(Data!H:H,"Germany",Data!D:D,"Operations")</f>
        <v>0</v>
      </c>
      <c r="G4" s="5">
        <f>COUNTIFS(Data!H:H,"Germany",Data!D:D,"Sales")</f>
        <v>1</v>
      </c>
      <c r="H4" s="5">
        <f t="shared" si="0"/>
        <v>2</v>
      </c>
    </row>
    <row r="5" spans="1:8" x14ac:dyDescent="0.2">
      <c r="A5" s="3" t="s">
        <v>100</v>
      </c>
      <c r="B5" s="5">
        <f>COUNTIFS(Data!H:H,"India",Data!D:D,"Finance")</f>
        <v>1</v>
      </c>
      <c r="C5" s="5">
        <f>COUNTIFS(Data!H:H,"India",Data!D:D,"HR")</f>
        <v>0</v>
      </c>
      <c r="D5" s="5">
        <f>COUNTIFS(Data!H:H,"India",Data!D:D,"IT")</f>
        <v>3</v>
      </c>
      <c r="E5" s="5">
        <f>COUNTIFS(Data!H:H,"India",Data!D:D,"Marketing")</f>
        <v>0</v>
      </c>
      <c r="F5" s="5">
        <f>COUNTIFS(Data!H:H,"India",Data!D:D,"Operations")</f>
        <v>0</v>
      </c>
      <c r="G5" s="5">
        <f>COUNTIFS(Data!H:H,"India",Data!D:D,"Sales")</f>
        <v>0</v>
      </c>
      <c r="H5" s="5">
        <f t="shared" si="0"/>
        <v>4</v>
      </c>
    </row>
    <row r="6" spans="1:8" x14ac:dyDescent="0.2">
      <c r="A6" s="3" t="s">
        <v>98</v>
      </c>
      <c r="B6" s="5">
        <f>COUNTIFS(Data!H:H,"UK",Data!D:D,"Finance")</f>
        <v>0</v>
      </c>
      <c r="C6" s="5">
        <f>COUNTIFS(Data!H:H,"UK",Data!D:D,"HR")</f>
        <v>0</v>
      </c>
      <c r="D6" s="5">
        <f>COUNTIFS(Data!H:H,"UK",Data!D:D,"IT")</f>
        <v>2</v>
      </c>
      <c r="E6" s="5">
        <f>COUNTIFS(Data!H:H,"UK",Data!D:D,"Marketing")</f>
        <v>1</v>
      </c>
      <c r="F6" s="5">
        <f>COUNTIFS(Data!H:H,"UK",Data!D:D,"Operations")</f>
        <v>0</v>
      </c>
      <c r="G6" s="5">
        <f>COUNTIFS(Data!H:H,"UK",Data!D:D,"Sales")</f>
        <v>2</v>
      </c>
      <c r="H6" s="5">
        <f t="shared" si="0"/>
        <v>5</v>
      </c>
    </row>
    <row r="7" spans="1:8" x14ac:dyDescent="0.2">
      <c r="A7" s="3" t="s">
        <v>99</v>
      </c>
      <c r="B7" s="5">
        <f>COUNTIFS(Data!H:H,"USA",Data!D:D,"Finance")</f>
        <v>0</v>
      </c>
      <c r="C7" s="5">
        <f>COUNTIFS(Data!H:H,"USA",Data!D:D,"HR")</f>
        <v>3</v>
      </c>
      <c r="D7" s="5">
        <f>COUNTIFS(Data!H:H,"USA",Data!D:D,"IT")</f>
        <v>2</v>
      </c>
      <c r="E7" s="5">
        <f>COUNTIFS(Data!H:H,"USA",Data!D:D,"Marketing")</f>
        <v>0</v>
      </c>
      <c r="F7" s="5">
        <f>COUNTIFS(Data!H:H,"USA",Data!D:D,"Operations")</f>
        <v>2</v>
      </c>
      <c r="G7" s="5">
        <f>COUNTIFS(Data!H:H,"USA",Data!D:D,"Sales")</f>
        <v>0</v>
      </c>
      <c r="H7" s="5">
        <f t="shared" si="0"/>
        <v>7</v>
      </c>
    </row>
    <row r="8" spans="1:8" x14ac:dyDescent="0.2">
      <c r="A8" s="3" t="s">
        <v>133</v>
      </c>
      <c r="B8" s="5">
        <f t="shared" ref="B8:H8" si="1">SUM(B2:B7)</f>
        <v>5</v>
      </c>
      <c r="C8" s="5">
        <f t="shared" si="1"/>
        <v>4</v>
      </c>
      <c r="D8" s="5">
        <f t="shared" si="1"/>
        <v>8</v>
      </c>
      <c r="E8" s="5">
        <f t="shared" si="1"/>
        <v>5</v>
      </c>
      <c r="F8" s="5">
        <f t="shared" si="1"/>
        <v>2</v>
      </c>
      <c r="G8" s="5">
        <f t="shared" si="1"/>
        <v>5</v>
      </c>
      <c r="H8" s="5">
        <f t="shared" si="1"/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7.83203125" customWidth="1"/>
    <col min="2" max="2" width="26.83203125" customWidth="1"/>
  </cols>
  <sheetData>
    <row r="1" spans="1:2" x14ac:dyDescent="0.2">
      <c r="A1" s="3" t="s">
        <v>3</v>
      </c>
      <c r="B1" s="3" t="s">
        <v>134</v>
      </c>
    </row>
    <row r="2" spans="1:2" x14ac:dyDescent="0.2">
      <c r="A2" s="5" t="s">
        <v>91</v>
      </c>
      <c r="B2" s="5">
        <f>AVERAGEIF(Data!D:D,"Finance",Data!G:G)</f>
        <v>10.559999999999999</v>
      </c>
    </row>
    <row r="3" spans="1:2" x14ac:dyDescent="0.2">
      <c r="A3" s="5" t="s">
        <v>96</v>
      </c>
      <c r="B3" s="5">
        <f>AVERAGEIF(Data!D:D,"HR",Data!G:G)</f>
        <v>8.75</v>
      </c>
    </row>
    <row r="4" spans="1:2" x14ac:dyDescent="0.2">
      <c r="A4" s="5" t="s">
        <v>92</v>
      </c>
      <c r="B4" s="5">
        <f>AVERAGEIF(Data!D:D,"IT",Data!G:G)</f>
        <v>8.1624999999999996</v>
      </c>
    </row>
    <row r="5" spans="1:2" x14ac:dyDescent="0.2">
      <c r="A5" s="5" t="s">
        <v>95</v>
      </c>
      <c r="B5" s="5">
        <f>AVERAGEIF(Data!D:D,"Marketing",Data!G:G)</f>
        <v>7.1199999999999992</v>
      </c>
    </row>
    <row r="6" spans="1:2" x14ac:dyDescent="0.2">
      <c r="A6" s="5" t="s">
        <v>94</v>
      </c>
      <c r="B6" s="5">
        <f>AVERAGEIF(Data!D:D,"Operations",Data!G:G)</f>
        <v>13</v>
      </c>
    </row>
    <row r="7" spans="1:2" x14ac:dyDescent="0.2">
      <c r="A7" s="5" t="s">
        <v>93</v>
      </c>
      <c r="B7" s="5">
        <f>AVERAGEIF(Data!D:D,"Sales",Data!G:G)</f>
        <v>5.34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baseColWidth="10" defaultColWidth="8.83203125" defaultRowHeight="15" x14ac:dyDescent="0.2"/>
  <cols>
    <col min="1" max="1" width="18.6640625" customWidth="1"/>
    <col min="2" max="2" width="19" customWidth="1"/>
    <col min="3" max="3" width="18.1640625" customWidth="1"/>
  </cols>
  <sheetData>
    <row r="1" spans="1:3" x14ac:dyDescent="0.2">
      <c r="A1" s="3" t="s">
        <v>3</v>
      </c>
      <c r="B1" s="3" t="s">
        <v>135</v>
      </c>
      <c r="C1" s="3" t="s">
        <v>136</v>
      </c>
    </row>
    <row r="2" spans="1:3" x14ac:dyDescent="0.2">
      <c r="A2" s="5" t="s">
        <v>91</v>
      </c>
      <c r="B2" s="4">
        <f>AVERAGEIF(Data!D:D,"Finance",Data!F:F)</f>
        <v>91752.645999999993</v>
      </c>
      <c r="C2" s="4">
        <f>SUMIF(Data!D:D,"Finance",Data!F:F)</f>
        <v>458763.23</v>
      </c>
    </row>
    <row r="3" spans="1:3" x14ac:dyDescent="0.2">
      <c r="A3" s="5" t="s">
        <v>96</v>
      </c>
      <c r="B3" s="4">
        <f>AVERAGEIF(Data!D:D,"HR",Data!F:F)</f>
        <v>80025.5625</v>
      </c>
      <c r="C3" s="4">
        <f>SUMIF(Data!D:D,"HR",Data!F:F)</f>
        <v>320102.25</v>
      </c>
    </row>
    <row r="4" spans="1:3" x14ac:dyDescent="0.2">
      <c r="A4" s="5" t="s">
        <v>92</v>
      </c>
      <c r="B4" s="4">
        <f>AVERAGEIF(Data!D:D,"IT",Data!F:F)</f>
        <v>111742.54624999998</v>
      </c>
      <c r="C4" s="4">
        <f>SUMIF(Data!D:D,"IT",Data!F:F)</f>
        <v>893940.36999999988</v>
      </c>
    </row>
    <row r="5" spans="1:3" x14ac:dyDescent="0.2">
      <c r="A5" s="5" t="s">
        <v>95</v>
      </c>
      <c r="B5" s="4">
        <f>AVERAGEIF(Data!D:D,"Marketing",Data!F:F)</f>
        <v>78200.459999999992</v>
      </c>
      <c r="C5" s="4">
        <f>SUMIF(Data!D:D,"Marketing",Data!F:F)</f>
        <v>391002.3</v>
      </c>
    </row>
    <row r="6" spans="1:3" x14ac:dyDescent="0.2">
      <c r="A6" s="5" t="s">
        <v>94</v>
      </c>
      <c r="B6" s="4">
        <f>AVERAGEIF(Data!D:D,"Operations",Data!F:F)</f>
        <v>130150.47500000001</v>
      </c>
      <c r="C6" s="4">
        <f>SUMIF(Data!D:D,"Operations",Data!F:F)</f>
        <v>260300.95</v>
      </c>
    </row>
    <row r="7" spans="1:3" x14ac:dyDescent="0.2">
      <c r="A7" s="5" t="s">
        <v>93</v>
      </c>
      <c r="B7" s="4">
        <f>AVERAGEIF(Data!D:D,"Sales",Data!F:F)</f>
        <v>90305.05</v>
      </c>
      <c r="C7" s="4">
        <f>SUMIF(Data!D:D,"Sales",Data!F:F)</f>
        <v>451525.25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17.5" customWidth="1"/>
  </cols>
  <sheetData>
    <row r="1" spans="1:2" x14ac:dyDescent="0.2">
      <c r="A1" s="3" t="s">
        <v>9</v>
      </c>
      <c r="B1" s="3" t="s">
        <v>137</v>
      </c>
    </row>
    <row r="2" spans="1:2" x14ac:dyDescent="0.2">
      <c r="A2" s="5">
        <v>2012</v>
      </c>
      <c r="B2" s="5">
        <f>COUNTIF(Data!E:E,"&gt;="&amp;DATE(2012,1,1))-COUNTIF(Data!E:E,"&gt;"&amp;DATE(2012,12,31))</f>
        <v>2</v>
      </c>
    </row>
    <row r="3" spans="1:2" x14ac:dyDescent="0.2">
      <c r="A3" s="5">
        <v>2013</v>
      </c>
      <c r="B3" s="5">
        <f>COUNTIF(Data!E:E,"&gt;="&amp;DATE(2013,1,1))-COUNTIF(Data!E:E,"&gt;"&amp;DATE(2013,12,31))</f>
        <v>3</v>
      </c>
    </row>
    <row r="4" spans="1:2" x14ac:dyDescent="0.2">
      <c r="A4" s="5">
        <v>2014</v>
      </c>
      <c r="B4" s="5">
        <f>COUNTIF(Data!E:E,"&gt;="&amp;DATE(2014,1,1))-COUNTIF(Data!E:E,"&gt;"&amp;DATE(2014,12,31))</f>
        <v>3</v>
      </c>
    </row>
    <row r="5" spans="1:2" x14ac:dyDescent="0.2">
      <c r="A5" s="5">
        <v>2015</v>
      </c>
      <c r="B5" s="5">
        <f>COUNTIF(Data!E:E,"&gt;="&amp;DATE(2015,1,1))-COUNTIF(Data!E:E,"&gt;"&amp;DATE(2015,12,31))</f>
        <v>3</v>
      </c>
    </row>
    <row r="6" spans="1:2" x14ac:dyDescent="0.2">
      <c r="A6" s="5">
        <v>2016</v>
      </c>
      <c r="B6" s="5">
        <f>COUNTIF(Data!E:E,"&gt;="&amp;DATE(2016,1,1))-COUNTIF(Data!E:E,"&gt;"&amp;DATE(2016,12,31))</f>
        <v>4</v>
      </c>
    </row>
    <row r="7" spans="1:2" x14ac:dyDescent="0.2">
      <c r="A7" s="5">
        <v>2017</v>
      </c>
      <c r="B7" s="5">
        <f>COUNTIF(Data!E:E,"&gt;="&amp;DATE(2017,1,1))-COUNTIF(Data!E:E,"&gt;"&amp;DATE(2017,12,31))</f>
        <v>3</v>
      </c>
    </row>
    <row r="8" spans="1:2" x14ac:dyDescent="0.2">
      <c r="A8" s="5">
        <v>2018</v>
      </c>
      <c r="B8" s="5">
        <f>COUNTIF(Data!E:E,"&gt;="&amp;DATE(2018,1,1))-COUNTIF(Data!E:E,"&gt;"&amp;DATE(2018,12,31))</f>
        <v>4</v>
      </c>
    </row>
    <row r="9" spans="1:2" x14ac:dyDescent="0.2">
      <c r="A9" s="5">
        <v>2019</v>
      </c>
      <c r="B9" s="5">
        <f>COUNTIF(Data!E:E,"&gt;="&amp;DATE(2019,1,1))-COUNTIF(Data!E:E,"&gt;"&amp;DATE(2019,12,31))</f>
        <v>4</v>
      </c>
    </row>
    <row r="10" spans="1:2" x14ac:dyDescent="0.2">
      <c r="A10" s="5">
        <v>2020</v>
      </c>
      <c r="B10" s="5">
        <f>COUNTIF(Data!E:E,"&gt;="&amp;DATE(2020,1,1))-COUNTIF(Data!E:E,"&gt;"&amp;DATE(2020,12,31))</f>
        <v>2</v>
      </c>
    </row>
    <row r="11" spans="1:2" x14ac:dyDescent="0.2">
      <c r="A11" s="5">
        <v>2021</v>
      </c>
      <c r="B11" s="5">
        <f>COUNTIF(Data!E:E,"&gt;="&amp;DATE(2021,1,1))-COUNTIF(Data!E:E,"&gt;"&amp;DATE(2021,12,31))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"/>
  <sheetViews>
    <sheetView workbookViewId="0"/>
  </sheetViews>
  <sheetFormatPr baseColWidth="10" defaultColWidth="8.83203125" defaultRowHeight="15" x14ac:dyDescent="0.2"/>
  <cols>
    <col min="2" max="2" width="12.6640625" customWidth="1"/>
    <col min="3" max="3" width="21.1640625" customWidth="1"/>
  </cols>
  <sheetData>
    <row r="1" spans="1:3" x14ac:dyDescent="0.2">
      <c r="A1" s="3" t="s">
        <v>8</v>
      </c>
      <c r="B1" s="3" t="s">
        <v>138</v>
      </c>
      <c r="C1" s="3" t="s">
        <v>139</v>
      </c>
    </row>
    <row r="2" spans="1:3" x14ac:dyDescent="0.2">
      <c r="A2" s="5" t="s">
        <v>123</v>
      </c>
      <c r="B2" s="5">
        <f>COUNTIF(Data!I:I,"Atlanta")</f>
        <v>1</v>
      </c>
      <c r="C2" s="4">
        <f>SUMIF(Data!I:I,"Atlanta",Data!F:F)</f>
        <v>81000.55</v>
      </c>
    </row>
    <row r="3" spans="1:3" x14ac:dyDescent="0.2">
      <c r="A3" s="5" t="s">
        <v>104</v>
      </c>
      <c r="B3" s="5">
        <f>COUNTIF(Data!I:I,"Berlin")</f>
        <v>3</v>
      </c>
      <c r="C3" s="4">
        <f>SUMIF(Data!I:I,"Berlin",Data!F:F)</f>
        <v>315211.81999999995</v>
      </c>
    </row>
    <row r="4" spans="1:3" x14ac:dyDescent="0.2">
      <c r="A4" s="5" t="s">
        <v>110</v>
      </c>
      <c r="B4" s="5">
        <f>COUNTIF(Data!I:I,"Boston")</f>
        <v>1</v>
      </c>
      <c r="C4" s="4">
        <f>SUMIF(Data!I:I,"Boston",Data!F:F)</f>
        <v>68500.899999999994</v>
      </c>
    </row>
    <row r="5" spans="1:3" x14ac:dyDescent="0.2">
      <c r="A5" s="5" t="s">
        <v>120</v>
      </c>
      <c r="B5" s="5">
        <f>COUNTIF(Data!I:I,"Bristol")</f>
        <v>1</v>
      </c>
      <c r="C5" s="4">
        <f>SUMIF(Data!I:I,"Bristol",Data!F:F)</f>
        <v>58200.800000000003</v>
      </c>
    </row>
    <row r="6" spans="1:3" x14ac:dyDescent="0.2">
      <c r="A6" s="5" t="s">
        <v>124</v>
      </c>
      <c r="B6" s="5">
        <f>COUNTIF(Data!I:I,"Chennai")</f>
        <v>1</v>
      </c>
      <c r="C6" s="4">
        <f>SUMIF(Data!I:I,"Chennai",Data!F:F)</f>
        <v>115800</v>
      </c>
    </row>
    <row r="7" spans="1:3" x14ac:dyDescent="0.2">
      <c r="A7" s="5" t="s">
        <v>108</v>
      </c>
      <c r="B7" s="5">
        <f>COUNTIF(Data!I:I,"Chicago")</f>
        <v>2</v>
      </c>
      <c r="C7" s="4">
        <f>SUMIF(Data!I:I,"Chicago",Data!F:F)</f>
        <v>212400.35</v>
      </c>
    </row>
    <row r="8" spans="1:3" x14ac:dyDescent="0.2">
      <c r="A8" s="5" t="s">
        <v>106</v>
      </c>
      <c r="B8" s="5">
        <f>COUNTIF(Data!I:I,"Delhi")</f>
        <v>1</v>
      </c>
      <c r="C8" s="4">
        <f>SUMIF(Data!I:I,"Delhi",Data!F:F)</f>
        <v>115450.5</v>
      </c>
    </row>
    <row r="9" spans="1:3" x14ac:dyDescent="0.2">
      <c r="A9" s="5" t="s">
        <v>118</v>
      </c>
      <c r="B9" s="5">
        <f>COUNTIF(Data!I:I,"Hamburg")</f>
        <v>1</v>
      </c>
      <c r="C9" s="4">
        <f>SUMIF(Data!I:I,"Hamburg",Data!F:F)</f>
        <v>69800.25</v>
      </c>
    </row>
    <row r="10" spans="1:3" x14ac:dyDescent="0.2">
      <c r="A10" s="5" t="s">
        <v>121</v>
      </c>
      <c r="B10" s="5">
        <f>COUNTIF(Data!I:I,"Hyderabad")</f>
        <v>1</v>
      </c>
      <c r="C10" s="4">
        <f>SUMIF(Data!I:I,"Hyderabad",Data!F:F)</f>
        <v>93600.6</v>
      </c>
    </row>
    <row r="11" spans="1:3" x14ac:dyDescent="0.2">
      <c r="A11" s="5" t="s">
        <v>125</v>
      </c>
      <c r="B11" s="5">
        <f>COUNTIF(Data!I:I,"Liverpool")</f>
        <v>1</v>
      </c>
      <c r="C11" s="4">
        <f>SUMIF(Data!I:I,"Liverpool",Data!F:F)</f>
        <v>99500.75</v>
      </c>
    </row>
    <row r="12" spans="1:3" x14ac:dyDescent="0.2">
      <c r="A12" s="5" t="s">
        <v>114</v>
      </c>
      <c r="B12" s="5">
        <f>COUNTIF(Data!I:I,"London")</f>
        <v>1</v>
      </c>
      <c r="C12" s="4">
        <f>SUMIF(Data!I:I,"London",Data!F:F)</f>
        <v>109500.25</v>
      </c>
    </row>
    <row r="13" spans="1:3" x14ac:dyDescent="0.2">
      <c r="A13" s="5" t="s">
        <v>111</v>
      </c>
      <c r="B13" s="5">
        <f>COUNTIF(Data!I:I,"Lyon")</f>
        <v>1</v>
      </c>
      <c r="C13" s="4">
        <f>SUMIF(Data!I:I,"Lyon",Data!F:F)</f>
        <v>60200.45</v>
      </c>
    </row>
    <row r="14" spans="1:3" x14ac:dyDescent="0.2">
      <c r="A14" s="5" t="s">
        <v>117</v>
      </c>
      <c r="B14" s="5">
        <f>COUNTIF(Data!I:I,"Manchester")</f>
        <v>1</v>
      </c>
      <c r="C14" s="4">
        <f>SUMIF(Data!I:I,"Manchester",Data!F:F)</f>
        <v>104500.7</v>
      </c>
    </row>
    <row r="15" spans="1:3" x14ac:dyDescent="0.2">
      <c r="A15" s="5" t="s">
        <v>115</v>
      </c>
      <c r="B15" s="5">
        <f>COUNTIF(Data!I:I,"Miami")</f>
        <v>1</v>
      </c>
      <c r="C15" s="4">
        <f>SUMIF(Data!I:I,"Miami",Data!F:F)</f>
        <v>71500.55</v>
      </c>
    </row>
    <row r="16" spans="1:3" x14ac:dyDescent="0.2">
      <c r="A16" s="5" t="s">
        <v>109</v>
      </c>
      <c r="B16" s="5">
        <f>COUNTIF(Data!I:I,"Montreal")</f>
        <v>1</v>
      </c>
      <c r="C16" s="4">
        <f>SUMIF(Data!I:I,"Montreal",Data!F:F)</f>
        <v>89400.8</v>
      </c>
    </row>
    <row r="17" spans="1:3" x14ac:dyDescent="0.2">
      <c r="A17" s="5" t="s">
        <v>112</v>
      </c>
      <c r="B17" s="5">
        <f>COUNTIF(Data!I:I,"Mumbai")</f>
        <v>1</v>
      </c>
      <c r="C17" s="4">
        <f>SUMIF(Data!I:I,"Mumbai",Data!F:F)</f>
        <v>121300.1</v>
      </c>
    </row>
    <row r="18" spans="1:3" x14ac:dyDescent="0.2">
      <c r="A18" s="5" t="s">
        <v>105</v>
      </c>
      <c r="B18" s="5">
        <f>COUNTIF(Data!I:I,"New York")</f>
        <v>1</v>
      </c>
      <c r="C18" s="4">
        <f>SUMIF(Data!I:I,"New York",Data!F:F)</f>
        <v>125500</v>
      </c>
    </row>
    <row r="19" spans="1:3" x14ac:dyDescent="0.2">
      <c r="A19" s="5" t="s">
        <v>122</v>
      </c>
      <c r="B19" s="5">
        <f>COUNTIF(Data!I:I,"Ottawa")</f>
        <v>1</v>
      </c>
      <c r="C19" s="4">
        <f>SUMIF(Data!I:I,"Ottawa",Data!F:F)</f>
        <v>74500.350000000006</v>
      </c>
    </row>
    <row r="20" spans="1:3" x14ac:dyDescent="0.2">
      <c r="A20" s="5" t="s">
        <v>107</v>
      </c>
      <c r="B20" s="5">
        <f>COUNTIF(Data!I:I,"Paris")</f>
        <v>2</v>
      </c>
      <c r="C20" s="4">
        <f>SUMIF(Data!I:I,"Paris",Data!F:F)</f>
        <v>204800.4</v>
      </c>
    </row>
    <row r="21" spans="1:3" x14ac:dyDescent="0.2">
      <c r="A21" s="5" t="s">
        <v>116</v>
      </c>
      <c r="B21" s="5">
        <f>COUNTIF(Data!I:I,"Paris
EMP018,Charlotte King,Data Scientist,IT,2022-07-13,125700.85,2.5,India,Bangalore")</f>
        <v>1</v>
      </c>
      <c r="C21" s="4">
        <f>SUMIF(Data!I:I,"Paris
EMP018,Charlotte King,Data Scientist,IT,2022-07-13,125700.85,2.5,India,Bangalore",Data!F:F)</f>
        <v>85000.65</v>
      </c>
    </row>
    <row r="22" spans="1:3" x14ac:dyDescent="0.2">
      <c r="A22" s="5" t="s">
        <v>119</v>
      </c>
      <c r="B22" s="5">
        <f>COUNTIF(Data!I:I,"San Francisco")</f>
        <v>1</v>
      </c>
      <c r="C22" s="4">
        <f>SUMIF(Data!I:I,"San Francisco",Data!F:F)</f>
        <v>134800.95000000001</v>
      </c>
    </row>
    <row r="23" spans="1:3" x14ac:dyDescent="0.2">
      <c r="A23" s="5" t="s">
        <v>103</v>
      </c>
      <c r="B23" s="5">
        <f>COUNTIF(Data!I:I,"Toronto")</f>
        <v>3</v>
      </c>
      <c r="C23" s="4">
        <f>SUMIF(Data!I:I,"Toronto",Data!F:F)</f>
        <v>265361.88</v>
      </c>
    </row>
    <row r="24" spans="1:3" x14ac:dyDescent="0.2">
      <c r="A24" s="5" t="s">
        <v>113</v>
      </c>
      <c r="B24" s="5">
        <f>COUNTIF(Data!I:I,"Vancouver")</f>
        <v>1</v>
      </c>
      <c r="C24" s="4">
        <f>SUMIF(Data!I:I,"Vancouver",Data!F:F)</f>
        <v>99800.75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"/>
  <sheetViews>
    <sheetView workbookViewId="0"/>
  </sheetViews>
  <sheetFormatPr baseColWidth="10" defaultColWidth="8.83203125" defaultRowHeight="15" x14ac:dyDescent="0.2"/>
  <cols>
    <col min="1" max="1" width="17.1640625" customWidth="1"/>
    <col min="2" max="2" width="16.83203125" customWidth="1"/>
    <col min="3" max="3" width="17" customWidth="1"/>
    <col min="4" max="4" width="19.5" customWidth="1"/>
    <col min="5" max="5" width="19.33203125" customWidth="1"/>
    <col min="6" max="6" width="16.1640625" customWidth="1"/>
    <col min="8" max="8" width="15.6640625" customWidth="1"/>
    <col min="10" max="10" width="15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31</v>
      </c>
      <c r="B2" t="s">
        <v>60</v>
      </c>
      <c r="C2" t="s">
        <v>85</v>
      </c>
      <c r="D2" t="s">
        <v>94</v>
      </c>
      <c r="E2" s="2">
        <v>41021</v>
      </c>
      <c r="F2">
        <v>134800.95000000001</v>
      </c>
      <c r="G2">
        <v>14.6</v>
      </c>
      <c r="H2" t="s">
        <v>99</v>
      </c>
      <c r="I2" t="s">
        <v>119</v>
      </c>
      <c r="J2">
        <v>2012</v>
      </c>
    </row>
    <row r="3" spans="1:10" x14ac:dyDescent="0.2">
      <c r="A3" t="s">
        <v>17</v>
      </c>
      <c r="B3" t="s">
        <v>46</v>
      </c>
      <c r="C3" t="s">
        <v>75</v>
      </c>
      <c r="D3" t="s">
        <v>92</v>
      </c>
      <c r="E3" s="2">
        <v>41845</v>
      </c>
      <c r="F3">
        <v>134200</v>
      </c>
      <c r="G3">
        <v>12</v>
      </c>
      <c r="H3" t="s">
        <v>99</v>
      </c>
      <c r="I3" t="s">
        <v>108</v>
      </c>
      <c r="J3">
        <v>2014</v>
      </c>
    </row>
    <row r="4" spans="1:10" x14ac:dyDescent="0.2">
      <c r="A4" t="s">
        <v>34</v>
      </c>
      <c r="B4" t="s">
        <v>63</v>
      </c>
      <c r="C4" t="s">
        <v>87</v>
      </c>
      <c r="D4" t="s">
        <v>92</v>
      </c>
      <c r="E4" s="2">
        <v>41939</v>
      </c>
      <c r="F4">
        <v>128300.2</v>
      </c>
      <c r="G4">
        <v>11.1</v>
      </c>
      <c r="H4" t="s">
        <v>101</v>
      </c>
      <c r="I4" t="s">
        <v>107</v>
      </c>
      <c r="J4">
        <v>2014</v>
      </c>
    </row>
    <row r="5" spans="1:10" x14ac:dyDescent="0.2">
      <c r="A5" t="s">
        <v>13</v>
      </c>
      <c r="B5" t="s">
        <v>42</v>
      </c>
      <c r="C5" t="s">
        <v>71</v>
      </c>
      <c r="D5" t="s">
        <v>94</v>
      </c>
      <c r="E5" s="2">
        <v>42522</v>
      </c>
      <c r="F5">
        <v>125500</v>
      </c>
      <c r="G5">
        <v>11.4</v>
      </c>
      <c r="H5" t="s">
        <v>99</v>
      </c>
      <c r="I5" t="s">
        <v>105</v>
      </c>
      <c r="J5">
        <v>2016</v>
      </c>
    </row>
    <row r="6" spans="1:10" x14ac:dyDescent="0.2">
      <c r="A6" t="s">
        <v>22</v>
      </c>
      <c r="B6" t="s">
        <v>51</v>
      </c>
      <c r="C6" t="s">
        <v>80</v>
      </c>
      <c r="D6" t="s">
        <v>92</v>
      </c>
      <c r="E6" s="2">
        <v>42587</v>
      </c>
      <c r="F6">
        <v>121300.1</v>
      </c>
      <c r="G6">
        <v>8.5</v>
      </c>
      <c r="H6" t="s">
        <v>100</v>
      </c>
      <c r="I6" t="s">
        <v>112</v>
      </c>
      <c r="J6">
        <v>2016</v>
      </c>
    </row>
    <row r="7" spans="1:10" x14ac:dyDescent="0.2">
      <c r="A7" t="s">
        <v>37</v>
      </c>
      <c r="B7" t="s">
        <v>66</v>
      </c>
      <c r="C7" t="s">
        <v>70</v>
      </c>
      <c r="D7" t="s">
        <v>92</v>
      </c>
      <c r="E7" s="2">
        <v>43409</v>
      </c>
      <c r="F7">
        <v>115800</v>
      </c>
      <c r="G7">
        <v>5.4</v>
      </c>
      <c r="H7" t="s">
        <v>100</v>
      </c>
      <c r="I7" t="s">
        <v>124</v>
      </c>
      <c r="J7">
        <v>2018</v>
      </c>
    </row>
    <row r="8" spans="1:10" x14ac:dyDescent="0.2">
      <c r="A8" t="s">
        <v>14</v>
      </c>
      <c r="B8" t="s">
        <v>43</v>
      </c>
      <c r="C8" t="s">
        <v>72</v>
      </c>
      <c r="D8" t="s">
        <v>92</v>
      </c>
      <c r="E8" s="2">
        <v>43905</v>
      </c>
      <c r="F8">
        <v>115450.5</v>
      </c>
      <c r="G8">
        <v>4.5</v>
      </c>
      <c r="H8" t="s">
        <v>100</v>
      </c>
      <c r="I8" t="s">
        <v>106</v>
      </c>
      <c r="J8">
        <v>2020</v>
      </c>
    </row>
    <row r="9" spans="1:10" x14ac:dyDescent="0.2">
      <c r="A9" t="s">
        <v>18</v>
      </c>
      <c r="B9" t="s">
        <v>47</v>
      </c>
      <c r="C9" t="s">
        <v>76</v>
      </c>
      <c r="D9" t="s">
        <v>93</v>
      </c>
      <c r="E9" s="2">
        <v>43474</v>
      </c>
      <c r="F9">
        <v>112300.65</v>
      </c>
      <c r="G9">
        <v>3.9</v>
      </c>
      <c r="H9" t="s">
        <v>102</v>
      </c>
      <c r="I9" t="s">
        <v>104</v>
      </c>
      <c r="J9">
        <v>2019</v>
      </c>
    </row>
    <row r="10" spans="1:10" x14ac:dyDescent="0.2">
      <c r="A10" t="s">
        <v>24</v>
      </c>
      <c r="B10" t="s">
        <v>53</v>
      </c>
      <c r="C10" t="s">
        <v>70</v>
      </c>
      <c r="D10" t="s">
        <v>93</v>
      </c>
      <c r="E10" s="2">
        <v>41968</v>
      </c>
      <c r="F10">
        <v>109500.25</v>
      </c>
      <c r="G10">
        <v>10.199999999999999</v>
      </c>
      <c r="H10" t="s">
        <v>98</v>
      </c>
      <c r="I10" t="s">
        <v>114</v>
      </c>
      <c r="J10">
        <v>2014</v>
      </c>
    </row>
    <row r="11" spans="1:10" x14ac:dyDescent="0.2">
      <c r="A11" t="s">
        <v>11</v>
      </c>
      <c r="B11" t="s">
        <v>40</v>
      </c>
      <c r="C11" t="s">
        <v>69</v>
      </c>
      <c r="D11" t="s">
        <v>92</v>
      </c>
      <c r="E11" s="2">
        <v>43380</v>
      </c>
      <c r="F11">
        <v>105887.97</v>
      </c>
      <c r="G11">
        <v>14.8</v>
      </c>
      <c r="H11" t="s">
        <v>98</v>
      </c>
      <c r="I11" t="s">
        <v>104</v>
      </c>
      <c r="J11">
        <v>2018</v>
      </c>
    </row>
    <row r="12" spans="1:10" x14ac:dyDescent="0.2">
      <c r="A12" t="s">
        <v>28</v>
      </c>
      <c r="B12" t="s">
        <v>57</v>
      </c>
      <c r="C12" t="s">
        <v>75</v>
      </c>
      <c r="D12" t="s">
        <v>92</v>
      </c>
      <c r="E12" s="2">
        <v>44072</v>
      </c>
      <c r="F12">
        <v>104500.7</v>
      </c>
      <c r="G12">
        <v>3.3</v>
      </c>
      <c r="H12" t="s">
        <v>98</v>
      </c>
      <c r="I12" t="s">
        <v>117</v>
      </c>
      <c r="J12">
        <v>2020</v>
      </c>
    </row>
    <row r="13" spans="1:10" x14ac:dyDescent="0.2">
      <c r="A13" t="s">
        <v>23</v>
      </c>
      <c r="B13" t="s">
        <v>52</v>
      </c>
      <c r="C13" t="s">
        <v>69</v>
      </c>
      <c r="D13" t="s">
        <v>91</v>
      </c>
      <c r="E13" s="2">
        <v>43027</v>
      </c>
      <c r="F13">
        <v>99800.75</v>
      </c>
      <c r="G13">
        <v>7.3</v>
      </c>
      <c r="H13" t="s">
        <v>97</v>
      </c>
      <c r="I13" t="s">
        <v>113</v>
      </c>
      <c r="J13">
        <v>2017</v>
      </c>
    </row>
    <row r="14" spans="1:10" x14ac:dyDescent="0.2">
      <c r="A14" t="s">
        <v>38</v>
      </c>
      <c r="B14" t="s">
        <v>67</v>
      </c>
      <c r="C14" t="s">
        <v>90</v>
      </c>
      <c r="D14" t="s">
        <v>95</v>
      </c>
      <c r="E14" s="2">
        <v>41540</v>
      </c>
      <c r="F14">
        <v>99500.75</v>
      </c>
      <c r="G14">
        <v>12.7</v>
      </c>
      <c r="H14" t="s">
        <v>98</v>
      </c>
      <c r="I14" t="s">
        <v>125</v>
      </c>
      <c r="J14">
        <v>2013</v>
      </c>
    </row>
    <row r="15" spans="1:10" x14ac:dyDescent="0.2">
      <c r="A15" t="s">
        <v>15</v>
      </c>
      <c r="B15" t="s">
        <v>44</v>
      </c>
      <c r="C15" t="s">
        <v>73</v>
      </c>
      <c r="D15" t="s">
        <v>91</v>
      </c>
      <c r="E15" s="2">
        <v>42268</v>
      </c>
      <c r="F15">
        <v>98400.75</v>
      </c>
      <c r="G15">
        <v>9.6999999999999993</v>
      </c>
      <c r="H15" t="s">
        <v>97</v>
      </c>
      <c r="I15" t="s">
        <v>103</v>
      </c>
      <c r="J15">
        <v>2015</v>
      </c>
    </row>
    <row r="16" spans="1:10" x14ac:dyDescent="0.2">
      <c r="A16" t="s">
        <v>12</v>
      </c>
      <c r="B16" t="s">
        <v>41</v>
      </c>
      <c r="C16" t="s">
        <v>70</v>
      </c>
      <c r="D16" t="s">
        <v>93</v>
      </c>
      <c r="E16" s="2">
        <v>43762</v>
      </c>
      <c r="F16">
        <v>97023.2</v>
      </c>
      <c r="G16">
        <v>1.3</v>
      </c>
      <c r="H16" t="s">
        <v>97</v>
      </c>
      <c r="I16" t="s">
        <v>104</v>
      </c>
      <c r="J16">
        <v>2019</v>
      </c>
    </row>
    <row r="17" spans="1:10" x14ac:dyDescent="0.2">
      <c r="A17" t="s">
        <v>33</v>
      </c>
      <c r="B17" t="s">
        <v>62</v>
      </c>
      <c r="C17" t="s">
        <v>73</v>
      </c>
      <c r="D17" t="s">
        <v>91</v>
      </c>
      <c r="E17" s="2">
        <v>42885</v>
      </c>
      <c r="F17">
        <v>93600.6</v>
      </c>
      <c r="G17">
        <v>7.7</v>
      </c>
      <c r="H17" t="s">
        <v>100</v>
      </c>
      <c r="I17" t="s">
        <v>121</v>
      </c>
      <c r="J17">
        <v>2017</v>
      </c>
    </row>
    <row r="18" spans="1:10" x14ac:dyDescent="0.2">
      <c r="A18" t="s">
        <v>19</v>
      </c>
      <c r="B18" t="s">
        <v>48</v>
      </c>
      <c r="C18" t="s">
        <v>77</v>
      </c>
      <c r="D18" t="s">
        <v>96</v>
      </c>
      <c r="E18" s="2">
        <v>41424</v>
      </c>
      <c r="F18">
        <v>89400.8</v>
      </c>
      <c r="G18">
        <v>14.2</v>
      </c>
      <c r="H18" t="s">
        <v>97</v>
      </c>
      <c r="I18" t="s">
        <v>109</v>
      </c>
      <c r="J18">
        <v>2013</v>
      </c>
    </row>
    <row r="19" spans="1:10" x14ac:dyDescent="0.2">
      <c r="A19" t="s">
        <v>27</v>
      </c>
      <c r="B19" t="s">
        <v>56</v>
      </c>
      <c r="C19" t="s">
        <v>83</v>
      </c>
      <c r="D19" t="s">
        <v>91</v>
      </c>
      <c r="E19" s="2">
        <v>41351</v>
      </c>
      <c r="F19">
        <v>88000.4</v>
      </c>
      <c r="G19">
        <v>15</v>
      </c>
      <c r="H19" t="s">
        <v>97</v>
      </c>
      <c r="I19" t="s">
        <v>103</v>
      </c>
      <c r="J19">
        <v>2013</v>
      </c>
    </row>
    <row r="20" spans="1:10" x14ac:dyDescent="0.2">
      <c r="A20" t="s">
        <v>26</v>
      </c>
      <c r="B20" t="s">
        <v>55</v>
      </c>
      <c r="C20" t="s">
        <v>82</v>
      </c>
      <c r="D20" t="s">
        <v>95</v>
      </c>
      <c r="E20" s="2">
        <v>42013</v>
      </c>
      <c r="F20">
        <v>85000.65</v>
      </c>
      <c r="G20">
        <v>9.5</v>
      </c>
      <c r="H20" t="s">
        <v>101</v>
      </c>
      <c r="I20" t="s">
        <v>116</v>
      </c>
      <c r="J20">
        <v>2015</v>
      </c>
    </row>
    <row r="21" spans="1:10" x14ac:dyDescent="0.2">
      <c r="A21" t="s">
        <v>36</v>
      </c>
      <c r="B21" t="s">
        <v>65</v>
      </c>
      <c r="C21" t="s">
        <v>89</v>
      </c>
      <c r="D21" t="s">
        <v>96</v>
      </c>
      <c r="E21" s="2">
        <v>42204</v>
      </c>
      <c r="F21">
        <v>81000.55</v>
      </c>
      <c r="G21">
        <v>9.9</v>
      </c>
      <c r="H21" t="s">
        <v>99</v>
      </c>
      <c r="I21" t="s">
        <v>123</v>
      </c>
      <c r="J21">
        <v>2015</v>
      </c>
    </row>
    <row r="22" spans="1:10" x14ac:dyDescent="0.2">
      <c r="A22" t="s">
        <v>10</v>
      </c>
      <c r="B22" t="s">
        <v>39</v>
      </c>
      <c r="C22" t="s">
        <v>68</v>
      </c>
      <c r="D22" t="s">
        <v>91</v>
      </c>
      <c r="E22" s="2">
        <v>40953</v>
      </c>
      <c r="F22">
        <v>78960.73</v>
      </c>
      <c r="G22">
        <v>13.1</v>
      </c>
      <c r="H22" t="s">
        <v>97</v>
      </c>
      <c r="I22" t="s">
        <v>103</v>
      </c>
      <c r="J22">
        <v>2012</v>
      </c>
    </row>
    <row r="23" spans="1:10" x14ac:dyDescent="0.2">
      <c r="A23" t="s">
        <v>29</v>
      </c>
      <c r="B23" t="s">
        <v>58</v>
      </c>
      <c r="C23" t="s">
        <v>68</v>
      </c>
      <c r="D23" t="s">
        <v>96</v>
      </c>
      <c r="E23" s="2">
        <v>42706</v>
      </c>
      <c r="F23">
        <v>78200.350000000006</v>
      </c>
      <c r="G23">
        <v>6.9</v>
      </c>
      <c r="H23" t="s">
        <v>99</v>
      </c>
      <c r="I23" t="s">
        <v>108</v>
      </c>
      <c r="J23">
        <v>2016</v>
      </c>
    </row>
    <row r="24" spans="1:10" x14ac:dyDescent="0.2">
      <c r="A24" t="s">
        <v>16</v>
      </c>
      <c r="B24" t="s">
        <v>45</v>
      </c>
      <c r="C24" t="s">
        <v>74</v>
      </c>
      <c r="D24" t="s">
        <v>95</v>
      </c>
      <c r="E24" s="2">
        <v>43080</v>
      </c>
      <c r="F24">
        <v>76500.2</v>
      </c>
      <c r="G24">
        <v>6.1</v>
      </c>
      <c r="H24" t="s">
        <v>101</v>
      </c>
      <c r="I24" t="s">
        <v>107</v>
      </c>
      <c r="J24">
        <v>2017</v>
      </c>
    </row>
    <row r="25" spans="1:10" x14ac:dyDescent="0.2">
      <c r="A25" t="s">
        <v>35</v>
      </c>
      <c r="B25" t="s">
        <v>64</v>
      </c>
      <c r="C25" t="s">
        <v>88</v>
      </c>
      <c r="D25" t="s">
        <v>93</v>
      </c>
      <c r="E25" s="2">
        <v>42380</v>
      </c>
      <c r="F25">
        <v>74500.350000000006</v>
      </c>
      <c r="G25">
        <v>8.1999999999999993</v>
      </c>
      <c r="H25" t="s">
        <v>97</v>
      </c>
      <c r="I25" t="s">
        <v>122</v>
      </c>
      <c r="J25">
        <v>2016</v>
      </c>
    </row>
    <row r="26" spans="1:10" x14ac:dyDescent="0.2">
      <c r="A26" t="s">
        <v>25</v>
      </c>
      <c r="B26" t="s">
        <v>54</v>
      </c>
      <c r="C26" t="s">
        <v>81</v>
      </c>
      <c r="D26" t="s">
        <v>96</v>
      </c>
      <c r="E26" s="2">
        <v>43569</v>
      </c>
      <c r="F26">
        <v>71500.55</v>
      </c>
      <c r="G26">
        <v>4</v>
      </c>
      <c r="H26" t="s">
        <v>99</v>
      </c>
      <c r="I26" t="s">
        <v>115</v>
      </c>
      <c r="J26">
        <v>2019</v>
      </c>
    </row>
    <row r="27" spans="1:10" x14ac:dyDescent="0.2">
      <c r="A27" t="s">
        <v>30</v>
      </c>
      <c r="B27" t="s">
        <v>59</v>
      </c>
      <c r="C27" t="s">
        <v>84</v>
      </c>
      <c r="D27" t="s">
        <v>95</v>
      </c>
      <c r="E27" s="2">
        <v>43360</v>
      </c>
      <c r="F27">
        <v>69800.25</v>
      </c>
      <c r="G27">
        <v>5.2</v>
      </c>
      <c r="H27" t="s">
        <v>102</v>
      </c>
      <c r="I27" t="s">
        <v>118</v>
      </c>
      <c r="J27">
        <v>2018</v>
      </c>
    </row>
    <row r="28" spans="1:10" x14ac:dyDescent="0.2">
      <c r="A28" t="s">
        <v>20</v>
      </c>
      <c r="B28" t="s">
        <v>49</v>
      </c>
      <c r="C28" t="s">
        <v>78</v>
      </c>
      <c r="D28" t="s">
        <v>92</v>
      </c>
      <c r="E28" s="2">
        <v>43148</v>
      </c>
      <c r="F28">
        <v>68500.899999999994</v>
      </c>
      <c r="G28">
        <v>5.7</v>
      </c>
      <c r="H28" t="s">
        <v>99</v>
      </c>
      <c r="I28" t="s">
        <v>110</v>
      </c>
      <c r="J28">
        <v>2018</v>
      </c>
    </row>
    <row r="29" spans="1:10" x14ac:dyDescent="0.2">
      <c r="A29" t="s">
        <v>21</v>
      </c>
      <c r="B29" t="s">
        <v>50</v>
      </c>
      <c r="C29" t="s">
        <v>79</v>
      </c>
      <c r="D29" t="s">
        <v>95</v>
      </c>
      <c r="E29" s="2">
        <v>44367</v>
      </c>
      <c r="F29">
        <v>60200.45</v>
      </c>
      <c r="G29">
        <v>2.1</v>
      </c>
      <c r="H29" t="s">
        <v>101</v>
      </c>
      <c r="I29" t="s">
        <v>111</v>
      </c>
      <c r="J29">
        <v>2021</v>
      </c>
    </row>
    <row r="30" spans="1:10" x14ac:dyDescent="0.2">
      <c r="A30" t="s">
        <v>32</v>
      </c>
      <c r="B30" t="s">
        <v>61</v>
      </c>
      <c r="C30" t="s">
        <v>86</v>
      </c>
      <c r="D30" t="s">
        <v>93</v>
      </c>
      <c r="E30" s="2">
        <v>43649</v>
      </c>
      <c r="F30">
        <v>58200.800000000003</v>
      </c>
      <c r="G30">
        <v>3.1</v>
      </c>
      <c r="H30" t="s">
        <v>98</v>
      </c>
      <c r="I30" t="s">
        <v>120</v>
      </c>
      <c r="J30">
        <v>2019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tabSelected="1" workbookViewId="0"/>
  </sheetViews>
  <sheetFormatPr baseColWidth="10" defaultColWidth="8.83203125" defaultRowHeight="15" x14ac:dyDescent="0.2"/>
  <cols>
    <col min="1" max="1" width="16.1640625" customWidth="1"/>
    <col min="2" max="2" width="15.5" customWidth="1"/>
    <col min="3" max="3" width="18.5" customWidth="1"/>
    <col min="4" max="4" width="17.6640625" customWidth="1"/>
    <col min="5" max="5" width="19.33203125" customWidth="1"/>
    <col min="6" max="6" width="17.6640625" customWidth="1"/>
    <col min="7" max="7" width="18" customWidth="1"/>
  </cols>
  <sheetData>
    <row r="1" spans="1:7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5</v>
      </c>
      <c r="F1" s="3" t="s">
        <v>7</v>
      </c>
      <c r="G1" s="3" t="s">
        <v>8</v>
      </c>
    </row>
    <row r="2" spans="1:7" x14ac:dyDescent="0.2">
      <c r="A2" s="5" t="str">
        <f>INDEX(Helper_Sorted!A:A,2)</f>
        <v>EMP023</v>
      </c>
      <c r="B2" s="5" t="str">
        <f>INDEX(Helper_Sorted!B:B,2)</f>
        <v>Daniel Perez</v>
      </c>
      <c r="C2" s="5" t="str">
        <f>INDEX(Helper_Sorted!C:C,2)</f>
        <v>Product Owner</v>
      </c>
      <c r="D2" s="5" t="str">
        <f>INDEX(Helper_Sorted!D:D,2)</f>
        <v>Operations</v>
      </c>
      <c r="E2" s="4">
        <f>INDEX(Helper_Sorted!F:F,2)</f>
        <v>134800.95000000001</v>
      </c>
      <c r="F2" s="5" t="str">
        <f>INDEX(Helper_Sorted!H:H,2)</f>
        <v>USA</v>
      </c>
      <c r="G2" s="5" t="str">
        <f>INDEX(Helper_Sorted!I:I,2)</f>
        <v>San Francisco</v>
      </c>
    </row>
    <row r="3" spans="1:7" x14ac:dyDescent="0.2">
      <c r="A3" s="5" t="str">
        <f>INDEX(Helper_Sorted!A:A,3)</f>
        <v>EMP008</v>
      </c>
      <c r="B3" s="5" t="str">
        <f>INDEX(Helper_Sorted!B:B,3)</f>
        <v>Daniel Scott</v>
      </c>
      <c r="C3" s="5" t="str">
        <f>INDEX(Helper_Sorted!C:C,3)</f>
        <v>Software Engineer</v>
      </c>
      <c r="D3" s="5" t="str">
        <f>INDEX(Helper_Sorted!D:D,3)</f>
        <v>IT</v>
      </c>
      <c r="E3" s="4">
        <f>INDEX(Helper_Sorted!F:F,3)</f>
        <v>134200</v>
      </c>
      <c r="F3" s="5" t="str">
        <f>INDEX(Helper_Sorted!H:H,3)</f>
        <v>USA</v>
      </c>
      <c r="G3" s="5" t="str">
        <f>INDEX(Helper_Sorted!I:I,3)</f>
        <v>Chicago</v>
      </c>
    </row>
    <row r="4" spans="1:7" x14ac:dyDescent="0.2">
      <c r="A4" s="5" t="str">
        <f>INDEX(Helper_Sorted!A:A,4)</f>
        <v>EMP026</v>
      </c>
      <c r="B4" s="5" t="str">
        <f>INDEX(Helper_Sorted!B:B,4)</f>
        <v>Sofia Mitchell</v>
      </c>
      <c r="C4" s="5" t="str">
        <f>INDEX(Helper_Sorted!C:C,4)</f>
        <v>Data Engineer</v>
      </c>
      <c r="D4" s="5" t="str">
        <f>INDEX(Helper_Sorted!D:D,4)</f>
        <v>IT</v>
      </c>
      <c r="E4" s="4">
        <f>INDEX(Helper_Sorted!F:F,4)</f>
        <v>128300.2</v>
      </c>
      <c r="F4" s="5" t="str">
        <f>INDEX(Helper_Sorted!H:H,4)</f>
        <v>France</v>
      </c>
      <c r="G4" s="5" t="str">
        <f>INDEX(Helper_Sorted!I:I,4)</f>
        <v>Paris</v>
      </c>
    </row>
    <row r="5" spans="1:7" x14ac:dyDescent="0.2">
      <c r="A5" s="5" t="str">
        <f>INDEX(Helper_Sorted!A:A,5)</f>
        <v>EMP004</v>
      </c>
      <c r="B5" s="5" t="str">
        <f>INDEX(Helper_Sorted!B:B,5)</f>
        <v>James Johnson</v>
      </c>
      <c r="C5" s="5" t="str">
        <f>INDEX(Helper_Sorted!C:C,5)</f>
        <v>Project Manager</v>
      </c>
      <c r="D5" s="5" t="str">
        <f>INDEX(Helper_Sorted!D:D,5)</f>
        <v>Operations</v>
      </c>
      <c r="E5" s="4">
        <f>INDEX(Helper_Sorted!F:F,5)</f>
        <v>125500</v>
      </c>
      <c r="F5" s="5" t="str">
        <f>INDEX(Helper_Sorted!H:H,5)</f>
        <v>USA</v>
      </c>
      <c r="G5" s="5" t="str">
        <f>INDEX(Helper_Sorted!I:I,5)</f>
        <v>New York</v>
      </c>
    </row>
    <row r="6" spans="1:7" x14ac:dyDescent="0.2">
      <c r="A6" s="5" t="str">
        <f>INDEX(Helper_Sorted!A:A,6)</f>
        <v>EMP013</v>
      </c>
      <c r="B6" s="5" t="str">
        <f>INDEX(Helper_Sorted!B:B,6)</f>
        <v>Michael Clark</v>
      </c>
      <c r="C6" s="5" t="str">
        <f>INDEX(Helper_Sorted!C:C,6)</f>
        <v>DevOps Engineer</v>
      </c>
      <c r="D6" s="5" t="str">
        <f>INDEX(Helper_Sorted!D:D,6)</f>
        <v>IT</v>
      </c>
      <c r="E6" s="4">
        <f>INDEX(Helper_Sorted!F:F,6)</f>
        <v>121300.1</v>
      </c>
      <c r="F6" s="5" t="str">
        <f>INDEX(Helper_Sorted!H:H,6)</f>
        <v>India</v>
      </c>
      <c r="G6" s="5" t="str">
        <f>INDEX(Helper_Sorted!I:I,6)</f>
        <v>Mumbai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KPIs</vt:lpstr>
      <vt:lpstr>Dept_by_Country</vt:lpstr>
      <vt:lpstr>Experience_by_Dept</vt:lpstr>
      <vt:lpstr>Salary_by_Dept</vt:lpstr>
      <vt:lpstr>Hiring_Trend</vt:lpstr>
      <vt:lpstr>City_Insights</vt:lpstr>
      <vt:lpstr>Helper_Sorted</vt:lpstr>
      <vt:lpstr>Top5_Earners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Gloria Apoapala Azimbe</cp:lastModifiedBy>
  <dcterms:created xsi:type="dcterms:W3CDTF">2025-10-11T20:47:46Z</dcterms:created>
  <dcterms:modified xsi:type="dcterms:W3CDTF">2025-10-11T20:56:01Z</dcterms:modified>
</cp:coreProperties>
</file>