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crypse\OneDrive\Study\mySQL\Coursera_Managing_Big_Data_with_MySQL\Capstone_Real_Estate_Profits_Data_Analytics\"/>
    </mc:Choice>
  </mc:AlternateContent>
  <xr:revisionPtr revIDLastSave="5" documentId="11_61E62A59C1992527699E6DE732E612E0FF65CEA5" xr6:coauthVersionLast="32" xr6:coauthVersionMax="32" xr10:uidLastSave="{75770120-7CF4-4BF5-8EF3-3281BFDD7C8C}"/>
  <bookViews>
    <workbookView xWindow="0" yWindow="1008" windowWidth="23040" windowHeight="7992" tabRatio="500" activeTab="2" xr2:uid="{00000000-000D-0000-FFFF-FFFF00000000}"/>
  </bookViews>
  <sheets>
    <sheet name="Annual Cash Flows" sheetId="1" r:id="rId1"/>
    <sheet name="Annual Profits" sheetId="2" r:id="rId2"/>
    <sheet name="Solver Revenue Maximization" sheetId="4" r:id="rId3"/>
    <sheet name="$ to Percentile Conversion" sheetId="3" r:id="rId4"/>
  </sheets>
  <definedNames>
    <definedName name="solver_adj" localSheetId="2" hidden="1">'Solver Revenue Maximization'!$B$26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'Solver Revenue Maximization'!$E$26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E12" i="1"/>
  <c r="D26" i="1"/>
  <c r="E26" i="1"/>
  <c r="F26" i="1"/>
  <c r="E10" i="1"/>
  <c r="E13" i="1"/>
  <c r="C26" i="4"/>
  <c r="D26" i="4"/>
  <c r="E26" i="4"/>
  <c r="B23" i="4"/>
  <c r="C23" i="4"/>
  <c r="D5" i="4"/>
  <c r="E5" i="4"/>
  <c r="C27" i="3"/>
  <c r="C26" i="3"/>
  <c r="C16" i="3"/>
  <c r="C18" i="3"/>
  <c r="C20" i="3"/>
  <c r="E20" i="3"/>
  <c r="C21" i="3"/>
  <c r="C24" i="3"/>
  <c r="C25" i="3"/>
  <c r="E26" i="3"/>
  <c r="F14" i="2"/>
  <c r="E14" i="2"/>
  <c r="D14" i="2"/>
  <c r="B25" i="4"/>
  <c r="C25" i="4"/>
  <c r="E27" i="2"/>
  <c r="F27" i="2"/>
  <c r="F10" i="2"/>
  <c r="D24" i="2"/>
  <c r="E24" i="2"/>
  <c r="F24" i="2"/>
  <c r="F8" i="2"/>
  <c r="F11" i="2"/>
  <c r="F15" i="2"/>
  <c r="F16" i="2"/>
  <c r="E33" i="2"/>
  <c r="F33" i="2"/>
  <c r="F17" i="2"/>
  <c r="F18" i="2"/>
  <c r="E15" i="2"/>
  <c r="E16" i="2"/>
  <c r="E17" i="2"/>
  <c r="E18" i="2"/>
  <c r="D16" i="2"/>
  <c r="D17" i="2"/>
  <c r="D18" i="2"/>
  <c r="D10" i="2"/>
  <c r="D8" i="2"/>
  <c r="D11" i="2"/>
  <c r="D20" i="2"/>
  <c r="E10" i="2"/>
  <c r="E8" i="2"/>
  <c r="E11" i="2"/>
  <c r="E20" i="2"/>
  <c r="D12" i="1"/>
  <c r="D10" i="1"/>
  <c r="D13" i="1"/>
  <c r="D16" i="1"/>
  <c r="E17" i="1"/>
  <c r="C10" i="1"/>
  <c r="E35" i="1"/>
  <c r="C12" i="1"/>
  <c r="C13" i="1"/>
  <c r="E27" i="3"/>
  <c r="E21" i="3"/>
  <c r="C17" i="3"/>
  <c r="C6" i="3"/>
  <c r="H11" i="3"/>
  <c r="D10" i="3"/>
  <c r="F10" i="3"/>
  <c r="H10" i="3"/>
  <c r="D12" i="3"/>
  <c r="D13" i="3"/>
  <c r="F13" i="3"/>
  <c r="F20" i="2"/>
  <c r="C10" i="2"/>
  <c r="C8" i="2"/>
  <c r="C11" i="2"/>
  <c r="C20" i="2"/>
  <c r="F35" i="1"/>
  <c r="E18" i="1"/>
  <c r="E19" i="1"/>
  <c r="D19" i="1"/>
  <c r="D18" i="1"/>
  <c r="D25" i="4"/>
  <c r="E25" i="4"/>
  <c r="C24" i="4"/>
  <c r="D24" i="4"/>
  <c r="E24" i="4"/>
  <c r="D23" i="4"/>
  <c r="E23" i="4"/>
  <c r="D7" i="4"/>
  <c r="E7" i="4"/>
  <c r="C14" i="4"/>
  <c r="B14" i="4"/>
  <c r="D6" i="4"/>
  <c r="E6" i="4"/>
  <c r="C13" i="4"/>
  <c r="B13" i="4"/>
  <c r="C12" i="4"/>
  <c r="B12" i="4"/>
  <c r="F11" i="3"/>
  <c r="D11" i="3"/>
  <c r="F17" i="1"/>
  <c r="F18" i="1"/>
  <c r="F19" i="1"/>
  <c r="F20" i="1"/>
  <c r="E20" i="1"/>
  <c r="B24" i="2"/>
  <c r="F12" i="1"/>
  <c r="F10" i="1"/>
  <c r="F13" i="1"/>
  <c r="F22" i="1"/>
  <c r="E22" i="1"/>
  <c r="D20" i="1"/>
  <c r="D22" i="1"/>
  <c r="C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Talles Tatagiba Martins de Souza</author>
  </authors>
  <commentList>
    <comment ref="A73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Talles Tatagiba Martins de Souza:</t>
        </r>
        <r>
          <rPr>
            <sz val="9"/>
            <color indexed="81"/>
            <rFont val="Calibri"/>
            <family val="2"/>
          </rPr>
          <t xml:space="preserve">
I couldn't understand. If you go down you stante that these items are the ones that should be changed ...</t>
        </r>
      </text>
    </comment>
  </commentList>
</comments>
</file>

<file path=xl/sharedStrings.xml><?xml version="1.0" encoding="utf-8"?>
<sst xmlns="http://schemas.openxmlformats.org/spreadsheetml/2006/main" count="192" uniqueCount="140">
  <si>
    <t>This Template Spreadsheet shows how to track changes in CASH IN and CASH OUT when converting one long-term rental unit into a short-term rental unit.</t>
  </si>
  <si>
    <t>Net Change in Cash Flow is total change before any division between Watershed, Inc. (the property manager) and the property's owner.</t>
  </si>
  <si>
    <t>All amounts are rounded to the nearest dollar.</t>
  </si>
  <si>
    <t>Net changes to CASH FLOW</t>
  </si>
  <si>
    <t>Year 1</t>
  </si>
  <si>
    <t>Year 2</t>
  </si>
  <si>
    <t>Year 3</t>
  </si>
  <si>
    <t>Long Term Rental</t>
  </si>
  <si>
    <t xml:space="preserve">1.1 Total Rental Payments - CASH IN </t>
  </si>
  <si>
    <t>Short  Term Rental</t>
  </si>
  <si>
    <t xml:space="preserve">1.2 Total Rental Payments - CASH IN </t>
  </si>
  <si>
    <t>Change to CASH IN  for short-term rental conversion</t>
  </si>
  <si>
    <t xml:space="preserve">Change in CASH OUT for short-term rental </t>
  </si>
  <si>
    <t>1.3 Conversion Expense (Capital Expenditure)</t>
  </si>
  <si>
    <t>1.4 Replacement Costs (Fixed Cost)</t>
  </si>
  <si>
    <t>1.5 Utility Costs (Fixed Cost)</t>
  </si>
  <si>
    <t>1.6 Per-Guest Service Costs (Variable Cost)</t>
  </si>
  <si>
    <t xml:space="preserve">Total </t>
  </si>
  <si>
    <t>Net Change to Cash Flow  for short-term rental conversion</t>
  </si>
  <si>
    <t>All Inputs for the Template Above</t>
  </si>
  <si>
    <t xml:space="preserve">Monthly Rent </t>
  </si>
  <si>
    <t>Occupancy Rate long-term</t>
  </si>
  <si>
    <t>Cash In (monthly) long-term</t>
  </si>
  <si>
    <t>Cash In (yearly)  long-term</t>
  </si>
  <si>
    <t>Nightly Rent</t>
  </si>
  <si>
    <t>Occupancy Rate short-term</t>
  </si>
  <si>
    <t>Cash In (yearly)  short-term</t>
  </si>
  <si>
    <t xml:space="preserve">Furniture, etc. (Capital Expenditure) </t>
  </si>
  <si>
    <t>Replacements - Annual (Fixed Cost)</t>
  </si>
  <si>
    <t>Black - numbers given in the Financial Assumptions</t>
  </si>
  <si>
    <t>Blue - numbers you must input to optimize your model</t>
  </si>
  <si>
    <t>Green - outputs for the CASH FLOW spreadsheet above</t>
  </si>
  <si>
    <t xml:space="preserve">Utilities - Annual (Fixed Cost) </t>
  </si>
  <si>
    <t>Variable Costs   (per Guest)</t>
  </si>
  <si>
    <t>Est. Guests per Year</t>
  </si>
  <si>
    <t>Annual Variable Cost</t>
  </si>
  <si>
    <t>Financial Assumptions &amp; Details</t>
  </si>
  <si>
    <t>1.1 Long-Term Rental Payments</t>
  </si>
  <si>
    <r>
      <t xml:space="preserve">Calculated as: monthly rent for that property type and location (zip code), multiplied by average occupancy rate of </t>
    </r>
    <r>
      <rPr>
        <b/>
        <sz val="12"/>
        <color theme="1"/>
        <rFont val="Calibri"/>
        <family val="2"/>
        <scheme val="minor"/>
      </rPr>
      <t>.973</t>
    </r>
    <r>
      <rPr>
        <sz val="12"/>
        <color theme="1"/>
        <rFont val="Calibri"/>
        <family val="2"/>
        <scheme val="minor"/>
      </rPr>
      <t xml:space="preserve">. </t>
    </r>
  </si>
  <si>
    <t>Occupancy rate for long-term rentals is given and fixed, based on the assumption units are rented for 36 months out of every 37, or 97.3% of the time.</t>
  </si>
  <si>
    <t>1.2 Short-TermRental Payments</t>
  </si>
  <si>
    <r>
      <t xml:space="preserve">Occupancy rates for short-term rentals will be an estimate from predictive model that you will develop, specific to that type of unit in that location </t>
    </r>
    <r>
      <rPr>
        <i/>
        <sz val="12"/>
        <color theme="1"/>
        <rFont val="Calibri"/>
        <family val="2"/>
        <scheme val="minor"/>
      </rPr>
      <t>at the nightly rent you choose</t>
    </r>
    <r>
      <rPr>
        <sz val="12"/>
        <color theme="1"/>
        <rFont val="Calibri"/>
        <family val="2"/>
        <scheme val="minor"/>
      </rPr>
      <t xml:space="preserve">. </t>
    </r>
  </si>
  <si>
    <t xml:space="preserve">Note further that your model's short-term occupancy rate for each type of unit and location will be needed in order below to calculate the "Variable costs per short-term rental" item. </t>
  </si>
  <si>
    <r>
      <t xml:space="preserve">1.3 Capital Expenditure for Conversion to Short-Term Rental  (Furniture, Kitchen Equipment, Linens, etc.) This is assumed to be </t>
    </r>
    <r>
      <rPr>
        <b/>
        <sz val="12"/>
        <color theme="1"/>
        <rFont val="Calibri"/>
        <family val="2"/>
        <scheme val="minor"/>
      </rPr>
      <t>$30,000</t>
    </r>
    <r>
      <rPr>
        <sz val="12"/>
        <color theme="1"/>
        <rFont val="Calibri"/>
        <family val="2"/>
        <scheme val="minor"/>
      </rPr>
      <t xml:space="preserve">. </t>
    </r>
  </si>
  <si>
    <t xml:space="preserve">Cash out is assumed to occur in the first month that a unit is rented short-term. For example, if January of Year 1 is the first month a unit is rented short term all $30,000 cash is assumed to be paid out in January of Year 1. </t>
  </si>
  <si>
    <t xml:space="preserve">1.4 Fixed Cost - Annual Replacement of Furniture, Kitchenware, Linens, etc as they wear out.  </t>
  </si>
  <si>
    <r>
      <t xml:space="preserve">Assumed to be </t>
    </r>
    <r>
      <rPr>
        <b/>
        <sz val="12"/>
        <color rgb="FF000000"/>
        <rFont val="Calibri"/>
        <family val="2"/>
        <scheme val="minor"/>
      </rPr>
      <t>$6,000</t>
    </r>
    <r>
      <rPr>
        <sz val="12"/>
        <color rgb="FF000000"/>
        <rFont val="Calibri"/>
        <family val="2"/>
        <scheme val="minor"/>
      </rPr>
      <t xml:space="preserve"> per year - and begins after Year 1. Note that the cost of goods that wear out in a year or less is"expensed" on a P&amp;L statement - that is, it is NOT depreciated.</t>
    </r>
  </si>
  <si>
    <r>
      <t>1.5 Additional Fixed Costs - Monthly Utility Bills for Water, electricity, gas, garbage pickup, internet connectivity, etc) assumed to be</t>
    </r>
    <r>
      <rPr>
        <b/>
        <sz val="12"/>
        <color theme="1"/>
        <rFont val="Calibri"/>
        <family val="2"/>
        <scheme val="minor"/>
      </rPr>
      <t xml:space="preserve"> $300</t>
    </r>
    <r>
      <rPr>
        <sz val="12"/>
        <color theme="1"/>
        <rFont val="Calibri"/>
        <family val="2"/>
        <scheme val="minor"/>
      </rPr>
      <t xml:space="preserve"> per month or </t>
    </r>
    <r>
      <rPr>
        <b/>
        <sz val="12"/>
        <color theme="1"/>
        <rFont val="Calibri"/>
        <family val="2"/>
        <scheme val="minor"/>
      </rPr>
      <t>$3600</t>
    </r>
    <r>
      <rPr>
        <sz val="12"/>
        <color theme="1"/>
        <rFont val="Calibri"/>
        <family val="2"/>
        <scheme val="minor"/>
      </rPr>
      <t xml:space="preserve"> per year  for all units and locations.</t>
    </r>
  </si>
  <si>
    <r>
      <t xml:space="preserve">1.6 Variable Costs per short-term rental. </t>
    </r>
    <r>
      <rPr>
        <b/>
        <sz val="12"/>
        <color theme="1"/>
        <rFont val="Calibri"/>
        <family val="2"/>
        <scheme val="minor"/>
      </rPr>
      <t>$100</t>
    </r>
    <r>
      <rPr>
        <sz val="12"/>
        <color theme="1"/>
        <rFont val="Calibri"/>
        <family val="2"/>
        <scheme val="minor"/>
      </rPr>
      <t xml:space="preserve"> per guest stay is assumed to be the cost of providing cleaning and new linens to each guest andmeeting them at the beginning of their stay ("key service").</t>
    </r>
  </si>
  <si>
    <t xml:space="preserve">Note that Variable costs are not per night, but per each unique guest. </t>
  </si>
  <si>
    <t>It is therefore necessary to estimate the average length of each guest stay stay. For example, a unit with 66% occupancy (66% chosen arbitrarily) could have either 20 guests who each stayed for one night</t>
  </si>
  <si>
    <t>for a variable cost of 20*$100 or $2,000 per month, or 5 guests who each stayed for an average of 4 nights, for 4*$100 or $4,000 per month.</t>
  </si>
  <si>
    <r>
      <t xml:space="preserve">Assume here that the average length of stay for short-term rentals is 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2"/>
        <color theme="1"/>
        <rFont val="Calibri"/>
        <family val="2"/>
        <scheme val="minor"/>
      </rPr>
      <t>nights</t>
    </r>
    <r>
      <rPr>
        <sz val="12"/>
        <color theme="1"/>
        <rFont val="Calibri"/>
        <family val="2"/>
        <scheme val="minor"/>
      </rPr>
      <t>. Therefore the correct formula for estimating variable costs is (average number of days occupied per month)/3 =  (occupancy rate*30.44)/3.</t>
    </r>
  </si>
  <si>
    <t>1.7 Straight-Line Depreciation of Capital Expenditure</t>
  </si>
  <si>
    <t xml:space="preserve">The $30,000 cost of furniture and equipment for conversion is allocated at the rate of $6,000 per year using a simple "straight-line" 5 year depreciation </t>
  </si>
  <si>
    <t>All items are rounded to the nearest dollar.</t>
  </si>
  <si>
    <t>Net changes toProfits and Losses</t>
  </si>
  <si>
    <t>1.1 Total Rental Payments - Revenues</t>
  </si>
  <si>
    <t>1.2 Total Rental Payments - Revenues</t>
  </si>
  <si>
    <t xml:space="preserve">Change to Revenues for short-term conversion </t>
  </si>
  <si>
    <t xml:space="preserve">Changes in allocated expenses </t>
  </si>
  <si>
    <t xml:space="preserve">1.7 Straight-line depreciation of capital expenditure </t>
  </si>
  <si>
    <t xml:space="preserve">1.7 Annual Depreciation ($30,000/5) </t>
  </si>
  <si>
    <t xml:space="preserve">1.7 Is the only item that varies between the </t>
  </si>
  <si>
    <t xml:space="preserve">x-axis </t>
  </si>
  <si>
    <t>y-axis</t>
  </si>
  <si>
    <t xml:space="preserve">nightly rent </t>
  </si>
  <si>
    <t>occupancy rate</t>
  </si>
  <si>
    <t>ave rent per night</t>
  </si>
  <si>
    <t>annual revenues</t>
  </si>
  <si>
    <t>nightly rent</t>
  </si>
  <si>
    <t xml:space="preserve">Points are on the line with </t>
  </si>
  <si>
    <t>occupancy rate as a function of nightly rent</t>
  </si>
  <si>
    <t xml:space="preserve">x </t>
  </si>
  <si>
    <t>SOLVER</t>
  </si>
  <si>
    <t>To maximize "annual revenues" as a  function of nightly rent</t>
  </si>
  <si>
    <t>10th percentile (low) rent</t>
  </si>
  <si>
    <t>90th percentile (high) rent</t>
  </si>
  <si>
    <t xml:space="preserve">covers a percentile range of </t>
  </si>
  <si>
    <t xml:space="preserve">to convert a nightly rent INPUT of </t>
  </si>
  <si>
    <t>into percentile, take the following steps</t>
  </si>
  <si>
    <t xml:space="preserve"> </t>
  </si>
  <si>
    <t>80/100th of the full range</t>
  </si>
  <si>
    <t>=</t>
  </si>
  <si>
    <t xml:space="preserve">minus </t>
  </si>
  <si>
    <t xml:space="preserve">the given rent exceeds the 10th percentile by </t>
  </si>
  <si>
    <t>minus</t>
  </si>
  <si>
    <t>converted to percentile is</t>
  </si>
  <si>
    <t xml:space="preserve">adding back the first 10th percentile  gives </t>
  </si>
  <si>
    <t>Alternative Explanation:</t>
  </si>
  <si>
    <t xml:space="preserve">if 90th to 10th percentile = "x" dollars, x = </t>
  </si>
  <si>
    <t xml:space="preserve">then 0 to 100 is 1.25x dollars,  = </t>
  </si>
  <si>
    <t xml:space="preserve">divided by </t>
  </si>
  <si>
    <t xml:space="preserve">which is equal to </t>
  </si>
  <si>
    <t>percentile</t>
  </si>
  <si>
    <t xml:space="preserve">subtract 10% and then divide by .8 </t>
  </si>
  <si>
    <t xml:space="preserve">for a total of </t>
  </si>
  <si>
    <r>
      <t xml:space="preserve">The following are </t>
    </r>
    <r>
      <rPr>
        <sz val="12"/>
        <color rgb="FFFF0000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shown in the Cash Flow calculations, and can be ignored in solving this problem, because they are assumed to be </t>
    </r>
    <r>
      <rPr>
        <sz val="12"/>
        <color rgb="FFFF0000"/>
        <rFont val="Calibri"/>
        <family val="2"/>
        <scheme val="minor"/>
      </rPr>
      <t>unchanged</t>
    </r>
    <r>
      <rPr>
        <sz val="12"/>
        <color theme="1"/>
        <rFont val="Calibri"/>
        <family val="2"/>
        <scheme val="minor"/>
      </rPr>
      <t xml:space="preserve"> between Long-term and Short-term rentals:</t>
    </r>
  </si>
  <si>
    <t xml:space="preserve">or </t>
  </si>
  <si>
    <t xml:space="preserve">0th percentile is at (given) 10th percentile minus ((1/8)* x), = </t>
  </si>
  <si>
    <t xml:space="preserve">PART A - Converting $ RENT to PERCENTILE for that type and location </t>
  </si>
  <si>
    <t>PART B - Converting PERCENTILE for one type and location back to $ RENT</t>
  </si>
  <si>
    <t>multiply by the 90th - 10th percentile (given) to get range</t>
  </si>
  <si>
    <t xml:space="preserve">then add back the (given) 10th percentile rent </t>
  </si>
  <si>
    <t xml:space="preserve">Your version will require replacing nightly rent in $ with nightly </t>
  </si>
  <si>
    <t>Long-Term Rental</t>
  </si>
  <si>
    <t xml:space="preserve">Short-Term Rental - same property type and location </t>
  </si>
  <si>
    <t>All CASH required for Conversion is assumed to be spent at the beginning of Year 2</t>
  </si>
  <si>
    <t>No Change</t>
  </si>
  <si>
    <t xml:space="preserve">Conversion to Short-Term </t>
  </si>
  <si>
    <t>Short-term - stable state</t>
  </si>
  <si>
    <t>Cash In (monthly) short-term - after transaction fee</t>
  </si>
  <si>
    <t>Nights in an average Month</t>
  </si>
  <si>
    <t xml:space="preserve">An example of how Solver optimization can be used to find a nightly rent level that maximizes total revenues,  given that higher rents have a known  linear association with lower occupancy rates </t>
  </si>
  <si>
    <t>This spreadsheet explains and demonstrates the conversion from nightly rents in $ to nightly rents expressed as a relative percentile, taking 10th and 90th percentile rents for the same property type in the same location into account</t>
  </si>
  <si>
    <r>
      <t>rent expressed as a</t>
    </r>
    <r>
      <rPr>
        <i/>
        <sz val="12"/>
        <color rgb="FFFF0000"/>
        <rFont val="Calibri"/>
        <family val="2"/>
        <scheme val="minor"/>
      </rPr>
      <t xml:space="preserve"> relative percentile</t>
    </r>
    <r>
      <rPr>
        <sz val="12"/>
        <color rgb="FFFF0000"/>
        <rFont val="Calibri"/>
        <family val="2"/>
        <scheme val="minor"/>
      </rPr>
      <t xml:space="preserve"> for that property type and location. See the </t>
    </r>
  </si>
  <si>
    <t>Black - numbers given in problem financial assumptions</t>
  </si>
  <si>
    <t>Green - outputs</t>
  </si>
  <si>
    <t>Year 4</t>
  </si>
  <si>
    <t>Replacements - Annual (Fixed Cost) - YR 3</t>
  </si>
  <si>
    <t>Furniture, etc. (Capital Expenditure)  - YR 2</t>
  </si>
  <si>
    <t xml:space="preserve">Years Depreciation </t>
  </si>
  <si>
    <t>How to Calculate Changes in Annual Profits for one Property</t>
  </si>
  <si>
    <t>How to Calculate Changes in Annual Cash Flow for One Property</t>
  </si>
  <si>
    <t xml:space="preserve">Construction, purchase, or lease of the building itself.  Repairs and Routine Maintenance expenses that are unchanged between long-term and short-term rental. </t>
  </si>
  <si>
    <t xml:space="preserve"> Insurance, Property Taxes, and General and Administrative expenses such as bookkeeping for both Watershed and property owners.</t>
  </si>
  <si>
    <t xml:space="preserve">so the percentile of a single price "p"  INPUT = </t>
  </si>
  <si>
    <t xml:space="preserve">=  "p" - (10th percentile - (1/8)*x)/1.25x = </t>
  </si>
  <si>
    <t xml:space="preserve">"Beta" (Slope) = </t>
  </si>
  <si>
    <t xml:space="preserve">"Alpha" (y-intercept) = </t>
  </si>
  <si>
    <t>"$ to Percentile Conversion" worksheet and Normalization video for details.</t>
  </si>
  <si>
    <t>= (Beta)*x + Alpha</t>
  </si>
  <si>
    <t xml:space="preserve">Transaction Fees on Short-term* </t>
  </si>
  <si>
    <t>*Transaction  fees include the amounts paid to third-party services for facilitating the transaction, and hotel taxes or other occupancy fees and regulatory requirements</t>
  </si>
  <si>
    <r>
      <t xml:space="preserve">Calculated as nightly rent for that property type and location, multiplied </t>
    </r>
    <r>
      <rPr>
        <b/>
        <sz val="12"/>
        <color theme="1"/>
        <rFont val="Calibri"/>
        <family val="2"/>
        <scheme val="minor"/>
      </rPr>
      <t>30.4</t>
    </r>
    <r>
      <rPr>
        <sz val="12"/>
        <color theme="1"/>
        <rFont val="Calibri"/>
        <family val="2"/>
        <scheme val="minor"/>
      </rPr>
      <t xml:space="preserve"> average days per month [365.25/12], multiplied by average occupancy rate, and subtracting a </t>
    </r>
    <r>
      <rPr>
        <b/>
        <sz val="12"/>
        <color theme="1"/>
        <rFont val="Calibri"/>
        <family val="2"/>
        <scheme val="minor"/>
      </rPr>
      <t xml:space="preserve">30% </t>
    </r>
    <r>
      <rPr>
        <sz val="12"/>
        <color theme="1"/>
        <rFont val="Calibri"/>
        <family val="2"/>
        <scheme val="minor"/>
      </rPr>
      <t xml:space="preserve"> fee for third-party processing, taxes and regulatory compliance </t>
    </r>
  </si>
  <si>
    <t xml:space="preserve">Cash Flow and Profit analyses </t>
  </si>
  <si>
    <t>Note: Alpha and Beta values given here - cells C17 and C18 - are not Watershed values.</t>
  </si>
  <si>
    <t xml:space="preserve">You will need to find your own values for Alpha  and Beta. </t>
  </si>
  <si>
    <r>
      <t xml:space="preserve">by changing Variable Cell </t>
    </r>
    <r>
      <rPr>
        <b/>
        <sz val="12"/>
        <color rgb="FF0000FF"/>
        <rFont val="Calibri"/>
        <family val="2"/>
        <scheme val="minor"/>
      </rPr>
      <t>B26</t>
    </r>
    <r>
      <rPr>
        <sz val="12"/>
        <color theme="1"/>
        <rFont val="Calibri"/>
        <family val="2"/>
        <scheme val="minor"/>
      </rPr>
      <t xml:space="preserve"> (nightly rent) </t>
    </r>
  </si>
  <si>
    <r>
      <t xml:space="preserve">Open MS Solver and set Objective Cell </t>
    </r>
    <r>
      <rPr>
        <b/>
        <sz val="12"/>
        <color rgb="FF008000"/>
        <rFont val="Calibri"/>
        <family val="2"/>
        <scheme val="minor"/>
      </rPr>
      <t>E26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to Maximum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</si>
</sst>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  <numFmt numFmtId="166" formatCode="&quot;$&quot;#,##0.00"/>
    <numFmt numFmtId="167" formatCode="0.0"/>
    <numFmt numFmtId="168" formatCode="&quot;$&quot;#,##0;[Red]&quot;$&quot;#,##0"/>
    <numFmt numFmtId="169" formatCode="&quot;$&quot;#,##0.0_);[Red]\(&quot;$&quot;#,##0.0\)"/>
    <numFmt numFmtId="170" formatCode="#,##0.0000000_);[Red]\(#,##0.0000000\)"/>
    <numFmt numFmtId="171" formatCode="#,##0.0000_);[Red]\(#,##0.0000\)"/>
    <numFmt numFmtId="172" formatCode="0.000"/>
  </numFmts>
  <fonts count="19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1" xfId="0" applyFont="1" applyBorder="1"/>
    <xf numFmtId="0" fontId="4" fillId="0" borderId="4" xfId="0" applyFont="1" applyBorder="1"/>
    <xf numFmtId="6" fontId="0" fillId="0" borderId="4" xfId="0" applyNumberFormat="1" applyBorder="1"/>
    <xf numFmtId="0" fontId="7" fillId="0" borderId="0" xfId="0" applyFont="1"/>
    <xf numFmtId="0" fontId="0" fillId="0" borderId="0" xfId="0" applyFont="1"/>
    <xf numFmtId="0" fontId="3" fillId="0" borderId="7" xfId="0" applyFont="1" applyBorder="1"/>
    <xf numFmtId="0" fontId="0" fillId="0" borderId="8" xfId="0" applyBorder="1"/>
    <xf numFmtId="0" fontId="0" fillId="0" borderId="1" xfId="0" applyFill="1" applyBorder="1"/>
    <xf numFmtId="165" fontId="8" fillId="0" borderId="1" xfId="0" applyNumberFormat="1" applyFont="1" applyBorder="1"/>
    <xf numFmtId="6" fontId="8" fillId="0" borderId="1" xfId="0" applyNumberFormat="1" applyFont="1" applyBorder="1"/>
    <xf numFmtId="6" fontId="9" fillId="0" borderId="1" xfId="0" applyNumberFormat="1" applyFont="1" applyBorder="1"/>
    <xf numFmtId="9" fontId="8" fillId="0" borderId="1" xfId="0" applyNumberFormat="1" applyFont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65" fontId="9" fillId="0" borderId="1" xfId="0" applyNumberFormat="1" applyFont="1" applyBorder="1"/>
    <xf numFmtId="167" fontId="11" fillId="0" borderId="1" xfId="0" applyNumberFormat="1" applyFont="1" applyBorder="1"/>
    <xf numFmtId="164" fontId="3" fillId="0" borderId="1" xfId="0" applyNumberFormat="1" applyFont="1" applyBorder="1"/>
    <xf numFmtId="6" fontId="0" fillId="0" borderId="0" xfId="0" applyNumberFormat="1" applyBorder="1"/>
    <xf numFmtId="9" fontId="0" fillId="0" borderId="0" xfId="0" applyNumberFormat="1" applyBorder="1"/>
    <xf numFmtId="6" fontId="0" fillId="0" borderId="0" xfId="0" applyNumberFormat="1" applyFill="1" applyBorder="1"/>
    <xf numFmtId="167" fontId="0" fillId="0" borderId="0" xfId="0" applyNumberFormat="1" applyFill="1" applyBorder="1"/>
    <xf numFmtId="8" fontId="0" fillId="0" borderId="0" xfId="0" applyNumberFormat="1" applyBorder="1"/>
    <xf numFmtId="0" fontId="0" fillId="0" borderId="10" xfId="0" applyBorder="1"/>
    <xf numFmtId="6" fontId="0" fillId="0" borderId="13" xfId="0" applyNumberFormat="1" applyBorder="1"/>
    <xf numFmtId="168" fontId="0" fillId="0" borderId="13" xfId="0" applyNumberFormat="1" applyBorder="1"/>
    <xf numFmtId="0" fontId="0" fillId="0" borderId="7" xfId="0" applyBorder="1"/>
    <xf numFmtId="0" fontId="0" fillId="0" borderId="13" xfId="0" applyBorder="1"/>
    <xf numFmtId="0" fontId="3" fillId="0" borderId="9" xfId="0" applyFont="1" applyBorder="1"/>
    <xf numFmtId="0" fontId="0" fillId="0" borderId="6" xfId="0" applyBorder="1"/>
    <xf numFmtId="0" fontId="0" fillId="0" borderId="9" xfId="0" applyBorder="1"/>
    <xf numFmtId="6" fontId="0" fillId="0" borderId="6" xfId="0" applyNumberFormat="1" applyBorder="1"/>
    <xf numFmtId="165" fontId="0" fillId="0" borderId="6" xfId="0" applyNumberFormat="1" applyBorder="1"/>
    <xf numFmtId="6" fontId="0" fillId="0" borderId="8" xfId="0" applyNumberFormat="1" applyBorder="1"/>
    <xf numFmtId="168" fontId="0" fillId="0" borderId="0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6" fontId="0" fillId="0" borderId="5" xfId="0" applyNumberFormat="1" applyBorder="1"/>
    <xf numFmtId="8" fontId="9" fillId="0" borderId="1" xfId="0" applyNumberFormat="1" applyFont="1" applyBorder="1"/>
    <xf numFmtId="167" fontId="8" fillId="0" borderId="15" xfId="0" applyNumberFormat="1" applyFont="1" applyBorder="1"/>
    <xf numFmtId="166" fontId="9" fillId="0" borderId="1" xfId="0" applyNumberFormat="1" applyFont="1" applyBorder="1"/>
    <xf numFmtId="167" fontId="11" fillId="0" borderId="0" xfId="0" applyNumberFormat="1" applyFont="1" applyBorder="1"/>
    <xf numFmtId="167" fontId="8" fillId="0" borderId="0" xfId="0" applyNumberFormat="1" applyFont="1" applyFill="1" applyBorder="1"/>
    <xf numFmtId="8" fontId="9" fillId="0" borderId="0" xfId="0" applyNumberFormat="1" applyFont="1" applyBorder="1"/>
    <xf numFmtId="9" fontId="12" fillId="0" borderId="11" xfId="0" applyNumberFormat="1" applyFont="1" applyBorder="1"/>
    <xf numFmtId="6" fontId="12" fillId="0" borderId="14" xfId="0" applyNumberFormat="1" applyFont="1" applyBorder="1"/>
    <xf numFmtId="6" fontId="12" fillId="0" borderId="11" xfId="0" applyNumberFormat="1" applyFont="1" applyBorder="1"/>
    <xf numFmtId="0" fontId="8" fillId="0" borderId="3" xfId="0" applyFont="1" applyBorder="1"/>
    <xf numFmtId="167" fontId="12" fillId="0" borderId="11" xfId="0" applyNumberFormat="1" applyFont="1" applyBorder="1"/>
    <xf numFmtId="0" fontId="12" fillId="0" borderId="12" xfId="0" applyFont="1" applyBorder="1"/>
    <xf numFmtId="0" fontId="9" fillId="0" borderId="15" xfId="0" applyFont="1" applyBorder="1"/>
    <xf numFmtId="165" fontId="12" fillId="0" borderId="1" xfId="0" applyNumberFormat="1" applyFont="1" applyBorder="1"/>
    <xf numFmtId="0" fontId="1" fillId="2" borderId="0" xfId="1"/>
    <xf numFmtId="0" fontId="1" fillId="2" borderId="0" xfId="1" applyBorder="1"/>
    <xf numFmtId="167" fontId="1" fillId="2" borderId="0" xfId="1" applyNumberFormat="1" applyBorder="1"/>
    <xf numFmtId="165" fontId="1" fillId="2" borderId="0" xfId="1" applyNumberFormat="1" applyBorder="1"/>
    <xf numFmtId="164" fontId="1" fillId="2" borderId="0" xfId="1" applyNumberFormat="1"/>
    <xf numFmtId="9" fontId="1" fillId="2" borderId="0" xfId="1" applyNumberFormat="1" applyBorder="1"/>
    <xf numFmtId="6" fontId="12" fillId="0" borderId="15" xfId="0" applyNumberFormat="1" applyFont="1" applyBorder="1"/>
    <xf numFmtId="8" fontId="9" fillId="0" borderId="15" xfId="0" applyNumberFormat="1" applyFont="1" applyBorder="1"/>
    <xf numFmtId="0" fontId="3" fillId="0" borderId="13" xfId="0" applyFont="1" applyBorder="1"/>
    <xf numFmtId="0" fontId="3" fillId="0" borderId="8" xfId="0" applyFont="1" applyBorder="1"/>
    <xf numFmtId="6" fontId="1" fillId="2" borderId="0" xfId="1" applyNumberFormat="1" applyBorder="1"/>
    <xf numFmtId="0" fontId="0" fillId="0" borderId="5" xfId="0" applyBorder="1"/>
    <xf numFmtId="0" fontId="0" fillId="0" borderId="14" xfId="0" applyBorder="1"/>
    <xf numFmtId="0" fontId="0" fillId="0" borderId="11" xfId="0" applyBorder="1"/>
    <xf numFmtId="0" fontId="4" fillId="0" borderId="2" xfId="0" applyFont="1" applyBorder="1"/>
    <xf numFmtId="0" fontId="4" fillId="0" borderId="9" xfId="0" applyFont="1" applyBorder="1"/>
    <xf numFmtId="6" fontId="3" fillId="0" borderId="1" xfId="0" applyNumberFormat="1" applyFont="1" applyBorder="1"/>
    <xf numFmtId="0" fontId="0" fillId="0" borderId="9" xfId="0" applyFill="1" applyBorder="1"/>
    <xf numFmtId="0" fontId="0" fillId="0" borderId="5" xfId="0" applyFill="1" applyBorder="1"/>
    <xf numFmtId="6" fontId="8" fillId="0" borderId="0" xfId="0" applyNumberFormat="1" applyFont="1" applyBorder="1"/>
    <xf numFmtId="6" fontId="3" fillId="0" borderId="6" xfId="0" applyNumberFormat="1" applyFont="1" applyBorder="1"/>
    <xf numFmtId="0" fontId="0" fillId="0" borderId="9" xfId="0" quotePrefix="1" applyBorder="1"/>
    <xf numFmtId="172" fontId="0" fillId="0" borderId="0" xfId="0" applyNumberFormat="1" applyBorder="1"/>
    <xf numFmtId="6" fontId="0" fillId="0" borderId="14" xfId="0" applyNumberFormat="1" applyBorder="1"/>
    <xf numFmtId="170" fontId="0" fillId="0" borderId="14" xfId="0" applyNumberFormat="1" applyBorder="1"/>
    <xf numFmtId="169" fontId="0" fillId="0" borderId="11" xfId="0" applyNumberFormat="1" applyBorder="1"/>
    <xf numFmtId="0" fontId="0" fillId="0" borderId="0" xfId="0" quotePrefix="1" applyBorder="1"/>
    <xf numFmtId="172" fontId="9" fillId="0" borderId="14" xfId="0" quotePrefix="1" applyNumberFormat="1" applyFont="1" applyBorder="1"/>
    <xf numFmtId="171" fontId="0" fillId="0" borderId="6" xfId="0" applyNumberFormat="1" applyBorder="1"/>
    <xf numFmtId="166" fontId="0" fillId="0" borderId="0" xfId="0" applyNumberFormat="1" applyBorder="1"/>
    <xf numFmtId="4" fontId="0" fillId="0" borderId="0" xfId="0" applyNumberFormat="1" applyBorder="1"/>
    <xf numFmtId="166" fontId="0" fillId="0" borderId="6" xfId="0" applyNumberFormat="1" applyBorder="1"/>
    <xf numFmtId="172" fontId="9" fillId="0" borderId="14" xfId="0" applyNumberFormat="1" applyFont="1" applyBorder="1"/>
    <xf numFmtId="165" fontId="8" fillId="0" borderId="0" xfId="0" applyNumberFormat="1" applyFont="1" applyBorder="1"/>
    <xf numFmtId="172" fontId="8" fillId="0" borderId="0" xfId="0" applyNumberFormat="1" applyFont="1" applyBorder="1"/>
    <xf numFmtId="6" fontId="9" fillId="0" borderId="11" xfId="0" applyNumberFormat="1" applyFont="1" applyBorder="1"/>
    <xf numFmtId="0" fontId="1" fillId="2" borderId="0" xfId="1" quotePrefix="1" applyBorder="1"/>
    <xf numFmtId="170" fontId="1" fillId="2" borderId="0" xfId="1" applyNumberFormat="1" applyBorder="1"/>
    <xf numFmtId="169" fontId="1" fillId="2" borderId="0" xfId="1" applyNumberFormat="1" applyBorder="1"/>
    <xf numFmtId="165" fontId="0" fillId="0" borderId="9" xfId="0" applyNumberFormat="1" applyBorder="1"/>
    <xf numFmtId="165" fontId="0" fillId="0" borderId="10" xfId="0" applyNumberFormat="1" applyBorder="1"/>
    <xf numFmtId="9" fontId="0" fillId="0" borderId="14" xfId="0" applyNumberFormat="1" applyBorder="1"/>
    <xf numFmtId="165" fontId="0" fillId="0" borderId="14" xfId="0" applyNumberFormat="1" applyBorder="1"/>
    <xf numFmtId="165" fontId="0" fillId="0" borderId="11" xfId="0" applyNumberFormat="1" applyBorder="1"/>
    <xf numFmtId="166" fontId="0" fillId="0" borderId="9" xfId="0" applyNumberFormat="1" applyBorder="1"/>
    <xf numFmtId="16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3" fontId="0" fillId="0" borderId="6" xfId="0" applyNumberFormat="1" applyBorder="1"/>
    <xf numFmtId="164" fontId="0" fillId="0" borderId="14" xfId="0" applyNumberFormat="1" applyBorder="1"/>
    <xf numFmtId="166" fontId="8" fillId="0" borderId="2" xfId="0" applyNumberFormat="1" applyFont="1" applyBorder="1"/>
    <xf numFmtId="164" fontId="0" fillId="0" borderId="5" xfId="0" applyNumberFormat="1" applyBorder="1"/>
    <xf numFmtId="166" fontId="0" fillId="0" borderId="5" xfId="0" applyNumberFormat="1" applyBorder="1"/>
    <xf numFmtId="0" fontId="4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8" fillId="0" borderId="0" xfId="0" applyFont="1" applyBorder="1"/>
    <xf numFmtId="0" fontId="9" fillId="0" borderId="0" xfId="0" applyFont="1" applyBorder="1"/>
    <xf numFmtId="0" fontId="8" fillId="0" borderId="1" xfId="0" applyFont="1" applyBorder="1"/>
    <xf numFmtId="0" fontId="9" fillId="0" borderId="1" xfId="0" applyFont="1" applyBorder="1"/>
    <xf numFmtId="164" fontId="9" fillId="0" borderId="14" xfId="0" applyNumberFormat="1" applyFont="1" applyBorder="1"/>
    <xf numFmtId="164" fontId="9" fillId="0" borderId="11" xfId="0" applyNumberFormat="1" applyFont="1" applyBorder="1"/>
    <xf numFmtId="0" fontId="2" fillId="0" borderId="7" xfId="0" applyFont="1" applyBorder="1"/>
    <xf numFmtId="0" fontId="2" fillId="0" borderId="1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1" xfId="0" applyFont="1" applyBorder="1"/>
    <xf numFmtId="0" fontId="16" fillId="0" borderId="0" xfId="0" applyFont="1"/>
    <xf numFmtId="0" fontId="1" fillId="2" borderId="7" xfId="1" applyBorder="1"/>
    <xf numFmtId="0" fontId="1" fillId="2" borderId="13" xfId="1" applyBorder="1"/>
    <xf numFmtId="0" fontId="1" fillId="2" borderId="9" xfId="1" applyBorder="1"/>
    <xf numFmtId="0" fontId="1" fillId="2" borderId="6" xfId="1" applyBorder="1"/>
    <xf numFmtId="0" fontId="1" fillId="2" borderId="14" xfId="1" applyBorder="1"/>
    <xf numFmtId="0" fontId="1" fillId="2" borderId="11" xfId="1" applyBorder="1"/>
    <xf numFmtId="0" fontId="1" fillId="2" borderId="10" xfId="1" applyBorder="1"/>
    <xf numFmtId="0" fontId="3" fillId="0" borderId="2" xfId="0" applyFont="1" applyBorder="1"/>
    <xf numFmtId="0" fontId="3" fillId="0" borderId="4" xfId="0" applyFont="1" applyBorder="1"/>
    <xf numFmtId="9" fontId="17" fillId="0" borderId="11" xfId="0" applyNumberFormat="1" applyFont="1" applyBorder="1"/>
    <xf numFmtId="167" fontId="12" fillId="0" borderId="1" xfId="0" applyNumberFormat="1" applyFont="1" applyBorder="1"/>
    <xf numFmtId="164" fontId="1" fillId="2" borderId="0" xfId="1" applyNumberFormat="1" applyBorder="1"/>
    <xf numFmtId="6" fontId="1" fillId="2" borderId="6" xfId="1" applyNumberFormat="1" applyBorder="1"/>
    <xf numFmtId="0" fontId="1" fillId="2" borderId="8" xfId="1" applyBorder="1"/>
    <xf numFmtId="167" fontId="1" fillId="2" borderId="6" xfId="1" applyNumberFormat="1" applyBorder="1"/>
    <xf numFmtId="8" fontId="1" fillId="2" borderId="6" xfId="1" applyNumberFormat="1" applyBorder="1"/>
    <xf numFmtId="0" fontId="8" fillId="0" borderId="2" xfId="0" applyFont="1" applyBorder="1"/>
    <xf numFmtId="0" fontId="9" fillId="0" borderId="2" xfId="0" applyFont="1" applyBorder="1"/>
    <xf numFmtId="0" fontId="3" fillId="0" borderId="12" xfId="0" applyFont="1" applyBorder="1"/>
    <xf numFmtId="6" fontId="18" fillId="0" borderId="0" xfId="0" applyNumberFormat="1" applyFont="1" applyBorder="1"/>
    <xf numFmtId="6" fontId="18" fillId="0" borderId="6" xfId="0" applyNumberFormat="1" applyFont="1" applyBorder="1"/>
    <xf numFmtId="0" fontId="18" fillId="0" borderId="9" xfId="0" quotePrefix="1" applyFont="1" applyBorder="1"/>
    <xf numFmtId="6" fontId="1" fillId="2" borderId="9" xfId="1" applyNumberFormat="1" applyBorder="1"/>
    <xf numFmtId="166" fontId="9" fillId="0" borderId="4" xfId="0" applyNumberFormat="1" applyFont="1" applyBorder="1"/>
  </cellXfs>
  <cellStyles count="120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Revenue Maximization'!$C$4</c:f>
              <c:strCache>
                <c:ptCount val="1"/>
                <c:pt idx="0">
                  <c:v>occupancy rate</c:v>
                </c:pt>
              </c:strCache>
            </c:strRef>
          </c:tx>
          <c:xVal>
            <c:numRef>
              <c:f>'Solver Revenue Maximization'!$B$5:$B$7</c:f>
              <c:numCache>
                <c:formatCode>"$"#,##0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'Solver Revenue Maximization'!$C$5:$C$7</c:f>
              <c:numCache>
                <c:formatCode>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D-4949-A8F8-D4D18C08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92232"/>
        <c:axId val="2064595288"/>
      </c:scatterChart>
      <c:valAx>
        <c:axId val="2064592232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64595288"/>
        <c:crosses val="autoZero"/>
        <c:crossBetween val="midCat"/>
      </c:valAx>
      <c:valAx>
        <c:axId val="2064595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4592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'Solver Revenue Maximization'!$C$11</c:f>
              <c:strCache>
                <c:ptCount val="1"/>
                <c:pt idx="0">
                  <c:v>annual revenues</c:v>
                </c:pt>
              </c:strCache>
            </c:strRef>
          </c:tx>
          <c:xVal>
            <c:numRef>
              <c:f>'Solver Revenue Maximization'!$B$12:$B$14</c:f>
              <c:numCache>
                <c:formatCode>"$"#,##0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'Solver Revenue Maximization'!$C$12:$C$14</c:f>
              <c:numCache>
                <c:formatCode>"$"#,##0</c:formatCode>
                <c:ptCount val="3"/>
                <c:pt idx="0">
                  <c:v>32850</c:v>
                </c:pt>
                <c:pt idx="1">
                  <c:v>38325</c:v>
                </c:pt>
                <c:pt idx="2">
                  <c:v>36500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7-4414-A678-BD6CDFE9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20120"/>
        <c:axId val="2064623080"/>
      </c:scatterChart>
      <c:valAx>
        <c:axId val="2064620120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64623080"/>
        <c:crosses val="autoZero"/>
        <c:crossBetween val="midCat"/>
      </c:valAx>
      <c:valAx>
        <c:axId val="206462308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64620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0</xdr:rowOff>
    </xdr:from>
    <xdr:to>
      <xdr:col>11</xdr:col>
      <xdr:colOff>393700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19</xdr:row>
      <xdr:rowOff>101600</xdr:rowOff>
    </xdr:from>
    <xdr:to>
      <xdr:col>11</xdr:col>
      <xdr:colOff>419100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opLeftCell="B4" workbookViewId="0">
      <pane xSplit="26904" topLeftCell="K1"/>
      <selection activeCell="F32" sqref="F32"/>
      <selection pane="topRight" activeCell="K1" sqref="K1"/>
    </sheetView>
  </sheetViews>
  <sheetFormatPr defaultColWidth="11" defaultRowHeight="15.6" x14ac:dyDescent="0.3"/>
  <cols>
    <col min="1" max="1" width="6.5" customWidth="1"/>
    <col min="2" max="2" width="52.19921875" customWidth="1"/>
    <col min="3" max="3" width="23.796875" customWidth="1"/>
    <col min="4" max="4" width="29" customWidth="1"/>
    <col min="5" max="5" width="44.19921875" customWidth="1"/>
    <col min="6" max="6" width="33.69921875" customWidth="1"/>
    <col min="7" max="7" width="18.69921875" customWidth="1"/>
    <col min="8" max="8" width="17.796875" customWidth="1"/>
    <col min="9" max="9" width="32.296875" customWidth="1"/>
    <col min="10" max="10" width="32.69921875" customWidth="1"/>
    <col min="11" max="11" width="30.19921875" customWidth="1"/>
    <col min="12" max="12" width="24.796875" customWidth="1"/>
    <col min="13" max="13" width="18.69921875" customWidth="1"/>
    <col min="14" max="14" width="19.796875" customWidth="1"/>
  </cols>
  <sheetData>
    <row r="1" spans="1:10" ht="21" x14ac:dyDescent="0.4">
      <c r="A1" s="128" t="s">
        <v>123</v>
      </c>
    </row>
    <row r="2" spans="1:10" x14ac:dyDescent="0.3">
      <c r="A2" s="129"/>
      <c r="B2" s="130"/>
      <c r="C2" s="130"/>
      <c r="D2" s="130"/>
      <c r="E2" s="130"/>
      <c r="F2" s="130"/>
      <c r="G2" s="130"/>
      <c r="H2" s="130"/>
      <c r="I2" s="130"/>
      <c r="J2" s="142"/>
    </row>
    <row r="3" spans="1:10" x14ac:dyDescent="0.3">
      <c r="A3" s="131"/>
      <c r="B3" s="31" t="s">
        <v>0</v>
      </c>
      <c r="C3" s="32"/>
      <c r="D3" s="32"/>
      <c r="E3" s="11"/>
      <c r="F3" s="58"/>
      <c r="G3" s="58"/>
      <c r="H3" s="58"/>
      <c r="I3" s="58"/>
      <c r="J3" s="132"/>
    </row>
    <row r="4" spans="1:10" x14ac:dyDescent="0.3">
      <c r="A4" s="131"/>
      <c r="B4" s="72" t="s">
        <v>1</v>
      </c>
      <c r="C4" s="17"/>
      <c r="D4" s="17"/>
      <c r="E4" s="34"/>
      <c r="F4" s="58"/>
      <c r="G4" s="58"/>
      <c r="H4" s="58"/>
      <c r="I4" s="58"/>
      <c r="J4" s="132"/>
    </row>
    <row r="5" spans="1:10" x14ac:dyDescent="0.3">
      <c r="A5" s="131"/>
      <c r="B5" s="110" t="s">
        <v>2</v>
      </c>
      <c r="C5" s="69" t="s">
        <v>107</v>
      </c>
      <c r="D5" s="69"/>
      <c r="E5" s="70"/>
      <c r="F5" s="58"/>
      <c r="G5" s="58"/>
      <c r="H5" s="58"/>
      <c r="I5" s="58"/>
      <c r="J5" s="132"/>
    </row>
    <row r="6" spans="1:10" x14ac:dyDescent="0.3">
      <c r="A6" s="131"/>
      <c r="B6" s="58"/>
      <c r="C6" s="58"/>
      <c r="D6" s="58"/>
      <c r="E6" s="58"/>
      <c r="F6" s="58"/>
      <c r="G6" s="58"/>
      <c r="H6" s="58"/>
      <c r="I6" s="58"/>
      <c r="J6" s="132"/>
    </row>
    <row r="7" spans="1:10" x14ac:dyDescent="0.3">
      <c r="A7" s="131"/>
      <c r="B7" s="58"/>
      <c r="C7" s="136" t="s">
        <v>108</v>
      </c>
      <c r="D7" s="1" t="s">
        <v>109</v>
      </c>
      <c r="E7" s="1" t="s">
        <v>110</v>
      </c>
      <c r="F7" s="137" t="s">
        <v>110</v>
      </c>
      <c r="G7" s="58"/>
      <c r="H7" s="58"/>
      <c r="I7" s="58"/>
      <c r="J7" s="132"/>
    </row>
    <row r="8" spans="1:10" x14ac:dyDescent="0.3">
      <c r="A8" s="131"/>
      <c r="B8" s="10" t="s">
        <v>3</v>
      </c>
      <c r="C8" s="65" t="s">
        <v>4</v>
      </c>
      <c r="D8" s="65" t="s">
        <v>5</v>
      </c>
      <c r="E8" s="65" t="s">
        <v>6</v>
      </c>
      <c r="F8" s="66" t="s">
        <v>118</v>
      </c>
      <c r="G8" s="58"/>
      <c r="H8" s="58"/>
      <c r="I8" s="58"/>
      <c r="J8" s="132"/>
    </row>
    <row r="9" spans="1:10" x14ac:dyDescent="0.3">
      <c r="A9" s="131"/>
      <c r="B9" s="33" t="s">
        <v>7</v>
      </c>
      <c r="C9" s="17"/>
      <c r="D9" s="17"/>
      <c r="E9" s="17"/>
      <c r="F9" s="34"/>
      <c r="G9" s="58"/>
      <c r="H9" s="58"/>
      <c r="I9" s="58"/>
      <c r="J9" s="132"/>
    </row>
    <row r="10" spans="1:10" x14ac:dyDescent="0.3">
      <c r="A10" s="131"/>
      <c r="B10" s="35" t="s">
        <v>8</v>
      </c>
      <c r="C10" s="23">
        <f>F26</f>
        <v>35027.027027027027</v>
      </c>
      <c r="D10" s="23">
        <f>F26</f>
        <v>35027.027027027027</v>
      </c>
      <c r="E10" s="23">
        <f>F26</f>
        <v>35027.027027027027</v>
      </c>
      <c r="F10" s="36">
        <f>F26</f>
        <v>35027.027027027027</v>
      </c>
      <c r="G10" s="58"/>
      <c r="H10" s="58"/>
      <c r="I10" s="58"/>
      <c r="J10" s="132"/>
    </row>
    <row r="11" spans="1:10" x14ac:dyDescent="0.3">
      <c r="A11" s="131"/>
      <c r="B11" s="33" t="s">
        <v>9</v>
      </c>
      <c r="C11" s="23"/>
      <c r="D11" s="17"/>
      <c r="E11" s="17"/>
      <c r="F11" s="34"/>
      <c r="G11" s="58"/>
      <c r="H11" s="58"/>
      <c r="I11" s="58"/>
      <c r="J11" s="132"/>
    </row>
    <row r="12" spans="1:10" x14ac:dyDescent="0.3">
      <c r="A12" s="131"/>
      <c r="B12" s="35" t="s">
        <v>10</v>
      </c>
      <c r="C12" s="23">
        <f>C10</f>
        <v>35027.027027027027</v>
      </c>
      <c r="D12" s="18">
        <f>F29</f>
        <v>67415.040000000008</v>
      </c>
      <c r="E12" s="18">
        <f>F29</f>
        <v>67415.040000000008</v>
      </c>
      <c r="F12" s="37">
        <f>F29</f>
        <v>67415.040000000008</v>
      </c>
      <c r="G12" s="58"/>
      <c r="H12" s="58"/>
      <c r="I12" s="58"/>
      <c r="J12" s="132"/>
    </row>
    <row r="13" spans="1:10" x14ac:dyDescent="0.3">
      <c r="A13" s="131"/>
      <c r="B13" s="33" t="s">
        <v>11</v>
      </c>
      <c r="C13" s="29">
        <f>C12-C10</f>
        <v>0</v>
      </c>
      <c r="D13" s="29">
        <f>D12-D10</f>
        <v>32388.012972972982</v>
      </c>
      <c r="E13" s="29">
        <f>E12-E10</f>
        <v>32388.012972972982</v>
      </c>
      <c r="F13" s="38">
        <f>F12-F10</f>
        <v>32388.012972972982</v>
      </c>
      <c r="G13" s="58"/>
      <c r="H13" s="58"/>
      <c r="I13" s="58"/>
      <c r="J13" s="132"/>
    </row>
    <row r="14" spans="1:10" x14ac:dyDescent="0.3">
      <c r="A14" s="131"/>
      <c r="B14" s="35"/>
      <c r="C14" s="23"/>
      <c r="D14" s="18"/>
      <c r="E14" s="18"/>
      <c r="F14" s="37"/>
      <c r="G14" s="58"/>
      <c r="H14" s="58"/>
      <c r="I14" s="58"/>
      <c r="J14" s="132"/>
    </row>
    <row r="15" spans="1:10" x14ac:dyDescent="0.3">
      <c r="A15" s="131"/>
      <c r="B15" s="33" t="s">
        <v>12</v>
      </c>
      <c r="C15" s="17"/>
      <c r="D15" s="17"/>
      <c r="E15" s="17"/>
      <c r="F15" s="34"/>
      <c r="G15" s="58"/>
      <c r="H15" s="58"/>
      <c r="I15" s="58"/>
      <c r="J15" s="132"/>
    </row>
    <row r="16" spans="1:10" x14ac:dyDescent="0.3">
      <c r="A16" s="131"/>
      <c r="B16" s="35" t="s">
        <v>13</v>
      </c>
      <c r="C16" s="39">
        <v>0</v>
      </c>
      <c r="D16" s="39">
        <f>E32</f>
        <v>30000</v>
      </c>
      <c r="E16" s="39">
        <v>0</v>
      </c>
      <c r="F16" s="40">
        <v>0</v>
      </c>
      <c r="G16" s="58"/>
      <c r="H16" s="58"/>
      <c r="I16" s="58"/>
      <c r="J16" s="132"/>
    </row>
    <row r="17" spans="1:17" x14ac:dyDescent="0.3">
      <c r="A17" s="131"/>
      <c r="B17" s="35" t="s">
        <v>14</v>
      </c>
      <c r="C17" s="39">
        <v>0</v>
      </c>
      <c r="D17" s="39">
        <v>0</v>
      </c>
      <c r="E17" s="39">
        <f>F32</f>
        <v>6000</v>
      </c>
      <c r="F17" s="40">
        <f>F32</f>
        <v>6000</v>
      </c>
      <c r="G17" s="58"/>
      <c r="H17" s="58"/>
      <c r="I17" s="58"/>
      <c r="J17" s="132"/>
    </row>
    <row r="18" spans="1:17" x14ac:dyDescent="0.3">
      <c r="A18" s="131"/>
      <c r="B18" s="35" t="s">
        <v>15</v>
      </c>
      <c r="C18" s="39">
        <v>0</v>
      </c>
      <c r="D18" s="39">
        <f>C35</f>
        <v>3600</v>
      </c>
      <c r="E18" s="39">
        <f>C35</f>
        <v>3600</v>
      </c>
      <c r="F18" s="40">
        <f>C35</f>
        <v>3600</v>
      </c>
      <c r="G18" s="58"/>
      <c r="H18" s="58"/>
      <c r="I18" s="58"/>
      <c r="J18" s="132"/>
    </row>
    <row r="19" spans="1:17" x14ac:dyDescent="0.3">
      <c r="A19" s="131"/>
      <c r="B19" s="35" t="s">
        <v>16</v>
      </c>
      <c r="C19" s="39">
        <v>0</v>
      </c>
      <c r="D19" s="39">
        <f>F35</f>
        <v>8025.6</v>
      </c>
      <c r="E19" s="39">
        <f>F35</f>
        <v>8025.6</v>
      </c>
      <c r="F19" s="40">
        <f>F35</f>
        <v>8025.6</v>
      </c>
      <c r="G19" s="58"/>
      <c r="H19" s="58"/>
      <c r="I19" s="58"/>
      <c r="J19" s="132"/>
    </row>
    <row r="20" spans="1:17" x14ac:dyDescent="0.3">
      <c r="A20" s="131"/>
      <c r="B20" s="33" t="s">
        <v>17</v>
      </c>
      <c r="C20" s="30">
        <v>0</v>
      </c>
      <c r="D20" s="30">
        <f>SUM(D16:D19)</f>
        <v>41625.599999999999</v>
      </c>
      <c r="E20" s="30">
        <f>SUM(E16:E19)</f>
        <v>17625.599999999999</v>
      </c>
      <c r="F20" s="41">
        <f>SUM(F16:F19)</f>
        <v>17625.599999999999</v>
      </c>
      <c r="G20" s="58"/>
      <c r="H20" s="58"/>
      <c r="I20" s="58"/>
      <c r="J20" s="132"/>
    </row>
    <row r="21" spans="1:17" x14ac:dyDescent="0.3">
      <c r="A21" s="131"/>
      <c r="B21" s="35"/>
      <c r="C21" s="17"/>
      <c r="D21" s="17"/>
      <c r="E21" s="17"/>
      <c r="F21" s="34"/>
      <c r="G21" s="58"/>
      <c r="H21" s="58"/>
      <c r="I21" s="58"/>
      <c r="J21" s="132"/>
    </row>
    <row r="22" spans="1:17" ht="22.95" customHeight="1" x14ac:dyDescent="0.3">
      <c r="A22" s="131"/>
      <c r="B22" s="28" t="s">
        <v>18</v>
      </c>
      <c r="C22" s="42">
        <f>C13+C20</f>
        <v>0</v>
      </c>
      <c r="D22" s="42">
        <f>D13-D20</f>
        <v>-9237.587027027017</v>
      </c>
      <c r="E22" s="42">
        <f>E13-E20</f>
        <v>14762.412972972983</v>
      </c>
      <c r="F22" s="7">
        <f>F13-F20</f>
        <v>14762.412972972983</v>
      </c>
      <c r="G22" s="58"/>
      <c r="H22" s="58"/>
      <c r="I22" s="58"/>
      <c r="J22" s="132"/>
    </row>
    <row r="23" spans="1:17" x14ac:dyDescent="0.3">
      <c r="A23" s="131"/>
      <c r="B23" s="58"/>
      <c r="C23" s="58"/>
      <c r="D23" s="58"/>
      <c r="E23" s="58"/>
      <c r="F23" s="58"/>
      <c r="G23" s="58"/>
      <c r="H23" s="58"/>
      <c r="I23" s="58"/>
      <c r="J23" s="132"/>
    </row>
    <row r="24" spans="1:17" x14ac:dyDescent="0.3">
      <c r="A24" s="131"/>
      <c r="B24" s="1" t="s">
        <v>19</v>
      </c>
      <c r="C24" s="58"/>
      <c r="D24" s="58"/>
      <c r="E24" s="58"/>
      <c r="F24" s="58"/>
      <c r="G24" s="58"/>
      <c r="H24" s="58"/>
      <c r="I24" s="58"/>
      <c r="J24" s="132"/>
    </row>
    <row r="25" spans="1:17" x14ac:dyDescent="0.3">
      <c r="A25" s="131"/>
      <c r="B25" s="2" t="s">
        <v>105</v>
      </c>
      <c r="C25" s="2" t="s">
        <v>20</v>
      </c>
      <c r="D25" s="2" t="s">
        <v>21</v>
      </c>
      <c r="E25" s="2" t="s">
        <v>22</v>
      </c>
      <c r="F25" s="12" t="s">
        <v>23</v>
      </c>
      <c r="G25" s="58"/>
      <c r="H25" s="58"/>
      <c r="I25" s="58"/>
      <c r="J25" s="132"/>
      <c r="N25" s="19"/>
    </row>
    <row r="26" spans="1:17" x14ac:dyDescent="0.3">
      <c r="A26" s="131"/>
      <c r="B26" s="58"/>
      <c r="C26" s="14">
        <v>3000</v>
      </c>
      <c r="D26" s="22">
        <f>36/37</f>
        <v>0.97297297297297303</v>
      </c>
      <c r="E26" s="15">
        <f>D26*C26</f>
        <v>2918.9189189189192</v>
      </c>
      <c r="F26" s="43">
        <f>E26*12</f>
        <v>35027.027027027027</v>
      </c>
      <c r="G26" s="58"/>
      <c r="H26" s="58"/>
      <c r="I26" s="58"/>
      <c r="J26" s="132"/>
      <c r="K26" s="17"/>
      <c r="L26" s="17"/>
      <c r="M26" s="17"/>
      <c r="N26" s="17"/>
      <c r="O26" s="17"/>
      <c r="P26" s="17"/>
      <c r="Q26" s="17"/>
    </row>
    <row r="27" spans="1:17" x14ac:dyDescent="0.3">
      <c r="A27" s="131"/>
      <c r="B27" s="58"/>
      <c r="C27" s="58"/>
      <c r="D27" s="140"/>
      <c r="E27" s="58"/>
      <c r="F27" s="58"/>
      <c r="G27" s="58"/>
      <c r="H27" s="58"/>
      <c r="I27" s="58"/>
      <c r="J27" s="132"/>
      <c r="K27" s="17"/>
      <c r="L27" s="17"/>
      <c r="M27" s="17"/>
      <c r="N27" s="17"/>
      <c r="O27" s="17"/>
      <c r="P27" s="17"/>
      <c r="Q27" s="17"/>
    </row>
    <row r="28" spans="1:17" x14ac:dyDescent="0.3">
      <c r="A28" s="131"/>
      <c r="B28" s="2" t="s">
        <v>106</v>
      </c>
      <c r="C28" s="2" t="s">
        <v>24</v>
      </c>
      <c r="D28" s="2" t="s">
        <v>25</v>
      </c>
      <c r="E28" s="12" t="s">
        <v>111</v>
      </c>
      <c r="F28" s="12" t="s">
        <v>26</v>
      </c>
      <c r="G28" s="58"/>
      <c r="H28" s="58"/>
      <c r="I28" s="58"/>
      <c r="J28" s="132"/>
      <c r="K28" s="19"/>
      <c r="L28" s="17"/>
      <c r="M28" s="17"/>
      <c r="N28" s="46"/>
      <c r="O28" s="17"/>
      <c r="P28" s="17"/>
      <c r="Q28" s="17"/>
    </row>
    <row r="29" spans="1:17" x14ac:dyDescent="0.3">
      <c r="A29" s="131"/>
      <c r="B29" s="58"/>
      <c r="C29" s="13">
        <v>400</v>
      </c>
      <c r="D29" s="16">
        <v>0.66</v>
      </c>
      <c r="E29" s="20">
        <f>D29*C32*C29*(1-D32)</f>
        <v>5617.92</v>
      </c>
      <c r="F29" s="45">
        <f>E29*12</f>
        <v>67415.040000000008</v>
      </c>
      <c r="G29" s="59"/>
      <c r="H29" s="62"/>
      <c r="I29" s="67"/>
      <c r="J29" s="141"/>
      <c r="K29" s="18"/>
      <c r="L29" s="25"/>
      <c r="M29" s="47"/>
      <c r="N29" s="48"/>
      <c r="O29" s="17"/>
      <c r="P29" s="17"/>
      <c r="Q29" s="17"/>
    </row>
    <row r="30" spans="1:17" x14ac:dyDescent="0.3">
      <c r="A30" s="131"/>
      <c r="B30" s="58"/>
      <c r="C30" s="60"/>
      <c r="D30" s="62"/>
      <c r="E30" s="60"/>
      <c r="F30" s="60"/>
      <c r="G30" s="59"/>
      <c r="H30" s="62"/>
      <c r="I30" s="67"/>
      <c r="J30" s="141"/>
      <c r="K30" s="18"/>
      <c r="L30" s="25"/>
      <c r="M30" s="26"/>
      <c r="N30" s="27"/>
      <c r="O30" s="17"/>
      <c r="P30" s="17"/>
      <c r="Q30" s="17"/>
    </row>
    <row r="31" spans="1:17" x14ac:dyDescent="0.3">
      <c r="A31" s="131"/>
      <c r="B31" s="58"/>
      <c r="C31" s="5" t="s">
        <v>112</v>
      </c>
      <c r="D31" s="6" t="s">
        <v>132</v>
      </c>
      <c r="E31" s="6" t="s">
        <v>120</v>
      </c>
      <c r="F31" s="5" t="s">
        <v>119</v>
      </c>
      <c r="G31" s="58"/>
      <c r="H31" s="58"/>
      <c r="I31" s="58"/>
      <c r="J31" s="143"/>
      <c r="K31" s="18"/>
      <c r="L31" s="25"/>
      <c r="M31" s="26"/>
      <c r="N31" s="27"/>
      <c r="O31" s="17"/>
      <c r="P31" s="17"/>
      <c r="Q31" s="17"/>
    </row>
    <row r="32" spans="1:17" x14ac:dyDescent="0.3">
      <c r="A32" s="131"/>
      <c r="B32" s="54" t="s">
        <v>29</v>
      </c>
      <c r="C32" s="53">
        <v>30.4</v>
      </c>
      <c r="D32" s="49">
        <v>0.3</v>
      </c>
      <c r="E32" s="51">
        <v>30000</v>
      </c>
      <c r="F32" s="63">
        <v>6000</v>
      </c>
      <c r="G32" s="60"/>
      <c r="H32" s="67"/>
      <c r="I32" s="59"/>
      <c r="J32" s="144"/>
      <c r="K32" s="18"/>
      <c r="L32" s="25"/>
      <c r="M32" s="26"/>
      <c r="N32" s="27"/>
      <c r="O32" s="17"/>
      <c r="P32" s="17"/>
      <c r="Q32" s="17"/>
    </row>
    <row r="33" spans="1:17" x14ac:dyDescent="0.3">
      <c r="A33" s="131"/>
      <c r="B33" s="52" t="s">
        <v>30</v>
      </c>
      <c r="C33" s="60"/>
      <c r="D33" s="62"/>
      <c r="E33" s="60"/>
      <c r="F33" s="60"/>
      <c r="G33" s="59"/>
      <c r="H33" s="62"/>
      <c r="I33" s="67"/>
      <c r="J33" s="141"/>
      <c r="K33" s="18"/>
      <c r="L33" s="25"/>
      <c r="M33" s="26"/>
      <c r="N33" s="27"/>
      <c r="O33" s="17"/>
      <c r="P33" s="17"/>
      <c r="Q33" s="17"/>
    </row>
    <row r="34" spans="1:17" x14ac:dyDescent="0.3">
      <c r="A34" s="131"/>
      <c r="B34" s="55" t="s">
        <v>31</v>
      </c>
      <c r="C34" s="5" t="s">
        <v>32</v>
      </c>
      <c r="D34" s="6" t="s">
        <v>33</v>
      </c>
      <c r="E34" s="6" t="s">
        <v>34</v>
      </c>
      <c r="F34" s="21" t="s">
        <v>35</v>
      </c>
      <c r="G34" s="59"/>
      <c r="H34" s="62"/>
      <c r="I34" s="67"/>
      <c r="J34" s="141"/>
      <c r="K34" s="18"/>
      <c r="L34" s="25"/>
      <c r="M34" s="26"/>
      <c r="N34" s="27"/>
      <c r="O34" s="17"/>
      <c r="P34" s="17"/>
      <c r="Q34" s="17"/>
    </row>
    <row r="35" spans="1:17" x14ac:dyDescent="0.3">
      <c r="A35" s="131"/>
      <c r="B35" s="58"/>
      <c r="C35" s="56">
        <v>3600</v>
      </c>
      <c r="D35" s="50">
        <v>100</v>
      </c>
      <c r="E35" s="44">
        <f>D29*C32*12/3</f>
        <v>80.256</v>
      </c>
      <c r="F35" s="64">
        <f>D35*E35</f>
        <v>8025.6</v>
      </c>
      <c r="G35" s="59"/>
      <c r="H35" s="62"/>
      <c r="I35" s="67"/>
      <c r="J35" s="141"/>
      <c r="K35" s="18"/>
      <c r="L35" s="25"/>
      <c r="M35" s="26"/>
      <c r="N35" s="27"/>
    </row>
    <row r="36" spans="1:17" x14ac:dyDescent="0.3">
      <c r="A36" s="131"/>
      <c r="B36" s="58"/>
      <c r="C36" s="60"/>
      <c r="D36" s="62"/>
      <c r="E36" s="60"/>
      <c r="F36" s="60"/>
      <c r="G36" s="59"/>
      <c r="H36" s="62"/>
      <c r="I36" s="67"/>
      <c r="J36" s="141"/>
      <c r="K36" s="18"/>
      <c r="L36" s="25"/>
      <c r="M36" s="26"/>
      <c r="N36" s="27"/>
    </row>
    <row r="37" spans="1:17" x14ac:dyDescent="0.3">
      <c r="A37" s="131"/>
      <c r="B37" s="58"/>
      <c r="C37" s="58"/>
      <c r="D37" s="58"/>
      <c r="E37" s="60"/>
      <c r="F37" s="60"/>
      <c r="G37" s="59"/>
      <c r="H37" s="62"/>
      <c r="I37" s="67"/>
      <c r="J37" s="141"/>
      <c r="K37" s="18"/>
      <c r="L37" s="25"/>
      <c r="M37" s="26"/>
      <c r="N37" s="27"/>
    </row>
    <row r="38" spans="1:17" x14ac:dyDescent="0.3">
      <c r="A38" s="131"/>
      <c r="B38" s="58"/>
      <c r="C38" s="58"/>
      <c r="D38" s="58"/>
      <c r="E38" s="60"/>
      <c r="F38" s="60"/>
      <c r="G38" s="59"/>
      <c r="H38" s="62"/>
      <c r="I38" s="67"/>
      <c r="J38" s="141"/>
      <c r="K38" s="18"/>
      <c r="L38" s="25"/>
      <c r="M38" s="26"/>
      <c r="N38" s="27"/>
    </row>
    <row r="39" spans="1:17" x14ac:dyDescent="0.3">
      <c r="A39" s="131"/>
      <c r="B39" s="1" t="s">
        <v>36</v>
      </c>
      <c r="C39" s="58"/>
      <c r="D39" s="58"/>
      <c r="E39" s="60"/>
      <c r="F39" s="60"/>
      <c r="G39" s="59"/>
      <c r="H39" s="62"/>
      <c r="I39" s="67"/>
      <c r="J39" s="141"/>
      <c r="K39" s="18"/>
      <c r="L39" s="25"/>
      <c r="M39" s="26"/>
      <c r="N39" s="27"/>
    </row>
    <row r="40" spans="1:17" x14ac:dyDescent="0.3">
      <c r="A40" s="131"/>
      <c r="B40" s="2" t="s">
        <v>37</v>
      </c>
      <c r="C40" s="31" t="s">
        <v>38</v>
      </c>
      <c r="D40" s="32"/>
      <c r="E40" s="32"/>
      <c r="F40" s="32"/>
      <c r="G40" s="11"/>
      <c r="H40" s="58"/>
      <c r="I40" s="58"/>
      <c r="J40" s="132"/>
    </row>
    <row r="41" spans="1:17" x14ac:dyDescent="0.3">
      <c r="A41" s="131"/>
      <c r="B41" s="58"/>
      <c r="C41" s="28" t="s">
        <v>39</v>
      </c>
      <c r="D41" s="69"/>
      <c r="E41" s="69"/>
      <c r="F41" s="69"/>
      <c r="G41" s="70"/>
      <c r="H41" s="58"/>
      <c r="I41" s="58"/>
      <c r="J41" s="132"/>
    </row>
    <row r="42" spans="1:17" x14ac:dyDescent="0.3">
      <c r="A42" s="131"/>
      <c r="B42" s="58"/>
      <c r="C42" s="58"/>
      <c r="D42" s="58"/>
      <c r="E42" s="58"/>
      <c r="F42" s="58"/>
      <c r="G42" s="58"/>
      <c r="H42" s="58"/>
      <c r="I42" s="58"/>
      <c r="J42" s="132"/>
    </row>
    <row r="43" spans="1:17" x14ac:dyDescent="0.3">
      <c r="A43" s="131"/>
      <c r="B43" s="2" t="s">
        <v>40</v>
      </c>
      <c r="C43" s="31" t="s">
        <v>134</v>
      </c>
      <c r="D43" s="32"/>
      <c r="E43" s="32"/>
      <c r="F43" s="32"/>
      <c r="G43" s="32"/>
      <c r="H43" s="32"/>
      <c r="I43" s="11"/>
      <c r="J43" s="132"/>
    </row>
    <row r="44" spans="1:17" x14ac:dyDescent="0.3">
      <c r="A44" s="131"/>
      <c r="B44" s="58"/>
      <c r="C44" s="35" t="s">
        <v>41</v>
      </c>
      <c r="D44" s="17"/>
      <c r="E44" s="17"/>
      <c r="F44" s="17"/>
      <c r="G44" s="17"/>
      <c r="H44" s="17"/>
      <c r="I44" s="34"/>
      <c r="J44" s="132"/>
    </row>
    <row r="45" spans="1:17" x14ac:dyDescent="0.3">
      <c r="A45" s="131"/>
      <c r="B45" s="58"/>
      <c r="C45" s="28" t="s">
        <v>42</v>
      </c>
      <c r="D45" s="69"/>
      <c r="E45" s="69"/>
      <c r="F45" s="69"/>
      <c r="G45" s="69"/>
      <c r="H45" s="69"/>
      <c r="I45" s="70"/>
      <c r="J45" s="132"/>
    </row>
    <row r="46" spans="1:17" x14ac:dyDescent="0.3">
      <c r="A46" s="131"/>
      <c r="B46" s="58"/>
      <c r="C46" s="58"/>
      <c r="D46" s="58"/>
      <c r="E46" s="58"/>
      <c r="F46" s="58"/>
      <c r="G46" s="58"/>
      <c r="H46" s="58"/>
      <c r="I46" s="58"/>
      <c r="J46" s="132"/>
    </row>
    <row r="47" spans="1:17" x14ac:dyDescent="0.3">
      <c r="A47" s="131"/>
      <c r="B47" s="3" t="s">
        <v>43</v>
      </c>
      <c r="C47" s="68"/>
      <c r="D47" s="68"/>
      <c r="E47" s="4"/>
      <c r="F47" s="58"/>
      <c r="G47" s="58"/>
      <c r="H47" s="58"/>
      <c r="I47" s="58"/>
      <c r="J47" s="132"/>
    </row>
    <row r="48" spans="1:17" x14ac:dyDescent="0.3">
      <c r="A48" s="131"/>
      <c r="B48" s="58"/>
      <c r="C48" s="3" t="s">
        <v>44</v>
      </c>
      <c r="D48" s="68"/>
      <c r="E48" s="68"/>
      <c r="F48" s="68"/>
      <c r="G48" s="68"/>
      <c r="H48" s="68"/>
      <c r="I48" s="4"/>
      <c r="J48" s="132"/>
    </row>
    <row r="49" spans="1:10" x14ac:dyDescent="0.3">
      <c r="A49" s="131"/>
      <c r="B49" s="58"/>
      <c r="C49" s="58"/>
      <c r="D49" s="58"/>
      <c r="E49" s="58"/>
      <c r="F49" s="58"/>
      <c r="G49" s="58"/>
      <c r="H49" s="58"/>
      <c r="I49" s="58"/>
      <c r="J49" s="132"/>
    </row>
    <row r="50" spans="1:10" x14ac:dyDescent="0.3">
      <c r="A50" s="131"/>
      <c r="B50" s="3" t="s">
        <v>45</v>
      </c>
      <c r="C50" s="68"/>
      <c r="D50" s="4"/>
      <c r="E50" s="58"/>
      <c r="F50" s="58"/>
      <c r="G50" s="58"/>
      <c r="H50" s="58"/>
      <c r="I50" s="58"/>
      <c r="J50" s="132"/>
    </row>
    <row r="51" spans="1:10" x14ac:dyDescent="0.3">
      <c r="A51" s="131"/>
      <c r="B51" s="58"/>
      <c r="C51" s="71" t="s">
        <v>46</v>
      </c>
      <c r="D51" s="68"/>
      <c r="E51" s="68"/>
      <c r="F51" s="68"/>
      <c r="G51" s="68"/>
      <c r="H51" s="4"/>
      <c r="I51" s="58"/>
      <c r="J51" s="132"/>
    </row>
    <row r="52" spans="1:10" x14ac:dyDescent="0.3">
      <c r="A52" s="131"/>
      <c r="B52" s="58"/>
      <c r="C52" s="58"/>
      <c r="D52" s="58"/>
      <c r="E52" s="58"/>
      <c r="F52" s="58"/>
      <c r="G52" s="58"/>
      <c r="H52" s="58"/>
      <c r="I52" s="58"/>
      <c r="J52" s="132"/>
    </row>
    <row r="53" spans="1:10" x14ac:dyDescent="0.3">
      <c r="A53" s="131"/>
      <c r="B53" s="3" t="s">
        <v>47</v>
      </c>
      <c r="C53" s="68"/>
      <c r="D53" s="68"/>
      <c r="E53" s="68"/>
      <c r="F53" s="4"/>
      <c r="G53" s="58"/>
      <c r="H53" s="58"/>
      <c r="I53" s="58"/>
      <c r="J53" s="132"/>
    </row>
    <row r="54" spans="1:10" x14ac:dyDescent="0.3">
      <c r="A54" s="131"/>
      <c r="B54" s="58"/>
      <c r="C54" s="58"/>
      <c r="D54" s="58"/>
      <c r="E54" s="58"/>
      <c r="F54" s="58"/>
      <c r="G54" s="58"/>
      <c r="H54" s="58"/>
      <c r="I54" s="58"/>
      <c r="J54" s="132"/>
    </row>
    <row r="55" spans="1:10" x14ac:dyDescent="0.3">
      <c r="A55" s="131"/>
      <c r="B55" s="3" t="s">
        <v>48</v>
      </c>
      <c r="C55" s="68"/>
      <c r="D55" s="68"/>
      <c r="E55" s="68"/>
      <c r="F55" s="68"/>
      <c r="G55" s="4"/>
      <c r="H55" s="58"/>
      <c r="I55" s="58"/>
      <c r="J55" s="132"/>
    </row>
    <row r="56" spans="1:10" x14ac:dyDescent="0.3">
      <c r="A56" s="131"/>
      <c r="B56" s="58"/>
      <c r="C56" s="31" t="s">
        <v>49</v>
      </c>
      <c r="D56" s="32"/>
      <c r="E56" s="32"/>
      <c r="F56" s="32"/>
      <c r="G56" s="32"/>
      <c r="H56" s="32"/>
      <c r="I56" s="11"/>
      <c r="J56" s="132"/>
    </row>
    <row r="57" spans="1:10" x14ac:dyDescent="0.3">
      <c r="A57" s="131"/>
      <c r="B57" s="58"/>
      <c r="C57" s="35" t="s">
        <v>50</v>
      </c>
      <c r="D57" s="17"/>
      <c r="E57" s="17"/>
      <c r="F57" s="17"/>
      <c r="G57" s="17"/>
      <c r="H57" s="17"/>
      <c r="I57" s="34"/>
      <c r="J57" s="132"/>
    </row>
    <row r="58" spans="1:10" x14ac:dyDescent="0.3">
      <c r="A58" s="131"/>
      <c r="B58" s="58"/>
      <c r="C58" s="35" t="s">
        <v>51</v>
      </c>
      <c r="D58" s="17"/>
      <c r="E58" s="17"/>
      <c r="F58" s="17"/>
      <c r="G58" s="17"/>
      <c r="H58" s="17"/>
      <c r="I58" s="34"/>
      <c r="J58" s="132"/>
    </row>
    <row r="59" spans="1:10" x14ac:dyDescent="0.3">
      <c r="A59" s="131"/>
      <c r="B59" s="58"/>
      <c r="C59" s="28" t="s">
        <v>52</v>
      </c>
      <c r="D59" s="69"/>
      <c r="E59" s="69"/>
      <c r="F59" s="69"/>
      <c r="G59" s="69"/>
      <c r="H59" s="69"/>
      <c r="I59" s="70"/>
      <c r="J59" s="132"/>
    </row>
    <row r="60" spans="1:10" x14ac:dyDescent="0.3">
      <c r="A60" s="131"/>
      <c r="B60" s="58"/>
      <c r="C60" s="58"/>
      <c r="D60" s="58"/>
      <c r="E60" s="58"/>
      <c r="F60" s="58"/>
      <c r="G60" s="58"/>
      <c r="H60" s="58"/>
      <c r="I60" s="58"/>
      <c r="J60" s="132"/>
    </row>
    <row r="61" spans="1:10" x14ac:dyDescent="0.3">
      <c r="A61" s="131"/>
      <c r="B61" s="58"/>
      <c r="C61" s="58"/>
      <c r="D61" s="58"/>
      <c r="E61" s="58"/>
      <c r="F61" s="58"/>
      <c r="G61" s="58"/>
      <c r="H61" s="58"/>
      <c r="I61" s="58"/>
      <c r="J61" s="132"/>
    </row>
    <row r="62" spans="1:10" x14ac:dyDescent="0.3">
      <c r="A62" s="131"/>
      <c r="B62" s="3" t="s">
        <v>53</v>
      </c>
      <c r="C62" s="75" t="s">
        <v>54</v>
      </c>
      <c r="D62" s="68"/>
      <c r="E62" s="68"/>
      <c r="F62" s="68"/>
      <c r="G62" s="4"/>
      <c r="H62" s="58"/>
      <c r="I62" s="58"/>
      <c r="J62" s="132"/>
    </row>
    <row r="63" spans="1:10" x14ac:dyDescent="0.3">
      <c r="A63" s="131"/>
      <c r="B63" s="58"/>
      <c r="C63" s="58"/>
      <c r="D63" s="58"/>
      <c r="E63" s="58"/>
      <c r="F63" s="58"/>
      <c r="G63" s="58"/>
      <c r="H63" s="58"/>
      <c r="I63" s="58"/>
      <c r="J63" s="132"/>
    </row>
    <row r="64" spans="1:10" x14ac:dyDescent="0.3">
      <c r="A64" s="135"/>
      <c r="B64" s="133"/>
      <c r="C64" s="133"/>
      <c r="D64" s="133"/>
      <c r="E64" s="133"/>
      <c r="F64" s="133"/>
      <c r="G64" s="133"/>
      <c r="H64" s="133"/>
      <c r="I64" s="133"/>
      <c r="J64" s="134"/>
    </row>
    <row r="67" spans="1:6" x14ac:dyDescent="0.3">
      <c r="B67" s="1" t="s">
        <v>116</v>
      </c>
      <c r="C67" s="17"/>
    </row>
    <row r="68" spans="1:6" x14ac:dyDescent="0.3">
      <c r="B68" s="115" t="s">
        <v>30</v>
      </c>
      <c r="C68" s="113"/>
    </row>
    <row r="69" spans="1:6" x14ac:dyDescent="0.3">
      <c r="B69" s="116" t="s">
        <v>117</v>
      </c>
      <c r="C69" s="114"/>
    </row>
    <row r="70" spans="1:6" x14ac:dyDescent="0.3">
      <c r="C70" s="8"/>
    </row>
    <row r="71" spans="1:6" x14ac:dyDescent="0.3">
      <c r="B71" s="2" t="s">
        <v>55</v>
      </c>
      <c r="C71" s="8"/>
    </row>
    <row r="72" spans="1:6" x14ac:dyDescent="0.3">
      <c r="B72" s="9"/>
      <c r="C72" s="8"/>
    </row>
    <row r="73" spans="1:6" x14ac:dyDescent="0.3">
      <c r="B73" s="31" t="s">
        <v>97</v>
      </c>
      <c r="C73" s="32"/>
      <c r="D73" s="32"/>
      <c r="E73" s="32"/>
      <c r="F73" s="11"/>
    </row>
    <row r="74" spans="1:6" x14ac:dyDescent="0.3">
      <c r="B74" s="35" t="s">
        <v>124</v>
      </c>
      <c r="C74" s="17"/>
      <c r="D74" s="17"/>
      <c r="E74" s="17"/>
      <c r="F74" s="34"/>
    </row>
    <row r="75" spans="1:6" x14ac:dyDescent="0.3">
      <c r="B75" s="35" t="s">
        <v>125</v>
      </c>
      <c r="C75" s="17"/>
      <c r="D75" s="17"/>
      <c r="E75" s="17"/>
      <c r="F75" s="34"/>
    </row>
    <row r="76" spans="1:6" x14ac:dyDescent="0.3">
      <c r="B76" s="28"/>
      <c r="C76" s="69"/>
      <c r="D76" s="69"/>
      <c r="E76" s="69"/>
      <c r="F76" s="70"/>
    </row>
    <row r="78" spans="1:6" x14ac:dyDescent="0.3">
      <c r="B78" t="s">
        <v>133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opLeftCell="B4" workbookViewId="0">
      <selection activeCell="A2" sqref="A2"/>
    </sheetView>
  </sheetViews>
  <sheetFormatPr defaultColWidth="11" defaultRowHeight="15.6" x14ac:dyDescent="0.3"/>
  <cols>
    <col min="2" max="2" width="51.5" customWidth="1"/>
    <col min="3" max="3" width="27.5" customWidth="1"/>
    <col min="4" max="4" width="30.5" customWidth="1"/>
    <col min="5" max="5" width="42.69921875" customWidth="1"/>
    <col min="6" max="6" width="42.5" customWidth="1"/>
    <col min="7" max="7" width="37.69921875" customWidth="1"/>
  </cols>
  <sheetData>
    <row r="1" spans="1:7" ht="21" x14ac:dyDescent="0.4">
      <c r="A1" s="128" t="s">
        <v>122</v>
      </c>
    </row>
    <row r="2" spans="1:7" x14ac:dyDescent="0.3">
      <c r="A2" s="57"/>
      <c r="B2" s="57"/>
      <c r="C2" s="57"/>
      <c r="D2" s="57"/>
      <c r="E2" s="57"/>
      <c r="F2" s="57"/>
      <c r="G2" s="57"/>
    </row>
    <row r="3" spans="1:7" x14ac:dyDescent="0.3">
      <c r="A3" s="57"/>
      <c r="B3" s="57"/>
      <c r="C3" s="57"/>
      <c r="D3" s="57"/>
      <c r="E3" s="57"/>
      <c r="F3" s="57"/>
      <c r="G3" s="57"/>
    </row>
    <row r="4" spans="1:7" x14ac:dyDescent="0.3">
      <c r="A4" s="57"/>
      <c r="B4" s="57"/>
      <c r="C4" s="57"/>
      <c r="D4" s="57"/>
      <c r="E4" s="57"/>
      <c r="F4" s="57"/>
      <c r="G4" s="57"/>
    </row>
    <row r="5" spans="1:7" x14ac:dyDescent="0.3">
      <c r="A5" s="57"/>
      <c r="B5" s="57"/>
      <c r="C5" s="136" t="s">
        <v>108</v>
      </c>
      <c r="D5" s="1" t="s">
        <v>109</v>
      </c>
      <c r="E5" s="1" t="s">
        <v>110</v>
      </c>
      <c r="F5" s="137" t="s">
        <v>110</v>
      </c>
      <c r="G5" s="57"/>
    </row>
    <row r="6" spans="1:7" x14ac:dyDescent="0.3">
      <c r="A6" s="57"/>
      <c r="B6" s="10" t="s">
        <v>56</v>
      </c>
      <c r="C6" s="65" t="s">
        <v>4</v>
      </c>
      <c r="D6" s="65" t="s">
        <v>5</v>
      </c>
      <c r="E6" s="65" t="s">
        <v>6</v>
      </c>
      <c r="F6" s="66" t="s">
        <v>118</v>
      </c>
      <c r="G6" s="57"/>
    </row>
    <row r="7" spans="1:7" x14ac:dyDescent="0.3">
      <c r="A7" s="57"/>
      <c r="B7" s="33" t="s">
        <v>7</v>
      </c>
      <c r="C7" s="17"/>
      <c r="D7" s="17"/>
      <c r="E7" s="17"/>
      <c r="F7" s="34"/>
      <c r="G7" s="57"/>
    </row>
    <row r="8" spans="1:7" x14ac:dyDescent="0.3">
      <c r="A8" s="57"/>
      <c r="B8" s="35" t="s">
        <v>57</v>
      </c>
      <c r="C8" s="23">
        <f>F24</f>
        <v>35027.027027027027</v>
      </c>
      <c r="D8" s="23">
        <f>F24</f>
        <v>35027.027027027027</v>
      </c>
      <c r="E8" s="23">
        <f>F24</f>
        <v>35027.027027027027</v>
      </c>
      <c r="F8" s="36">
        <f>F24</f>
        <v>35027.027027027027</v>
      </c>
      <c r="G8" s="57"/>
    </row>
    <row r="9" spans="1:7" x14ac:dyDescent="0.3">
      <c r="A9" s="57"/>
      <c r="B9" s="33" t="s">
        <v>9</v>
      </c>
      <c r="C9" s="17"/>
      <c r="D9" s="17"/>
      <c r="E9" s="17"/>
      <c r="F9" s="34"/>
      <c r="G9" s="57"/>
    </row>
    <row r="10" spans="1:7" x14ac:dyDescent="0.3">
      <c r="A10" s="57"/>
      <c r="B10" s="35" t="s">
        <v>58</v>
      </c>
      <c r="C10" s="23">
        <f>F24</f>
        <v>35027.027027027027</v>
      </c>
      <c r="D10" s="18">
        <f>F27</f>
        <v>67415.040000000008</v>
      </c>
      <c r="E10" s="18">
        <f>F27</f>
        <v>67415.040000000008</v>
      </c>
      <c r="F10" s="37">
        <f>F27</f>
        <v>67415.040000000008</v>
      </c>
      <c r="G10" s="57"/>
    </row>
    <row r="11" spans="1:7" x14ac:dyDescent="0.3">
      <c r="A11" s="57"/>
      <c r="B11" s="33" t="s">
        <v>59</v>
      </c>
      <c r="C11" s="29">
        <f>C10-C8</f>
        <v>0</v>
      </c>
      <c r="D11" s="29">
        <f>D10-D8</f>
        <v>32388.012972972982</v>
      </c>
      <c r="E11" s="29">
        <f>E10-E8</f>
        <v>32388.012972972982</v>
      </c>
      <c r="F11" s="38">
        <f>F10-F8</f>
        <v>32388.012972972982</v>
      </c>
      <c r="G11" s="57"/>
    </row>
    <row r="12" spans="1:7" x14ac:dyDescent="0.3">
      <c r="A12" s="57"/>
      <c r="B12" s="35"/>
      <c r="C12" s="23"/>
      <c r="D12" s="18"/>
      <c r="E12" s="18"/>
      <c r="F12" s="37"/>
      <c r="G12" s="57"/>
    </row>
    <row r="13" spans="1:7" x14ac:dyDescent="0.3">
      <c r="A13" s="57"/>
      <c r="B13" s="33" t="s">
        <v>60</v>
      </c>
      <c r="C13" s="17"/>
      <c r="D13" s="17"/>
      <c r="E13" s="17"/>
      <c r="F13" s="34"/>
      <c r="G13" s="57"/>
    </row>
    <row r="14" spans="1:7" x14ac:dyDescent="0.3">
      <c r="A14" s="57"/>
      <c r="B14" s="150" t="s">
        <v>61</v>
      </c>
      <c r="C14" s="23">
        <v>0</v>
      </c>
      <c r="D14" s="148">
        <f>E30/$D$35</f>
        <v>6000</v>
      </c>
      <c r="E14" s="148">
        <f>E30/D$35</f>
        <v>6000</v>
      </c>
      <c r="F14" s="149">
        <f>E30/D35</f>
        <v>6000</v>
      </c>
      <c r="G14" s="57"/>
    </row>
    <row r="15" spans="1:7" x14ac:dyDescent="0.3">
      <c r="A15" s="57"/>
      <c r="B15" s="35" t="s">
        <v>14</v>
      </c>
      <c r="C15" s="39">
        <v>0</v>
      </c>
      <c r="D15" s="39">
        <v>0</v>
      </c>
      <c r="E15" s="39">
        <f>F30</f>
        <v>6000</v>
      </c>
      <c r="F15" s="40">
        <f>F30</f>
        <v>6000</v>
      </c>
      <c r="G15" s="57"/>
    </row>
    <row r="16" spans="1:7" x14ac:dyDescent="0.3">
      <c r="A16" s="57"/>
      <c r="B16" s="35" t="s">
        <v>15</v>
      </c>
      <c r="C16" s="39">
        <v>0</v>
      </c>
      <c r="D16" s="39">
        <f>C33</f>
        <v>3600</v>
      </c>
      <c r="E16" s="39">
        <f>C33</f>
        <v>3600</v>
      </c>
      <c r="F16" s="40">
        <f>C33</f>
        <v>3600</v>
      </c>
      <c r="G16" s="57"/>
    </row>
    <row r="17" spans="1:7" x14ac:dyDescent="0.3">
      <c r="A17" s="57"/>
      <c r="B17" s="35" t="s">
        <v>16</v>
      </c>
      <c r="C17" s="39">
        <v>0</v>
      </c>
      <c r="D17" s="39">
        <f>F33</f>
        <v>8025.6</v>
      </c>
      <c r="E17" s="39">
        <f>F33</f>
        <v>8025.6</v>
      </c>
      <c r="F17" s="40">
        <f>F33</f>
        <v>8025.6</v>
      </c>
      <c r="G17" s="57"/>
    </row>
    <row r="18" spans="1:7" x14ac:dyDescent="0.3">
      <c r="A18" s="57"/>
      <c r="B18" s="74" t="s">
        <v>17</v>
      </c>
      <c r="C18" s="30">
        <v>0</v>
      </c>
      <c r="D18" s="30">
        <f>SUM(D14:D17)</f>
        <v>17625.599999999999</v>
      </c>
      <c r="E18" s="30">
        <f>SUM(E14:E17)</f>
        <v>23625.599999999999</v>
      </c>
      <c r="F18" s="30">
        <f>SUM(F14:F17)</f>
        <v>23625.599999999999</v>
      </c>
      <c r="G18" s="57"/>
    </row>
    <row r="19" spans="1:7" x14ac:dyDescent="0.3">
      <c r="A19" s="57"/>
      <c r="B19" s="35"/>
      <c r="C19" s="17"/>
      <c r="D19" s="17"/>
      <c r="E19" s="17"/>
      <c r="F19" s="34"/>
      <c r="G19" s="57"/>
    </row>
    <row r="20" spans="1:7" x14ac:dyDescent="0.3">
      <c r="A20" s="57"/>
      <c r="B20" s="28" t="s">
        <v>18</v>
      </c>
      <c r="C20" s="42">
        <f>C11+C18</f>
        <v>0</v>
      </c>
      <c r="D20" s="42">
        <f>D11-D18</f>
        <v>14762.412972972983</v>
      </c>
      <c r="E20" s="42">
        <f>E11-E18</f>
        <v>8762.412972972983</v>
      </c>
      <c r="F20" s="7">
        <f>F11-F18</f>
        <v>8762.412972972983</v>
      </c>
      <c r="G20" s="57"/>
    </row>
    <row r="21" spans="1:7" x14ac:dyDescent="0.3">
      <c r="A21" s="57"/>
      <c r="B21" s="57"/>
      <c r="C21" s="57"/>
      <c r="D21" s="57"/>
      <c r="E21" s="57"/>
      <c r="F21" s="57"/>
      <c r="G21" s="57"/>
    </row>
    <row r="22" spans="1:7" x14ac:dyDescent="0.3">
      <c r="A22" s="57"/>
      <c r="B22" s="57"/>
      <c r="C22" s="57"/>
      <c r="D22" s="57"/>
      <c r="E22" s="57"/>
      <c r="F22" s="57"/>
      <c r="G22" s="57"/>
    </row>
    <row r="23" spans="1:7" x14ac:dyDescent="0.3">
      <c r="A23" s="57"/>
      <c r="B23" s="2" t="s">
        <v>62</v>
      </c>
      <c r="C23" s="2" t="s">
        <v>20</v>
      </c>
      <c r="D23" s="2" t="s">
        <v>21</v>
      </c>
      <c r="E23" s="2" t="s">
        <v>22</v>
      </c>
      <c r="F23" s="12" t="s">
        <v>23</v>
      </c>
      <c r="G23" s="58"/>
    </row>
    <row r="24" spans="1:7" x14ac:dyDescent="0.3">
      <c r="A24" s="57"/>
      <c r="B24" s="73">
        <f>E30/5</f>
        <v>6000</v>
      </c>
      <c r="C24" s="14">
        <v>3000</v>
      </c>
      <c r="D24" s="22">
        <f>36/37</f>
        <v>0.97297297297297303</v>
      </c>
      <c r="E24" s="15">
        <f>D24*C24</f>
        <v>2918.9189189189192</v>
      </c>
      <c r="F24" s="43">
        <f>E24*12</f>
        <v>35027.027027027027</v>
      </c>
      <c r="G24" s="58"/>
    </row>
    <row r="25" spans="1:7" x14ac:dyDescent="0.3">
      <c r="A25" s="57"/>
      <c r="B25" s="57"/>
      <c r="C25" s="57"/>
      <c r="D25" s="61"/>
      <c r="E25" s="57"/>
      <c r="F25" s="57"/>
      <c r="G25" s="58"/>
    </row>
    <row r="26" spans="1:7" x14ac:dyDescent="0.3">
      <c r="A26" s="57"/>
      <c r="B26" s="57"/>
      <c r="C26" s="2" t="s">
        <v>24</v>
      </c>
      <c r="D26" s="2" t="s">
        <v>25</v>
      </c>
      <c r="E26" s="12" t="s">
        <v>111</v>
      </c>
      <c r="F26" s="12" t="s">
        <v>26</v>
      </c>
      <c r="G26" s="59"/>
    </row>
    <row r="27" spans="1:7" x14ac:dyDescent="0.3">
      <c r="A27" s="57"/>
      <c r="B27" s="111" t="s">
        <v>63</v>
      </c>
      <c r="C27" s="13">
        <v>400</v>
      </c>
      <c r="D27" s="16">
        <v>0.66</v>
      </c>
      <c r="E27" s="20">
        <f>D27*C30*C27*(1-D30)</f>
        <v>5617.92</v>
      </c>
      <c r="F27" s="45">
        <f>E27*12</f>
        <v>67415.040000000008</v>
      </c>
      <c r="G27" s="59"/>
    </row>
    <row r="28" spans="1:7" x14ac:dyDescent="0.3">
      <c r="A28" s="57"/>
      <c r="B28" s="112" t="s">
        <v>135</v>
      </c>
      <c r="C28" s="60"/>
      <c r="D28" s="62"/>
      <c r="E28" s="60"/>
      <c r="F28" s="60"/>
      <c r="G28" s="58"/>
    </row>
    <row r="29" spans="1:7" x14ac:dyDescent="0.3">
      <c r="A29" s="57"/>
      <c r="B29" s="57"/>
      <c r="C29" s="5" t="s">
        <v>112</v>
      </c>
      <c r="D29" s="6" t="s">
        <v>132</v>
      </c>
      <c r="E29" s="6" t="s">
        <v>27</v>
      </c>
      <c r="F29" s="5" t="s">
        <v>28</v>
      </c>
      <c r="G29" s="60"/>
    </row>
    <row r="30" spans="1:7" x14ac:dyDescent="0.3">
      <c r="A30" s="57"/>
      <c r="B30" s="57"/>
      <c r="C30" s="139">
        <v>30.4</v>
      </c>
      <c r="D30" s="138">
        <v>0.3</v>
      </c>
      <c r="E30" s="51">
        <v>30000</v>
      </c>
      <c r="F30" s="63">
        <v>6000</v>
      </c>
      <c r="G30" s="59"/>
    </row>
    <row r="31" spans="1:7" x14ac:dyDescent="0.3">
      <c r="A31" s="57"/>
      <c r="B31" s="57"/>
      <c r="C31" s="60"/>
      <c r="D31" s="62"/>
      <c r="E31" s="60"/>
      <c r="F31" s="60"/>
      <c r="G31" s="59"/>
    </row>
    <row r="32" spans="1:7" x14ac:dyDescent="0.3">
      <c r="A32" s="57"/>
      <c r="B32" s="57"/>
      <c r="C32" s="5" t="s">
        <v>32</v>
      </c>
      <c r="D32" s="6" t="s">
        <v>33</v>
      </c>
      <c r="E32" s="6" t="s">
        <v>34</v>
      </c>
      <c r="F32" s="21" t="s">
        <v>35</v>
      </c>
      <c r="G32" s="59"/>
    </row>
    <row r="33" spans="1:7" x14ac:dyDescent="0.3">
      <c r="A33" s="57"/>
      <c r="B33" s="57"/>
      <c r="C33" s="56">
        <v>3600</v>
      </c>
      <c r="D33" s="50">
        <v>100</v>
      </c>
      <c r="E33" s="44">
        <f>D27*C30*12/3</f>
        <v>80.256</v>
      </c>
      <c r="F33" s="64">
        <f>D33*E33</f>
        <v>8025.6</v>
      </c>
      <c r="G33" s="59"/>
    </row>
    <row r="34" spans="1:7" x14ac:dyDescent="0.3">
      <c r="A34" s="57"/>
      <c r="B34" s="57"/>
      <c r="C34" s="60"/>
      <c r="D34" s="62"/>
      <c r="E34" s="60"/>
      <c r="F34" s="60"/>
      <c r="G34" s="59"/>
    </row>
    <row r="35" spans="1:7" x14ac:dyDescent="0.3">
      <c r="A35" s="57"/>
      <c r="B35" s="57"/>
      <c r="C35" s="2" t="s">
        <v>121</v>
      </c>
      <c r="D35" s="2">
        <v>5</v>
      </c>
      <c r="E35" s="60"/>
      <c r="F35" s="60"/>
      <c r="G35" s="59"/>
    </row>
    <row r="36" spans="1:7" x14ac:dyDescent="0.3">
      <c r="A36" s="57"/>
      <c r="B36" s="57"/>
      <c r="C36" s="57"/>
      <c r="D36" s="58"/>
      <c r="E36" s="60"/>
      <c r="F36" s="60"/>
      <c r="G36" s="59"/>
    </row>
    <row r="39" spans="1:7" x14ac:dyDescent="0.3">
      <c r="B39" s="1" t="s">
        <v>116</v>
      </c>
    </row>
    <row r="40" spans="1:7" x14ac:dyDescent="0.3">
      <c r="B40" s="115" t="s">
        <v>30</v>
      </c>
    </row>
    <row r="41" spans="1:7" x14ac:dyDescent="0.3">
      <c r="B41" s="116" t="s">
        <v>117</v>
      </c>
    </row>
    <row r="43" spans="1:7" x14ac:dyDescent="0.3">
      <c r="B43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"/>
  <sheetViews>
    <sheetView tabSelected="1" topLeftCell="A13" zoomScale="125" zoomScaleNormal="125" zoomScalePageLayoutView="125" workbookViewId="0">
      <selection activeCell="E26" sqref="E26"/>
    </sheetView>
  </sheetViews>
  <sheetFormatPr defaultColWidth="11" defaultRowHeight="15.6" x14ac:dyDescent="0.3"/>
  <cols>
    <col min="2" max="2" width="20" customWidth="1"/>
    <col min="3" max="3" width="16.19921875" customWidth="1"/>
    <col min="4" max="4" width="18.69921875" customWidth="1"/>
    <col min="5" max="5" width="22.19921875" customWidth="1"/>
    <col min="6" max="6" width="19.19921875" customWidth="1"/>
  </cols>
  <sheetData>
    <row r="1" spans="1:12" ht="21" x14ac:dyDescent="0.4">
      <c r="A1" s="128" t="s">
        <v>113</v>
      </c>
    </row>
    <row r="2" spans="1:12" x14ac:dyDescent="0.3">
      <c r="A2" s="129"/>
      <c r="B2" s="130"/>
      <c r="C2" s="130"/>
      <c r="D2" s="130"/>
      <c r="E2" s="130"/>
      <c r="F2" s="130"/>
      <c r="G2" s="32"/>
      <c r="H2" s="32"/>
      <c r="I2" s="32"/>
      <c r="J2" s="32"/>
      <c r="K2" s="11"/>
      <c r="L2" s="57"/>
    </row>
    <row r="3" spans="1:12" x14ac:dyDescent="0.3">
      <c r="A3" s="131"/>
      <c r="B3" s="31" t="s">
        <v>64</v>
      </c>
      <c r="C3" s="32" t="s">
        <v>65</v>
      </c>
      <c r="D3" s="32"/>
      <c r="E3" s="11"/>
      <c r="F3" s="58"/>
      <c r="G3" s="17"/>
      <c r="H3" s="17"/>
      <c r="I3" s="17"/>
      <c r="J3" s="17"/>
      <c r="K3" s="34"/>
      <c r="L3" s="57"/>
    </row>
    <row r="4" spans="1:12" x14ac:dyDescent="0.3">
      <c r="A4" s="131"/>
      <c r="B4" s="35" t="s">
        <v>66</v>
      </c>
      <c r="C4" s="17" t="s">
        <v>67</v>
      </c>
      <c r="D4" s="17" t="s">
        <v>68</v>
      </c>
      <c r="E4" s="34" t="s">
        <v>69</v>
      </c>
      <c r="F4" s="58"/>
      <c r="G4" s="17"/>
      <c r="H4" s="17"/>
      <c r="I4" s="17"/>
      <c r="J4" s="17"/>
      <c r="K4" s="34"/>
      <c r="L4" s="57"/>
    </row>
    <row r="5" spans="1:12" x14ac:dyDescent="0.3">
      <c r="A5" s="131"/>
      <c r="B5" s="96">
        <v>100</v>
      </c>
      <c r="C5" s="24">
        <v>0.9</v>
      </c>
      <c r="D5" s="18">
        <f>B5*C5</f>
        <v>90</v>
      </c>
      <c r="E5" s="37">
        <f>D5*365</f>
        <v>32850</v>
      </c>
      <c r="F5" s="58"/>
      <c r="G5" s="17"/>
      <c r="H5" s="17"/>
      <c r="I5" s="17"/>
      <c r="J5" s="17"/>
      <c r="K5" s="34"/>
      <c r="L5" s="57"/>
    </row>
    <row r="6" spans="1:12" x14ac:dyDescent="0.3">
      <c r="A6" s="131"/>
      <c r="B6" s="96">
        <v>150</v>
      </c>
      <c r="C6" s="24">
        <v>0.7</v>
      </c>
      <c r="D6" s="18">
        <f t="shared" ref="D6:D7" si="0">B6*C6</f>
        <v>105</v>
      </c>
      <c r="E6" s="37">
        <f t="shared" ref="E6:E7" si="1">D6*365</f>
        <v>38325</v>
      </c>
      <c r="F6" s="58"/>
      <c r="G6" s="17"/>
      <c r="H6" s="17"/>
      <c r="I6" s="17"/>
      <c r="J6" s="17"/>
      <c r="K6" s="34"/>
      <c r="L6" s="57"/>
    </row>
    <row r="7" spans="1:12" x14ac:dyDescent="0.3">
      <c r="A7" s="131"/>
      <c r="B7" s="97">
        <v>200</v>
      </c>
      <c r="C7" s="98">
        <v>0.5</v>
      </c>
      <c r="D7" s="99">
        <f t="shared" si="0"/>
        <v>100</v>
      </c>
      <c r="E7" s="100">
        <f t="shared" si="1"/>
        <v>36500</v>
      </c>
      <c r="F7" s="58"/>
      <c r="G7" s="17"/>
      <c r="H7" s="17"/>
      <c r="I7" s="17"/>
      <c r="J7" s="17"/>
      <c r="K7" s="34"/>
      <c r="L7" s="57"/>
    </row>
    <row r="8" spans="1:12" x14ac:dyDescent="0.3">
      <c r="A8" s="131"/>
      <c r="B8" s="58"/>
      <c r="C8" s="58"/>
      <c r="D8" s="58"/>
      <c r="E8" s="58"/>
      <c r="F8" s="58"/>
      <c r="G8" s="17"/>
      <c r="H8" s="17"/>
      <c r="I8" s="17"/>
      <c r="J8" s="17"/>
      <c r="K8" s="34"/>
      <c r="L8" s="57"/>
    </row>
    <row r="9" spans="1:12" x14ac:dyDescent="0.3">
      <c r="A9" s="131"/>
      <c r="B9" s="58"/>
      <c r="C9" s="58"/>
      <c r="D9" s="58"/>
      <c r="E9" s="58"/>
      <c r="F9" s="58"/>
      <c r="G9" s="17"/>
      <c r="H9" s="17"/>
      <c r="I9" s="17"/>
      <c r="J9" s="17"/>
      <c r="K9" s="34"/>
      <c r="L9" s="57"/>
    </row>
    <row r="10" spans="1:12" x14ac:dyDescent="0.3">
      <c r="A10" s="131"/>
      <c r="B10" s="31" t="s">
        <v>64</v>
      </c>
      <c r="C10" s="11" t="s">
        <v>65</v>
      </c>
      <c r="D10" s="58"/>
      <c r="E10" s="58"/>
      <c r="F10" s="58"/>
      <c r="G10" s="17"/>
      <c r="H10" s="17"/>
      <c r="I10" s="17"/>
      <c r="J10" s="17"/>
      <c r="K10" s="34"/>
      <c r="L10" s="57"/>
    </row>
    <row r="11" spans="1:12" x14ac:dyDescent="0.3">
      <c r="A11" s="131"/>
      <c r="B11" s="35" t="s">
        <v>70</v>
      </c>
      <c r="C11" s="34" t="s">
        <v>69</v>
      </c>
      <c r="D11" s="58"/>
      <c r="E11" s="58"/>
      <c r="F11" s="58"/>
      <c r="G11" s="17"/>
      <c r="H11" s="17"/>
      <c r="I11" s="17"/>
      <c r="J11" s="17"/>
      <c r="K11" s="34"/>
      <c r="L11" s="57"/>
    </row>
    <row r="12" spans="1:12" x14ac:dyDescent="0.3">
      <c r="A12" s="131"/>
      <c r="B12" s="96">
        <f>B5</f>
        <v>100</v>
      </c>
      <c r="C12" s="37">
        <f>E5</f>
        <v>32850</v>
      </c>
      <c r="D12" s="58"/>
      <c r="E12" s="58"/>
      <c r="F12" s="58"/>
      <c r="G12" s="17"/>
      <c r="H12" s="17"/>
      <c r="I12" s="17"/>
      <c r="J12" s="17"/>
      <c r="K12" s="34"/>
      <c r="L12" s="57"/>
    </row>
    <row r="13" spans="1:12" x14ac:dyDescent="0.3">
      <c r="A13" s="131"/>
      <c r="B13" s="96">
        <f t="shared" ref="B13:B14" si="2">B6</f>
        <v>150</v>
      </c>
      <c r="C13" s="37">
        <f t="shared" ref="C13:C14" si="3">E6</f>
        <v>38325</v>
      </c>
      <c r="D13" s="58"/>
      <c r="E13" s="58"/>
      <c r="F13" s="58"/>
      <c r="G13" s="17"/>
      <c r="H13" s="17"/>
      <c r="I13" s="17"/>
      <c r="J13" s="17"/>
      <c r="K13" s="34"/>
      <c r="L13" s="57"/>
    </row>
    <row r="14" spans="1:12" x14ac:dyDescent="0.3">
      <c r="A14" s="131"/>
      <c r="B14" s="97">
        <f t="shared" si="2"/>
        <v>200</v>
      </c>
      <c r="C14" s="100">
        <f t="shared" si="3"/>
        <v>36500</v>
      </c>
      <c r="D14" s="58"/>
      <c r="E14" s="58"/>
      <c r="F14" s="58"/>
      <c r="G14" s="17"/>
      <c r="H14" s="17"/>
      <c r="I14" s="17"/>
      <c r="J14" s="17"/>
      <c r="K14" s="34"/>
      <c r="L14" s="57"/>
    </row>
    <row r="15" spans="1:12" x14ac:dyDescent="0.3">
      <c r="A15" s="131"/>
      <c r="B15" s="60"/>
      <c r="C15" s="60"/>
      <c r="D15" s="58"/>
      <c r="E15" s="58"/>
      <c r="F15" s="58"/>
      <c r="G15" s="17"/>
      <c r="H15" s="17"/>
      <c r="I15" s="17"/>
      <c r="J15" s="17"/>
      <c r="K15" s="34"/>
      <c r="L15" s="57"/>
    </row>
    <row r="16" spans="1:12" x14ac:dyDescent="0.3">
      <c r="A16" s="131"/>
      <c r="B16" s="3" t="s">
        <v>71</v>
      </c>
      <c r="C16" s="4"/>
      <c r="D16" s="58"/>
      <c r="E16" s="58"/>
      <c r="F16" s="58"/>
      <c r="G16" s="17"/>
      <c r="H16" s="17"/>
      <c r="I16" s="17"/>
      <c r="J16" s="17"/>
      <c r="K16" s="34"/>
      <c r="L16" s="57"/>
    </row>
    <row r="17" spans="1:12" x14ac:dyDescent="0.3">
      <c r="A17" s="131"/>
      <c r="B17" s="31" t="s">
        <v>128</v>
      </c>
      <c r="C17" s="11">
        <v>-0.01</v>
      </c>
      <c r="D17" s="58"/>
      <c r="E17" s="58"/>
      <c r="F17" s="58"/>
      <c r="G17" s="17"/>
      <c r="H17" s="17"/>
      <c r="I17" s="17"/>
      <c r="J17" s="17"/>
      <c r="K17" s="34"/>
      <c r="L17" s="57"/>
    </row>
    <row r="18" spans="1:12" x14ac:dyDescent="0.3">
      <c r="A18" s="131"/>
      <c r="B18" s="28" t="s">
        <v>129</v>
      </c>
      <c r="C18" s="70">
        <v>0.99</v>
      </c>
      <c r="D18" s="58"/>
      <c r="E18" s="58"/>
      <c r="F18" s="58"/>
      <c r="G18" s="17"/>
      <c r="H18" s="17"/>
      <c r="I18" s="17"/>
      <c r="J18" s="17"/>
      <c r="K18" s="34"/>
      <c r="L18" s="57"/>
    </row>
    <row r="19" spans="1:12" x14ac:dyDescent="0.3">
      <c r="A19" s="131"/>
      <c r="B19" s="58"/>
      <c r="C19" s="58"/>
      <c r="D19" s="58"/>
      <c r="E19" s="58"/>
      <c r="F19" s="58"/>
      <c r="G19" s="58"/>
      <c r="H19" s="58"/>
      <c r="I19" s="58"/>
      <c r="J19" s="58"/>
      <c r="K19" s="132"/>
      <c r="L19" s="57"/>
    </row>
    <row r="20" spans="1:12" x14ac:dyDescent="0.3">
      <c r="A20" s="131"/>
      <c r="B20" s="31" t="s">
        <v>72</v>
      </c>
      <c r="C20" s="32"/>
      <c r="D20" s="32"/>
      <c r="E20" s="11"/>
      <c r="F20" s="58"/>
      <c r="G20" s="58"/>
      <c r="H20" s="58"/>
      <c r="I20" s="58"/>
      <c r="J20" s="58"/>
      <c r="K20" s="132"/>
      <c r="L20" s="57"/>
    </row>
    <row r="21" spans="1:12" x14ac:dyDescent="0.3">
      <c r="A21" s="131"/>
      <c r="B21" s="35" t="s">
        <v>66</v>
      </c>
      <c r="C21" s="17" t="s">
        <v>67</v>
      </c>
      <c r="D21" s="17"/>
      <c r="E21" s="34"/>
      <c r="F21" s="58"/>
      <c r="G21" s="58"/>
      <c r="H21" s="58"/>
      <c r="I21" s="58"/>
      <c r="J21" s="58"/>
      <c r="K21" s="132"/>
      <c r="L21" s="57"/>
    </row>
    <row r="22" spans="1:12" x14ac:dyDescent="0.3">
      <c r="A22" s="131"/>
      <c r="B22" s="35" t="s">
        <v>73</v>
      </c>
      <c r="C22" s="83" t="s">
        <v>131</v>
      </c>
      <c r="D22" s="17" t="s">
        <v>68</v>
      </c>
      <c r="E22" s="34" t="s">
        <v>69</v>
      </c>
      <c r="F22" s="58"/>
      <c r="G22" s="17"/>
      <c r="H22" s="17"/>
      <c r="I22" s="17"/>
      <c r="J22" s="17"/>
      <c r="K22" s="34"/>
      <c r="L22" s="57"/>
    </row>
    <row r="23" spans="1:12" x14ac:dyDescent="0.3">
      <c r="A23" s="131"/>
      <c r="B23" s="101">
        <f>B5</f>
        <v>100</v>
      </c>
      <c r="C23" s="102">
        <f>(B23*C$17) +C$18</f>
        <v>-1.0000000000000009E-2</v>
      </c>
      <c r="D23" s="18">
        <f>B23*C23</f>
        <v>-1.0000000000000009</v>
      </c>
      <c r="E23" s="37">
        <f>D23*365</f>
        <v>-365.00000000000034</v>
      </c>
      <c r="F23" s="58"/>
      <c r="G23" s="17"/>
      <c r="H23" s="17"/>
      <c r="I23" s="17"/>
      <c r="J23" s="17"/>
      <c r="K23" s="34"/>
      <c r="L23" s="57"/>
    </row>
    <row r="24" spans="1:12" x14ac:dyDescent="0.3">
      <c r="A24" s="131"/>
      <c r="B24" s="103">
        <v>150</v>
      </c>
      <c r="C24" s="102">
        <f>(B24*C$17) +C$18</f>
        <v>-0.51</v>
      </c>
      <c r="D24" s="104">
        <f>B24*C24</f>
        <v>-76.5</v>
      </c>
      <c r="E24" s="105">
        <f>D24*365</f>
        <v>-27922.5</v>
      </c>
      <c r="F24" s="58"/>
      <c r="G24" s="17"/>
      <c r="H24" s="17"/>
      <c r="I24" s="17"/>
      <c r="J24" s="17"/>
      <c r="K24" s="34"/>
      <c r="L24" s="57"/>
    </row>
    <row r="25" spans="1:12" x14ac:dyDescent="0.3">
      <c r="A25" s="131"/>
      <c r="B25" s="97">
        <f>B7</f>
        <v>200</v>
      </c>
      <c r="C25" s="106">
        <f>(B25*C$17) +C$18</f>
        <v>-1.01</v>
      </c>
      <c r="D25" s="99">
        <f>B25*C25</f>
        <v>-202</v>
      </c>
      <c r="E25" s="100">
        <f t="shared" ref="E25" si="4">D25*365</f>
        <v>-73730</v>
      </c>
      <c r="F25" s="58"/>
      <c r="G25" s="17"/>
      <c r="H25" s="17"/>
      <c r="I25" s="17"/>
      <c r="J25" s="17"/>
      <c r="K25" s="34"/>
      <c r="L25" s="57"/>
    </row>
    <row r="26" spans="1:12" x14ac:dyDescent="0.3">
      <c r="A26" s="131"/>
      <c r="B26" s="107">
        <v>49.499999903944683</v>
      </c>
      <c r="C26" s="108">
        <f>(B26*C$17) +C$18</f>
        <v>0.49500000096055313</v>
      </c>
      <c r="D26" s="109">
        <f>B26*C26</f>
        <v>24.502499999999998</v>
      </c>
      <c r="E26" s="152">
        <f>D26*365</f>
        <v>8943.4124999999985</v>
      </c>
      <c r="F26" s="58"/>
      <c r="G26" s="17"/>
      <c r="H26" s="17"/>
      <c r="I26" s="17"/>
      <c r="J26" s="17"/>
      <c r="K26" s="34"/>
      <c r="L26" s="57"/>
    </row>
    <row r="27" spans="1:12" x14ac:dyDescent="0.3">
      <c r="A27" s="131"/>
      <c r="B27" s="58"/>
      <c r="C27" s="58"/>
      <c r="D27" s="58"/>
      <c r="E27" s="58"/>
      <c r="F27" s="58"/>
      <c r="G27" s="17"/>
      <c r="H27" s="17"/>
      <c r="I27" s="17"/>
      <c r="J27" s="17"/>
      <c r="K27" s="34"/>
      <c r="L27" s="57"/>
    </row>
    <row r="28" spans="1:12" x14ac:dyDescent="0.3">
      <c r="A28" s="131"/>
      <c r="B28" s="2" t="s">
        <v>74</v>
      </c>
      <c r="C28" s="58"/>
      <c r="D28" s="58"/>
      <c r="E28" s="58"/>
      <c r="F28" s="58"/>
      <c r="G28" s="17"/>
      <c r="H28" s="17"/>
      <c r="I28" s="17"/>
      <c r="J28" s="17"/>
      <c r="K28" s="34"/>
      <c r="L28" s="57"/>
    </row>
    <row r="29" spans="1:12" x14ac:dyDescent="0.3">
      <c r="A29" s="131"/>
      <c r="B29" s="31" t="s">
        <v>75</v>
      </c>
      <c r="C29" s="32"/>
      <c r="D29" s="11"/>
      <c r="E29" s="58"/>
      <c r="F29" s="58"/>
      <c r="G29" s="17"/>
      <c r="H29" s="17"/>
      <c r="I29" s="17"/>
      <c r="J29" s="17"/>
      <c r="K29" s="34"/>
      <c r="L29" s="57"/>
    </row>
    <row r="30" spans="1:12" x14ac:dyDescent="0.3">
      <c r="A30" s="131"/>
      <c r="B30" s="35" t="s">
        <v>139</v>
      </c>
      <c r="C30" s="17"/>
      <c r="D30" s="34"/>
      <c r="E30" s="58"/>
      <c r="F30" s="58"/>
      <c r="G30" s="17"/>
      <c r="H30" s="17"/>
      <c r="I30" s="17"/>
      <c r="J30" s="17"/>
      <c r="K30" s="34"/>
      <c r="L30" s="57"/>
    </row>
    <row r="31" spans="1:12" x14ac:dyDescent="0.3">
      <c r="A31" s="131"/>
      <c r="B31" s="28" t="s">
        <v>138</v>
      </c>
      <c r="C31" s="69"/>
      <c r="D31" s="70"/>
      <c r="E31" s="58"/>
      <c r="F31" s="58"/>
      <c r="G31" s="17"/>
      <c r="H31" s="17"/>
      <c r="I31" s="17"/>
      <c r="J31" s="17"/>
      <c r="K31" s="34"/>
      <c r="L31" s="57"/>
    </row>
    <row r="32" spans="1:12" x14ac:dyDescent="0.3">
      <c r="A32" s="131"/>
      <c r="B32" s="58"/>
      <c r="C32" s="58"/>
      <c r="D32" s="58"/>
      <c r="E32" s="58"/>
      <c r="F32" s="58"/>
      <c r="G32" s="58"/>
      <c r="H32" s="58"/>
      <c r="I32" s="58"/>
      <c r="J32" s="58"/>
      <c r="K32" s="132"/>
      <c r="L32" s="57"/>
    </row>
    <row r="33" spans="1:12" x14ac:dyDescent="0.3">
      <c r="A33" s="131"/>
      <c r="B33" s="58"/>
      <c r="C33" s="58"/>
      <c r="D33" s="58"/>
      <c r="E33" s="58"/>
      <c r="F33" s="58"/>
      <c r="G33" s="58"/>
      <c r="H33" s="58"/>
      <c r="I33" s="58"/>
      <c r="J33" s="58"/>
      <c r="K33" s="132"/>
      <c r="L33" s="57"/>
    </row>
    <row r="34" spans="1:12" x14ac:dyDescent="0.3">
      <c r="A34" s="131"/>
      <c r="B34" s="119" t="s">
        <v>136</v>
      </c>
      <c r="C34" s="120"/>
      <c r="D34" s="120"/>
      <c r="E34" s="121"/>
      <c r="F34" s="58"/>
      <c r="G34" s="58"/>
      <c r="H34" s="58"/>
      <c r="I34" s="58"/>
      <c r="J34" s="58"/>
      <c r="K34" s="132"/>
      <c r="L34" s="57"/>
    </row>
    <row r="35" spans="1:12" x14ac:dyDescent="0.3">
      <c r="A35" s="131"/>
      <c r="B35" s="122" t="s">
        <v>137</v>
      </c>
      <c r="C35" s="123"/>
      <c r="D35" s="123"/>
      <c r="E35" s="124"/>
      <c r="F35" s="58"/>
      <c r="G35" s="58"/>
      <c r="H35" s="58"/>
      <c r="I35" s="58"/>
      <c r="J35" s="58"/>
      <c r="K35" s="132"/>
      <c r="L35" s="57"/>
    </row>
    <row r="36" spans="1:12" x14ac:dyDescent="0.3">
      <c r="A36" s="131"/>
      <c r="B36" s="123" t="s">
        <v>104</v>
      </c>
      <c r="D36" s="123"/>
      <c r="E36" s="124"/>
      <c r="F36" s="58"/>
      <c r="G36" s="58"/>
      <c r="H36" s="58"/>
      <c r="I36" s="58"/>
      <c r="J36" s="58"/>
      <c r="K36" s="132"/>
      <c r="L36" s="57"/>
    </row>
    <row r="37" spans="1:12" x14ac:dyDescent="0.3">
      <c r="A37" s="131"/>
      <c r="B37" s="122" t="s">
        <v>115</v>
      </c>
      <c r="C37" s="123"/>
      <c r="D37" s="123"/>
      <c r="E37" s="124"/>
      <c r="F37" s="58"/>
      <c r="G37" s="58"/>
      <c r="H37" s="58"/>
      <c r="I37" s="58"/>
      <c r="J37" s="58"/>
      <c r="K37" s="132"/>
      <c r="L37" s="57"/>
    </row>
    <row r="38" spans="1:12" x14ac:dyDescent="0.3">
      <c r="A38" s="131"/>
      <c r="B38" s="125" t="s">
        <v>130</v>
      </c>
      <c r="C38" s="126"/>
      <c r="D38" s="126"/>
      <c r="E38" s="127"/>
      <c r="F38" s="58"/>
      <c r="G38" s="58"/>
      <c r="H38" s="58"/>
      <c r="I38" s="58"/>
      <c r="J38" s="58"/>
      <c r="K38" s="132"/>
      <c r="L38" s="57"/>
    </row>
    <row r="39" spans="1:12" x14ac:dyDescent="0.3">
      <c r="A39" s="131"/>
      <c r="B39" s="58"/>
      <c r="C39" s="58"/>
      <c r="D39" s="58"/>
      <c r="E39" s="58"/>
      <c r="F39" s="58"/>
      <c r="G39" s="58"/>
      <c r="H39" s="58"/>
      <c r="I39" s="58"/>
      <c r="J39" s="58"/>
      <c r="K39" s="132"/>
      <c r="L39" s="57"/>
    </row>
    <row r="40" spans="1:12" x14ac:dyDescent="0.3">
      <c r="A40" s="131"/>
      <c r="B40" s="58"/>
      <c r="C40" s="58"/>
      <c r="D40" s="58"/>
      <c r="E40" s="58"/>
      <c r="F40" s="58"/>
      <c r="G40" s="58"/>
      <c r="H40" s="58"/>
      <c r="I40" s="58"/>
      <c r="J40" s="58"/>
      <c r="K40" s="132"/>
      <c r="L40" s="57"/>
    </row>
    <row r="41" spans="1:12" x14ac:dyDescent="0.3">
      <c r="A41" s="131"/>
      <c r="B41" s="136" t="s">
        <v>116</v>
      </c>
      <c r="C41" s="68"/>
      <c r="D41" s="4"/>
      <c r="E41" s="58"/>
      <c r="F41" s="58"/>
      <c r="G41" s="58"/>
      <c r="H41" s="58"/>
      <c r="I41" s="58"/>
      <c r="J41" s="58"/>
      <c r="K41" s="132"/>
      <c r="L41" s="57"/>
    </row>
    <row r="42" spans="1:12" x14ac:dyDescent="0.3">
      <c r="A42" s="131"/>
      <c r="B42" s="145" t="s">
        <v>30</v>
      </c>
      <c r="C42" s="68"/>
      <c r="D42" s="4"/>
      <c r="E42" s="58"/>
      <c r="F42" s="58"/>
      <c r="G42" s="58"/>
      <c r="H42" s="58"/>
      <c r="I42" s="58"/>
      <c r="J42" s="58"/>
      <c r="K42" s="132"/>
      <c r="L42" s="57"/>
    </row>
    <row r="43" spans="1:12" x14ac:dyDescent="0.3">
      <c r="A43" s="131"/>
      <c r="B43" s="146" t="s">
        <v>117</v>
      </c>
      <c r="C43" s="68"/>
      <c r="D43" s="4"/>
      <c r="E43" s="58"/>
      <c r="F43" s="58"/>
      <c r="G43" s="58"/>
      <c r="H43" s="58"/>
      <c r="I43" s="58"/>
      <c r="J43" s="58"/>
      <c r="K43" s="132"/>
      <c r="L43" s="57"/>
    </row>
    <row r="44" spans="1:12" x14ac:dyDescent="0.3">
      <c r="A44" s="131"/>
      <c r="B44" s="58"/>
      <c r="C44" s="58"/>
      <c r="D44" s="58"/>
      <c r="E44" s="58"/>
      <c r="F44" s="58"/>
      <c r="G44" s="58"/>
      <c r="H44" s="58"/>
      <c r="I44" s="58"/>
      <c r="J44" s="58"/>
      <c r="K44" s="132"/>
      <c r="L44" s="57"/>
    </row>
    <row r="45" spans="1:12" x14ac:dyDescent="0.3">
      <c r="A45" s="131"/>
      <c r="B45" s="58"/>
      <c r="C45" s="58"/>
      <c r="D45" s="58"/>
      <c r="E45" s="58"/>
      <c r="F45" s="58"/>
      <c r="G45" s="58"/>
      <c r="H45" s="58"/>
      <c r="I45" s="58"/>
      <c r="J45" s="58"/>
      <c r="K45" s="132"/>
      <c r="L45" s="57"/>
    </row>
    <row r="46" spans="1:12" x14ac:dyDescent="0.3">
      <c r="A46" s="135"/>
      <c r="B46" s="133"/>
      <c r="C46" s="133"/>
      <c r="D46" s="133"/>
      <c r="E46" s="133"/>
      <c r="F46" s="133"/>
      <c r="G46" s="133"/>
      <c r="H46" s="133"/>
      <c r="I46" s="133"/>
      <c r="J46" s="133"/>
      <c r="K46" s="134"/>
      <c r="L46" s="5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zoomScale="125" zoomScaleNormal="125" zoomScalePageLayoutView="125" workbookViewId="0">
      <selection activeCell="J11" sqref="J11"/>
    </sheetView>
  </sheetViews>
  <sheetFormatPr defaultColWidth="11" defaultRowHeight="15.6" x14ac:dyDescent="0.3"/>
  <cols>
    <col min="2" max="2" width="51.796875" customWidth="1"/>
    <col min="3" max="3" width="11" customWidth="1"/>
    <col min="4" max="4" width="12" customWidth="1"/>
    <col min="5" max="5" width="7.796875" customWidth="1"/>
    <col min="6" max="6" width="9.296875" customWidth="1"/>
    <col min="7" max="7" width="3.69921875" customWidth="1"/>
    <col min="8" max="8" width="6.796875" customWidth="1"/>
  </cols>
  <sheetData>
    <row r="1" spans="1:9" ht="21" x14ac:dyDescent="0.4">
      <c r="A1" s="128" t="s">
        <v>114</v>
      </c>
    </row>
    <row r="2" spans="1:9" x14ac:dyDescent="0.3">
      <c r="A2" s="129"/>
      <c r="B2" s="130"/>
      <c r="C2" s="130"/>
      <c r="D2" s="130"/>
      <c r="E2" s="130"/>
      <c r="F2" s="130"/>
      <c r="G2" s="130"/>
      <c r="H2" s="130"/>
      <c r="I2" s="142"/>
    </row>
    <row r="3" spans="1:9" x14ac:dyDescent="0.3">
      <c r="A3" s="131"/>
      <c r="B3" s="31" t="s">
        <v>100</v>
      </c>
      <c r="C3" s="32"/>
      <c r="D3" s="32"/>
      <c r="E3" s="32"/>
      <c r="F3" s="32"/>
      <c r="G3" s="32"/>
      <c r="H3" s="11"/>
      <c r="I3" s="132"/>
    </row>
    <row r="4" spans="1:9" x14ac:dyDescent="0.3">
      <c r="A4" s="131"/>
      <c r="B4" s="35" t="s">
        <v>76</v>
      </c>
      <c r="C4" s="17"/>
      <c r="D4" s="76">
        <v>100</v>
      </c>
      <c r="E4" s="17"/>
      <c r="F4" s="17"/>
      <c r="G4" s="17"/>
      <c r="H4" s="34"/>
      <c r="I4" s="132"/>
    </row>
    <row r="5" spans="1:9" x14ac:dyDescent="0.3">
      <c r="A5" s="131"/>
      <c r="B5" s="35" t="s">
        <v>77</v>
      </c>
      <c r="C5" s="17"/>
      <c r="D5" s="76">
        <v>250</v>
      </c>
      <c r="E5" s="17"/>
      <c r="F5" s="17"/>
      <c r="G5" s="17"/>
      <c r="H5" s="34"/>
      <c r="I5" s="132"/>
    </row>
    <row r="6" spans="1:9" x14ac:dyDescent="0.3">
      <c r="A6" s="131"/>
      <c r="B6" s="35" t="s">
        <v>78</v>
      </c>
      <c r="C6" s="17">
        <f>0.9-0.1</f>
        <v>0.8</v>
      </c>
      <c r="D6" s="17"/>
      <c r="E6" s="17"/>
      <c r="F6" s="17"/>
      <c r="G6" s="17"/>
      <c r="H6" s="34"/>
      <c r="I6" s="132"/>
    </row>
    <row r="7" spans="1:9" x14ac:dyDescent="0.3">
      <c r="A7" s="131"/>
      <c r="B7" s="35"/>
      <c r="C7" s="17"/>
      <c r="D7" s="17"/>
      <c r="E7" s="17"/>
      <c r="F7" s="17"/>
      <c r="G7" s="17"/>
      <c r="H7" s="34"/>
      <c r="I7" s="132"/>
    </row>
    <row r="8" spans="1:9" x14ac:dyDescent="0.3">
      <c r="A8" s="131"/>
      <c r="B8" s="35" t="s">
        <v>79</v>
      </c>
      <c r="C8" s="76">
        <v>180</v>
      </c>
      <c r="D8" s="17"/>
      <c r="E8" s="17"/>
      <c r="F8" s="17"/>
      <c r="G8" s="17"/>
      <c r="H8" s="34"/>
      <c r="I8" s="132"/>
    </row>
    <row r="9" spans="1:9" x14ac:dyDescent="0.3">
      <c r="A9" s="131"/>
      <c r="B9" s="35" t="s">
        <v>80</v>
      </c>
      <c r="C9" s="17"/>
      <c r="D9" s="17" t="s">
        <v>81</v>
      </c>
      <c r="E9" s="17"/>
      <c r="F9" s="17"/>
      <c r="G9" s="17"/>
      <c r="H9" s="34"/>
      <c r="I9" s="132"/>
    </row>
    <row r="10" spans="1:9" x14ac:dyDescent="0.3">
      <c r="A10" s="131"/>
      <c r="B10" s="35" t="s">
        <v>82</v>
      </c>
      <c r="C10" s="17" t="s">
        <v>83</v>
      </c>
      <c r="D10" s="23">
        <f>D5</f>
        <v>250</v>
      </c>
      <c r="E10" s="17" t="s">
        <v>84</v>
      </c>
      <c r="F10" s="23">
        <f>D4</f>
        <v>100</v>
      </c>
      <c r="G10" s="17" t="s">
        <v>83</v>
      </c>
      <c r="H10" s="77">
        <f>D10-F10</f>
        <v>150</v>
      </c>
      <c r="I10" s="132"/>
    </row>
    <row r="11" spans="1:9" x14ac:dyDescent="0.3">
      <c r="A11" s="131"/>
      <c r="B11" s="78" t="s">
        <v>85</v>
      </c>
      <c r="C11" s="23"/>
      <c r="D11" s="23">
        <f>C8</f>
        <v>180</v>
      </c>
      <c r="E11" s="23" t="s">
        <v>86</v>
      </c>
      <c r="F11" s="23">
        <f>D4</f>
        <v>100</v>
      </c>
      <c r="G11" s="23" t="s">
        <v>83</v>
      </c>
      <c r="H11" s="77">
        <f>C8-D4</f>
        <v>80</v>
      </c>
      <c r="I11" s="132"/>
    </row>
    <row r="12" spans="1:9" x14ac:dyDescent="0.3">
      <c r="A12" s="151"/>
      <c r="B12" s="35" t="s">
        <v>87</v>
      </c>
      <c r="C12" s="17"/>
      <c r="D12" s="79">
        <f>C6*H11/H10</f>
        <v>0.42666666666666669</v>
      </c>
      <c r="E12" s="17"/>
      <c r="F12" s="23"/>
      <c r="G12" s="17"/>
      <c r="H12" s="34"/>
      <c r="I12" s="132"/>
    </row>
    <row r="13" spans="1:9" x14ac:dyDescent="0.3">
      <c r="A13" s="131"/>
      <c r="B13" s="28" t="s">
        <v>88</v>
      </c>
      <c r="C13" s="80"/>
      <c r="D13" s="84">
        <f>D12+0.1</f>
        <v>0.52666666666666673</v>
      </c>
      <c r="E13" s="81" t="s">
        <v>98</v>
      </c>
      <c r="F13" s="117">
        <f>D13</f>
        <v>0.52666666666666673</v>
      </c>
      <c r="G13" s="69"/>
      <c r="H13" s="82"/>
      <c r="I13" s="132"/>
    </row>
    <row r="14" spans="1:9" x14ac:dyDescent="0.3">
      <c r="A14" s="131"/>
      <c r="B14" s="58"/>
      <c r="C14" s="67"/>
      <c r="D14" s="93"/>
      <c r="E14" s="94"/>
      <c r="F14" s="58"/>
      <c r="G14" s="58"/>
      <c r="H14" s="95"/>
      <c r="I14" s="132"/>
    </row>
    <row r="15" spans="1:9" x14ac:dyDescent="0.3">
      <c r="A15" s="131"/>
      <c r="B15" s="31" t="s">
        <v>89</v>
      </c>
      <c r="C15" s="32"/>
      <c r="D15" s="32"/>
      <c r="E15" s="11"/>
      <c r="F15" s="58"/>
      <c r="G15" s="58"/>
      <c r="H15" s="58"/>
      <c r="I15" s="132"/>
    </row>
    <row r="16" spans="1:9" x14ac:dyDescent="0.3">
      <c r="A16" s="131"/>
      <c r="B16" s="35" t="s">
        <v>90</v>
      </c>
      <c r="C16" s="18">
        <f>D5-D4</f>
        <v>150</v>
      </c>
      <c r="D16" s="83"/>
      <c r="E16" s="85"/>
      <c r="F16" s="58"/>
      <c r="G16" s="58"/>
      <c r="H16" s="58"/>
      <c r="I16" s="132"/>
    </row>
    <row r="17" spans="1:9" x14ac:dyDescent="0.3">
      <c r="A17" s="131"/>
      <c r="B17" s="35" t="s">
        <v>91</v>
      </c>
      <c r="C17" s="86">
        <f>C16*1.25</f>
        <v>187.5</v>
      </c>
      <c r="D17" s="17"/>
      <c r="E17" s="34"/>
      <c r="F17" s="58"/>
      <c r="G17" s="58"/>
      <c r="H17" s="58"/>
      <c r="I17" s="132"/>
    </row>
    <row r="18" spans="1:9" x14ac:dyDescent="0.3">
      <c r="A18" s="131"/>
      <c r="B18" s="35" t="s">
        <v>99</v>
      </c>
      <c r="C18" s="86">
        <f>D4- (C16/8)</f>
        <v>81.25</v>
      </c>
      <c r="D18" s="17"/>
      <c r="E18" s="34"/>
      <c r="F18" s="58"/>
      <c r="G18" s="58"/>
      <c r="H18" s="58"/>
      <c r="I18" s="132"/>
    </row>
    <row r="19" spans="1:9" x14ac:dyDescent="0.3">
      <c r="A19" s="131"/>
      <c r="B19" s="35" t="s">
        <v>126</v>
      </c>
      <c r="C19" s="90">
        <v>180</v>
      </c>
      <c r="D19" s="17"/>
      <c r="E19" s="34"/>
      <c r="F19" s="58"/>
      <c r="G19" s="58"/>
      <c r="H19" s="58"/>
      <c r="I19" s="132"/>
    </row>
    <row r="20" spans="1:9" x14ac:dyDescent="0.3">
      <c r="A20" s="131"/>
      <c r="B20" s="78" t="s">
        <v>127</v>
      </c>
      <c r="C20" s="86">
        <f>(C19 - C18)</f>
        <v>98.75</v>
      </c>
      <c r="D20" s="87" t="s">
        <v>92</v>
      </c>
      <c r="E20" s="88">
        <f>1.25*C16</f>
        <v>187.5</v>
      </c>
      <c r="F20" s="58"/>
      <c r="G20" s="58"/>
      <c r="H20" s="58"/>
      <c r="I20" s="132"/>
    </row>
    <row r="21" spans="1:9" x14ac:dyDescent="0.3">
      <c r="A21" s="131"/>
      <c r="B21" s="28" t="s">
        <v>93</v>
      </c>
      <c r="C21" s="89">
        <f>C20/E20</f>
        <v>0.52666666666666662</v>
      </c>
      <c r="D21" s="69" t="s">
        <v>83</v>
      </c>
      <c r="E21" s="118">
        <f>C21</f>
        <v>0.52666666666666662</v>
      </c>
      <c r="F21" s="58"/>
      <c r="G21" s="58"/>
      <c r="H21" s="58"/>
      <c r="I21" s="132"/>
    </row>
    <row r="22" spans="1:9" x14ac:dyDescent="0.3">
      <c r="A22" s="131"/>
      <c r="B22" s="17"/>
      <c r="C22" s="17"/>
      <c r="D22" s="17"/>
      <c r="E22" s="17"/>
      <c r="F22" s="58"/>
      <c r="G22" s="58"/>
      <c r="H22" s="58"/>
      <c r="I22" s="132"/>
    </row>
    <row r="23" spans="1:9" x14ac:dyDescent="0.3">
      <c r="A23" s="131"/>
      <c r="B23" s="31" t="s">
        <v>101</v>
      </c>
      <c r="C23" s="32"/>
      <c r="D23" s="32"/>
      <c r="E23" s="11"/>
      <c r="F23" s="58"/>
      <c r="G23" s="58"/>
      <c r="H23" s="58"/>
      <c r="I23" s="132"/>
    </row>
    <row r="24" spans="1:9" x14ac:dyDescent="0.3">
      <c r="A24" s="131"/>
      <c r="B24" s="35" t="s">
        <v>94</v>
      </c>
      <c r="C24" s="91">
        <f>C21</f>
        <v>0.52666666666666662</v>
      </c>
      <c r="D24" s="17"/>
      <c r="E24" s="34"/>
      <c r="F24" s="58"/>
      <c r="G24" s="58"/>
      <c r="H24" s="58"/>
      <c r="I24" s="132"/>
    </row>
    <row r="25" spans="1:9" x14ac:dyDescent="0.3">
      <c r="A25" s="131"/>
      <c r="B25" s="35" t="s">
        <v>95</v>
      </c>
      <c r="C25" s="79">
        <f>(C24-0.1)/0.8</f>
        <v>0.53333333333333321</v>
      </c>
      <c r="D25" s="17"/>
      <c r="E25" s="34"/>
      <c r="F25" s="58"/>
      <c r="G25" s="58"/>
      <c r="H25" s="58"/>
      <c r="I25" s="132"/>
    </row>
    <row r="26" spans="1:9" x14ac:dyDescent="0.3">
      <c r="A26" s="131"/>
      <c r="B26" s="35" t="s">
        <v>102</v>
      </c>
      <c r="C26" s="23">
        <f>D5-D4</f>
        <v>150</v>
      </c>
      <c r="D26" s="17" t="s">
        <v>83</v>
      </c>
      <c r="E26" s="36">
        <f>C26*C25</f>
        <v>79.999999999999986</v>
      </c>
      <c r="F26" s="58"/>
      <c r="G26" s="58"/>
      <c r="H26" s="58"/>
      <c r="I26" s="132"/>
    </row>
    <row r="27" spans="1:9" x14ac:dyDescent="0.3">
      <c r="A27" s="131"/>
      <c r="B27" s="28" t="s">
        <v>103</v>
      </c>
      <c r="C27" s="80">
        <f>D4</f>
        <v>100</v>
      </c>
      <c r="D27" s="69" t="s">
        <v>96</v>
      </c>
      <c r="E27" s="92">
        <f>E26+C27</f>
        <v>180</v>
      </c>
      <c r="F27" s="58"/>
      <c r="G27" s="58"/>
      <c r="H27" s="58"/>
      <c r="I27" s="132"/>
    </row>
    <row r="28" spans="1:9" x14ac:dyDescent="0.3">
      <c r="A28" s="131"/>
      <c r="B28" s="58"/>
      <c r="C28" s="58"/>
      <c r="D28" s="58"/>
      <c r="E28" s="58"/>
      <c r="F28" s="58"/>
      <c r="G28" s="58"/>
      <c r="H28" s="58"/>
      <c r="I28" s="132"/>
    </row>
    <row r="29" spans="1:9" x14ac:dyDescent="0.3">
      <c r="A29" s="131"/>
      <c r="B29" s="58"/>
      <c r="C29" s="58"/>
      <c r="D29" s="58"/>
      <c r="E29" s="58"/>
      <c r="F29" s="58"/>
      <c r="G29" s="58"/>
      <c r="H29" s="58"/>
      <c r="I29" s="132"/>
    </row>
    <row r="30" spans="1:9" x14ac:dyDescent="0.3">
      <c r="A30" s="131"/>
      <c r="B30" s="58"/>
      <c r="C30" s="58"/>
      <c r="D30" s="58"/>
      <c r="E30" s="58"/>
      <c r="F30" s="58"/>
      <c r="G30" s="58"/>
      <c r="H30" s="58"/>
      <c r="I30" s="132"/>
    </row>
    <row r="31" spans="1:9" x14ac:dyDescent="0.3">
      <c r="A31" s="131"/>
      <c r="B31" s="147" t="s">
        <v>116</v>
      </c>
      <c r="C31" s="58"/>
      <c r="D31" s="58"/>
      <c r="E31" s="58"/>
      <c r="F31" s="58"/>
      <c r="G31" s="58"/>
      <c r="H31" s="58"/>
      <c r="I31" s="132"/>
    </row>
    <row r="32" spans="1:9" x14ac:dyDescent="0.3">
      <c r="A32" s="131"/>
      <c r="B32" s="115" t="s">
        <v>30</v>
      </c>
      <c r="C32" s="58"/>
      <c r="D32" s="58"/>
      <c r="E32" s="58"/>
      <c r="F32" s="58"/>
      <c r="G32" s="58"/>
      <c r="H32" s="58"/>
      <c r="I32" s="132"/>
    </row>
    <row r="33" spans="1:9" x14ac:dyDescent="0.3">
      <c r="A33" s="131"/>
      <c r="B33" s="116" t="s">
        <v>117</v>
      </c>
      <c r="C33" s="58"/>
      <c r="D33" s="58"/>
      <c r="E33" s="58"/>
      <c r="F33" s="58"/>
      <c r="G33" s="58"/>
      <c r="H33" s="58"/>
      <c r="I33" s="132"/>
    </row>
    <row r="34" spans="1:9" x14ac:dyDescent="0.3">
      <c r="A34" s="135"/>
      <c r="B34" s="133"/>
      <c r="C34" s="133"/>
      <c r="D34" s="133"/>
      <c r="E34" s="133"/>
      <c r="F34" s="133"/>
      <c r="G34" s="133"/>
      <c r="H34" s="133"/>
      <c r="I34" s="13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Cash Flows</vt:lpstr>
      <vt:lpstr>Annual Profits</vt:lpstr>
      <vt:lpstr>Solver Revenue Maximization</vt:lpstr>
      <vt:lpstr>$ to Percentile Conversion</vt:lpstr>
    </vt:vector>
  </TitlesOfParts>
  <Manager/>
  <Company>Duke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唐博</cp:lastModifiedBy>
  <cp:revision/>
  <dcterms:created xsi:type="dcterms:W3CDTF">2016-01-06T13:31:42Z</dcterms:created>
  <dcterms:modified xsi:type="dcterms:W3CDTF">2018-04-30T14:55:46Z</dcterms:modified>
  <cp:category/>
  <cp:contentStatus/>
</cp:coreProperties>
</file>