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gasolinas\"/>
    </mc:Choice>
  </mc:AlternateContent>
  <xr:revisionPtr revIDLastSave="0" documentId="13_ncr:1_{6D78EA21-8C30-440D-B3F3-1D8D2716D064}" xr6:coauthVersionLast="47" xr6:coauthVersionMax="47" xr10:uidLastSave="{00000000-0000-0000-0000-000000000000}"/>
  <bookViews>
    <workbookView xWindow="-108" yWindow="-108" windowWidth="23256" windowHeight="12456" firstSheet="4" activeTab="21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</sheets>
  <externalReferences>
    <externalReference r:id="rId23"/>
    <externalReference r:id="rId24"/>
    <externalReference r:id="rId25"/>
  </externalReferences>
  <definedNames>
    <definedName name="_xlnm._FilterDatabase" localSheetId="0" hidden="1">'01'!$A$6:$P$6</definedName>
    <definedName name="_xlnm._FilterDatabase" localSheetId="1" hidden="1">'02'!$A$6:$P$6</definedName>
    <definedName name="_xlnm._FilterDatabase" localSheetId="2" hidden="1">'03'!$A$6:$P$6</definedName>
    <definedName name="_xlnm._FilterDatabase" localSheetId="3" hidden="1">'04'!$A$6:$P$6</definedName>
    <definedName name="_xlnm._FilterDatabase" localSheetId="4" hidden="1">'05'!$A$6:$P$6</definedName>
    <definedName name="_xlnm._FilterDatabase" localSheetId="5" hidden="1">'06'!$A$6:$P$6</definedName>
    <definedName name="_xlnm._FilterDatabase" localSheetId="6" hidden="1">'07'!$A$6:$P$6</definedName>
    <definedName name="_xlnm._FilterDatabase" localSheetId="7" hidden="1">'08'!$A$6:$P$6</definedName>
    <definedName name="_xlnm._FilterDatabase" localSheetId="8" hidden="1">'09'!$A$6:$P$6</definedName>
    <definedName name="_xlnm._FilterDatabase" localSheetId="9" hidden="1">'10'!$A$6:$P$6</definedName>
    <definedName name="_xlnm._FilterDatabase" localSheetId="10" hidden="1">'11'!$A$6:$P$6</definedName>
    <definedName name="_xlnm._FilterDatabase" localSheetId="11" hidden="1">'12'!$A$6:$P$6</definedName>
    <definedName name="_xlnm._FilterDatabase" localSheetId="12" hidden="1">'13'!$A$6:$P$6</definedName>
    <definedName name="_xlnm._FilterDatabase" localSheetId="13" hidden="1">'14'!$A$6:$P$6</definedName>
    <definedName name="_xlnm._FilterDatabase" localSheetId="14" hidden="1">'15'!$A$6:$P$6</definedName>
    <definedName name="_xlnm._FilterDatabase" localSheetId="15" hidden="1">'16'!$A$6:$P$6</definedName>
    <definedName name="_xlnm._FilterDatabase" localSheetId="16" hidden="1">'17'!$A$6:$P$6</definedName>
    <definedName name="_xlnm._FilterDatabase" localSheetId="17" hidden="1">'18'!$A$6:$P$6</definedName>
    <definedName name="_xlnm._FilterDatabase" localSheetId="18" hidden="1">'19'!$A$6:$P$6</definedName>
    <definedName name="_xlnm._FilterDatabase" localSheetId="19" hidden="1">'20'!$A$6:$P$6</definedName>
    <definedName name="_xlnm._FilterDatabase" localSheetId="20" hidden="1">'21'!$A$6:$P$6</definedName>
    <definedName name="_xlnm._FilterDatabase" localSheetId="21" hidden="1">'22'!$A$6:$P$6</definedName>
    <definedName name="_xlnm.Print_Area" localSheetId="0">'01'!$A$1:$Q$50</definedName>
    <definedName name="_xlnm.Print_Area" localSheetId="1">'02'!$A$1:$Q$50</definedName>
    <definedName name="_xlnm.Print_Area" localSheetId="2">'03'!$A$1:$Q$50</definedName>
    <definedName name="_xlnm.Print_Area" localSheetId="3">'04'!$A$1:$Q$50</definedName>
    <definedName name="_xlnm.Print_Area" localSheetId="4">'05'!$A$1:$Q$50</definedName>
    <definedName name="_xlnm.Print_Area" localSheetId="5">'06'!$A$1:$Q$50</definedName>
    <definedName name="_xlnm.Print_Area" localSheetId="6">'07'!$A$1:$Q$50</definedName>
    <definedName name="_xlnm.Print_Area" localSheetId="7">'08'!$A$1:$Q$50</definedName>
    <definedName name="_xlnm.Print_Area" localSheetId="8">'09'!$A$1:$Q$50</definedName>
    <definedName name="_xlnm.Print_Area" localSheetId="9">'10'!$A$1:$Q$50</definedName>
    <definedName name="_xlnm.Print_Area" localSheetId="10">'11'!$A$1:$Q$50</definedName>
    <definedName name="_xlnm.Print_Area" localSheetId="11">'12'!$A$1:$Q$50</definedName>
    <definedName name="_xlnm.Print_Area" localSheetId="12">'13'!$A$1:$Q$50</definedName>
    <definedName name="_xlnm.Print_Area" localSheetId="13">'14'!$A$1:$Q$50</definedName>
    <definedName name="_xlnm.Print_Area" localSheetId="14">'15'!$A$1:$Q$50</definedName>
    <definedName name="_xlnm.Print_Area" localSheetId="15">'16'!$A$1:$Q$50</definedName>
    <definedName name="_xlnm.Print_Area" localSheetId="16">'17'!$A$1:$Q$50</definedName>
    <definedName name="_xlnm.Print_Area" localSheetId="17">'18'!$A$1:$Q$50</definedName>
    <definedName name="_xlnm.Print_Area" localSheetId="18">'19'!$A$1:$Q$50</definedName>
    <definedName name="_xlnm.Print_Area" localSheetId="19">'20'!$A$1:$Q$50</definedName>
    <definedName name="_xlnm.Print_Area" localSheetId="20">'21'!$A$1:$Q$50</definedName>
    <definedName name="_xlnm.Print_Area" localSheetId="21">'22'!$A$1:$Q$50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22" l="1"/>
  <c r="G59" i="22"/>
  <c r="E50" i="22"/>
  <c r="H49" i="22"/>
  <c r="D49" i="22"/>
  <c r="B48" i="22"/>
  <c r="K47" i="22"/>
  <c r="I47" i="22" s="1"/>
  <c r="J47" i="22"/>
  <c r="B47" i="22"/>
  <c r="G12" i="22" s="1"/>
  <c r="B46" i="22"/>
  <c r="K45" i="22"/>
  <c r="L49" i="22" s="1"/>
  <c r="B45" i="22"/>
  <c r="K44" i="22"/>
  <c r="B44" i="22"/>
  <c r="B49" i="22" s="1"/>
  <c r="G41" i="22"/>
  <c r="E41" i="22"/>
  <c r="O40" i="22"/>
  <c r="L40" i="22"/>
  <c r="H40" i="22"/>
  <c r="F40" i="22"/>
  <c r="C40" i="22"/>
  <c r="B41" i="22" s="1"/>
  <c r="B40" i="22"/>
  <c r="O39" i="22"/>
  <c r="O41" i="22" s="1"/>
  <c r="F39" i="22"/>
  <c r="H39" i="22" s="1"/>
  <c r="J38" i="22"/>
  <c r="J41" i="22" s="1"/>
  <c r="H38" i="22"/>
  <c r="H37" i="22"/>
  <c r="F37" i="22"/>
  <c r="F36" i="22"/>
  <c r="H36" i="22" s="1"/>
  <c r="L35" i="22"/>
  <c r="O38" i="22" s="1"/>
  <c r="P33" i="22"/>
  <c r="J32" i="22"/>
  <c r="J36" i="22" s="1"/>
  <c r="G32" i="22"/>
  <c r="Q31" i="22"/>
  <c r="P31" i="22"/>
  <c r="G31" i="22"/>
  <c r="Q30" i="22"/>
  <c r="P30" i="22"/>
  <c r="G30" i="22"/>
  <c r="G29" i="22"/>
  <c r="Q28" i="22"/>
  <c r="P28" i="22"/>
  <c r="L28" i="22"/>
  <c r="G28" i="22"/>
  <c r="J27" i="22"/>
  <c r="J30" i="22" s="1"/>
  <c r="G27" i="22"/>
  <c r="G26" i="22"/>
  <c r="G25" i="22"/>
  <c r="G24" i="22"/>
  <c r="G23" i="22"/>
  <c r="J22" i="22"/>
  <c r="P24" i="22" s="1"/>
  <c r="G22" i="22"/>
  <c r="L21" i="22"/>
  <c r="J21" i="22"/>
  <c r="J25" i="22" s="1"/>
  <c r="G21" i="22"/>
  <c r="G20" i="22"/>
  <c r="G19" i="22"/>
  <c r="G18" i="22"/>
  <c r="P17" i="22"/>
  <c r="G17" i="22"/>
  <c r="G16" i="22"/>
  <c r="G33" i="22" s="1"/>
  <c r="P23" i="22" s="1"/>
  <c r="M13" i="22"/>
  <c r="I13" i="22"/>
  <c r="E13" i="22"/>
  <c r="D13" i="22"/>
  <c r="O12" i="22"/>
  <c r="Q33" i="22" s="1"/>
  <c r="L12" i="22"/>
  <c r="H12" i="22"/>
  <c r="C12" i="22"/>
  <c r="C13" i="22" s="1"/>
  <c r="O11" i="22"/>
  <c r="N11" i="22"/>
  <c r="P11" i="22" s="1"/>
  <c r="L11" i="22"/>
  <c r="J11" i="22"/>
  <c r="G11" i="22"/>
  <c r="C11" i="22"/>
  <c r="O10" i="22"/>
  <c r="L10" i="22"/>
  <c r="H10" i="22"/>
  <c r="G10" i="22" s="1"/>
  <c r="C10" i="22"/>
  <c r="O9" i="22"/>
  <c r="L9" i="22"/>
  <c r="H9" i="22"/>
  <c r="H13" i="22" s="1"/>
  <c r="C9" i="22"/>
  <c r="P8" i="22"/>
  <c r="N8" i="22"/>
  <c r="L8" i="22"/>
  <c r="J8" i="22"/>
  <c r="C8" i="22"/>
  <c r="O7" i="22"/>
  <c r="L22" i="22" s="1"/>
  <c r="P22" i="22" s="1"/>
  <c r="N7" i="22"/>
  <c r="L7" i="22"/>
  <c r="L13" i="22" s="1"/>
  <c r="G7" i="22"/>
  <c r="J7" i="22" s="1"/>
  <c r="C7" i="22"/>
  <c r="O4" i="22"/>
  <c r="O3" i="22"/>
  <c r="I59" i="21"/>
  <c r="G59" i="21"/>
  <c r="E50" i="21"/>
  <c r="H49" i="21"/>
  <c r="D49" i="21"/>
  <c r="B48" i="21"/>
  <c r="K47" i="21"/>
  <c r="L49" i="21" s="1"/>
  <c r="J47" i="21"/>
  <c r="B47" i="21"/>
  <c r="G12" i="21" s="1"/>
  <c r="B46" i="21"/>
  <c r="G11" i="21" s="1"/>
  <c r="K45" i="21"/>
  <c r="I45" i="21" s="1"/>
  <c r="B45" i="21"/>
  <c r="K44" i="21"/>
  <c r="B44" i="21"/>
  <c r="B49" i="21" s="1"/>
  <c r="J41" i="21"/>
  <c r="G41" i="21"/>
  <c r="E41" i="21"/>
  <c r="B41" i="21"/>
  <c r="O40" i="21"/>
  <c r="L40" i="21"/>
  <c r="H40" i="21"/>
  <c r="F40" i="21"/>
  <c r="C40" i="21"/>
  <c r="B40" i="21"/>
  <c r="P17" i="21" s="1"/>
  <c r="O39" i="21"/>
  <c r="F39" i="21"/>
  <c r="H39" i="21" s="1"/>
  <c r="J38" i="21"/>
  <c r="H38" i="21"/>
  <c r="H37" i="21"/>
  <c r="H41" i="21" s="1"/>
  <c r="F37" i="21"/>
  <c r="F36" i="21"/>
  <c r="H36" i="21" s="1"/>
  <c r="L35" i="21"/>
  <c r="O38" i="21" s="1"/>
  <c r="P33" i="21"/>
  <c r="J32" i="21"/>
  <c r="J36" i="21" s="1"/>
  <c r="G32" i="21"/>
  <c r="P31" i="21"/>
  <c r="G31" i="21"/>
  <c r="P30" i="21"/>
  <c r="J30" i="21"/>
  <c r="G30" i="21"/>
  <c r="G29" i="21"/>
  <c r="Q28" i="21"/>
  <c r="P28" i="21"/>
  <c r="L28" i="21"/>
  <c r="G28" i="21"/>
  <c r="J27" i="21"/>
  <c r="G27" i="21"/>
  <c r="G26" i="21"/>
  <c r="G25" i="21"/>
  <c r="P24" i="21"/>
  <c r="G24" i="21"/>
  <c r="G23" i="21"/>
  <c r="G22" i="21"/>
  <c r="L21" i="21"/>
  <c r="J21" i="21"/>
  <c r="J25" i="21" s="1"/>
  <c r="G21" i="21"/>
  <c r="G20" i="21"/>
  <c r="G19" i="21"/>
  <c r="P18" i="21"/>
  <c r="G18" i="21"/>
  <c r="G17" i="21"/>
  <c r="G16" i="21"/>
  <c r="M13" i="21"/>
  <c r="I13" i="21"/>
  <c r="E13" i="21"/>
  <c r="D13" i="21"/>
  <c r="C13" i="21"/>
  <c r="O12" i="21"/>
  <c r="L12" i="21"/>
  <c r="H12" i="21"/>
  <c r="C12" i="21"/>
  <c r="O11" i="21"/>
  <c r="L11" i="21"/>
  <c r="C11" i="21"/>
  <c r="O10" i="21"/>
  <c r="Q31" i="21" s="1"/>
  <c r="N10" i="21"/>
  <c r="P10" i="21" s="1"/>
  <c r="L10" i="21"/>
  <c r="H10" i="21"/>
  <c r="G10" i="21"/>
  <c r="J10" i="21" s="1"/>
  <c r="C10" i="21"/>
  <c r="O9" i="21"/>
  <c r="Q30" i="21" s="1"/>
  <c r="N9" i="21"/>
  <c r="P9" i="21" s="1"/>
  <c r="L9" i="21"/>
  <c r="H9" i="21"/>
  <c r="H13" i="21" s="1"/>
  <c r="G9" i="21"/>
  <c r="J9" i="21" s="1"/>
  <c r="C9" i="21"/>
  <c r="N8" i="21"/>
  <c r="P8" i="21" s="1"/>
  <c r="L8" i="21"/>
  <c r="L13" i="21" s="1"/>
  <c r="J8" i="21"/>
  <c r="C8" i="21"/>
  <c r="O7" i="21"/>
  <c r="L7" i="21"/>
  <c r="J7" i="21"/>
  <c r="G7" i="21"/>
  <c r="G13" i="21" s="1"/>
  <c r="O16" i="21" s="1"/>
  <c r="C7" i="21"/>
  <c r="O4" i="21"/>
  <c r="O3" i="21"/>
  <c r="I59" i="20"/>
  <c r="G59" i="20"/>
  <c r="H49" i="20"/>
  <c r="D49" i="20"/>
  <c r="E50" i="20" s="1"/>
  <c r="B48" i="20"/>
  <c r="K47" i="20"/>
  <c r="J47" i="20"/>
  <c r="B47" i="20"/>
  <c r="G12" i="20" s="1"/>
  <c r="B46" i="20"/>
  <c r="G11" i="20" s="1"/>
  <c r="K45" i="20"/>
  <c r="I45" i="20"/>
  <c r="B45" i="20"/>
  <c r="G10" i="20" s="1"/>
  <c r="K44" i="20"/>
  <c r="L28" i="20" s="1"/>
  <c r="C7" i="20" s="1"/>
  <c r="C13" i="20" s="1"/>
  <c r="B44" i="20"/>
  <c r="O41" i="20"/>
  <c r="G41" i="20"/>
  <c r="E41" i="20"/>
  <c r="B41" i="20"/>
  <c r="O40" i="20"/>
  <c r="L40" i="20"/>
  <c r="F40" i="20"/>
  <c r="H40" i="20" s="1"/>
  <c r="C40" i="20"/>
  <c r="P18" i="20" s="1"/>
  <c r="B40" i="20"/>
  <c r="O39" i="20"/>
  <c r="F39" i="20"/>
  <c r="H39" i="20" s="1"/>
  <c r="J38" i="20"/>
  <c r="J41" i="20" s="1"/>
  <c r="H38" i="20"/>
  <c r="F37" i="20"/>
  <c r="H37" i="20" s="1"/>
  <c r="H36" i="20"/>
  <c r="F36" i="20"/>
  <c r="L35" i="20"/>
  <c r="O38" i="20" s="1"/>
  <c r="P33" i="20"/>
  <c r="Q33" i="20" s="1"/>
  <c r="J32" i="20"/>
  <c r="J36" i="20" s="1"/>
  <c r="G32" i="20"/>
  <c r="P31" i="20"/>
  <c r="Q31" i="20" s="1"/>
  <c r="G31" i="20"/>
  <c r="P30" i="20"/>
  <c r="Q30" i="20" s="1"/>
  <c r="J30" i="20"/>
  <c r="G30" i="20"/>
  <c r="G29" i="20"/>
  <c r="Q28" i="20"/>
  <c r="P28" i="20"/>
  <c r="G28" i="20"/>
  <c r="J27" i="20"/>
  <c r="G27" i="20"/>
  <c r="G26" i="20"/>
  <c r="J25" i="20"/>
  <c r="G25" i="20"/>
  <c r="G24" i="20"/>
  <c r="G23" i="20"/>
  <c r="J22" i="20"/>
  <c r="P24" i="20" s="1"/>
  <c r="G22" i="20"/>
  <c r="L21" i="20"/>
  <c r="J21" i="20"/>
  <c r="G21" i="20"/>
  <c r="G20" i="20"/>
  <c r="G19" i="20"/>
  <c r="G18" i="20"/>
  <c r="P17" i="20"/>
  <c r="G17" i="20"/>
  <c r="G16" i="20"/>
  <c r="M13" i="20"/>
  <c r="I13" i="20"/>
  <c r="H13" i="20"/>
  <c r="E13" i="20"/>
  <c r="D13" i="20"/>
  <c r="O12" i="20"/>
  <c r="L22" i="20" s="1"/>
  <c r="P22" i="20" s="1"/>
  <c r="L12" i="20"/>
  <c r="H12" i="20"/>
  <c r="C12" i="20"/>
  <c r="O11" i="20"/>
  <c r="L11" i="20"/>
  <c r="C11" i="20"/>
  <c r="O10" i="20"/>
  <c r="L10" i="20"/>
  <c r="H10" i="20"/>
  <c r="C10" i="20"/>
  <c r="O9" i="20"/>
  <c r="L9" i="20"/>
  <c r="H9" i="20"/>
  <c r="C9" i="20"/>
  <c r="P8" i="20"/>
  <c r="N8" i="20"/>
  <c r="L8" i="20"/>
  <c r="J8" i="20"/>
  <c r="C8" i="20"/>
  <c r="O7" i="20"/>
  <c r="L7" i="20"/>
  <c r="G7" i="20"/>
  <c r="O4" i="20"/>
  <c r="O3" i="20"/>
  <c r="I65" i="19"/>
  <c r="G65" i="19"/>
  <c r="E50" i="19"/>
  <c r="L49" i="19"/>
  <c r="H49" i="19"/>
  <c r="D49" i="19"/>
  <c r="B48" i="19"/>
  <c r="G7" i="19" s="1"/>
  <c r="K47" i="19"/>
  <c r="J47" i="19"/>
  <c r="I47" i="19" s="1"/>
  <c r="B47" i="19"/>
  <c r="G12" i="19" s="1"/>
  <c r="B46" i="19"/>
  <c r="K45" i="19"/>
  <c r="I45" i="19"/>
  <c r="B45" i="19"/>
  <c r="K44" i="19"/>
  <c r="B44" i="19"/>
  <c r="O41" i="19"/>
  <c r="G41" i="19"/>
  <c r="E41" i="19"/>
  <c r="O40" i="19"/>
  <c r="L40" i="19"/>
  <c r="F40" i="19"/>
  <c r="H40" i="19" s="1"/>
  <c r="C40" i="19"/>
  <c r="B40" i="19"/>
  <c r="O39" i="19"/>
  <c r="F39" i="19"/>
  <c r="H39" i="19" s="1"/>
  <c r="J38" i="19"/>
  <c r="J41" i="19" s="1"/>
  <c r="H38" i="19"/>
  <c r="F37" i="19"/>
  <c r="H37" i="19" s="1"/>
  <c r="H41" i="19" s="1"/>
  <c r="F36" i="19"/>
  <c r="H36" i="19" s="1"/>
  <c r="L35" i="19"/>
  <c r="O38" i="19" s="1"/>
  <c r="P33" i="19"/>
  <c r="J32" i="19"/>
  <c r="J36" i="19" s="1"/>
  <c r="G32" i="19"/>
  <c r="P31" i="19"/>
  <c r="G31" i="19"/>
  <c r="P30" i="19"/>
  <c r="J30" i="19"/>
  <c r="G30" i="19"/>
  <c r="G29" i="19"/>
  <c r="Q28" i="19"/>
  <c r="P28" i="19"/>
  <c r="L28" i="19"/>
  <c r="G28" i="19"/>
  <c r="J27" i="19"/>
  <c r="G27" i="19"/>
  <c r="G26" i="19"/>
  <c r="J25" i="19"/>
  <c r="G25" i="19"/>
  <c r="P24" i="19"/>
  <c r="G24" i="19"/>
  <c r="G23" i="19"/>
  <c r="J22" i="19"/>
  <c r="G22" i="19"/>
  <c r="L21" i="19"/>
  <c r="J21" i="19"/>
  <c r="G21" i="19"/>
  <c r="G20" i="19"/>
  <c r="G19" i="19"/>
  <c r="P18" i="19"/>
  <c r="G18" i="19"/>
  <c r="G17" i="19"/>
  <c r="G16" i="19"/>
  <c r="M13" i="19"/>
  <c r="I13" i="19"/>
  <c r="E13" i="19"/>
  <c r="D13" i="19"/>
  <c r="O12" i="19"/>
  <c r="L12" i="19"/>
  <c r="H12" i="19"/>
  <c r="C12" i="19"/>
  <c r="O11" i="19"/>
  <c r="L11" i="19"/>
  <c r="J11" i="19"/>
  <c r="G11" i="19"/>
  <c r="N11" i="19" s="1"/>
  <c r="P11" i="19" s="1"/>
  <c r="C11" i="19"/>
  <c r="O10" i="19"/>
  <c r="Q31" i="19" s="1"/>
  <c r="L10" i="19"/>
  <c r="H10" i="19"/>
  <c r="G10" i="19" s="1"/>
  <c r="J10" i="19" s="1"/>
  <c r="C10" i="19"/>
  <c r="O9" i="19"/>
  <c r="Q30" i="19" s="1"/>
  <c r="L9" i="19"/>
  <c r="H9" i="19"/>
  <c r="H13" i="19" s="1"/>
  <c r="C9" i="19"/>
  <c r="N8" i="19"/>
  <c r="P8" i="19" s="1"/>
  <c r="L8" i="19"/>
  <c r="L13" i="19" s="1"/>
  <c r="J8" i="19"/>
  <c r="C8" i="19"/>
  <c r="O7" i="19"/>
  <c r="L7" i="19"/>
  <c r="C7" i="19"/>
  <c r="O4" i="19"/>
  <c r="O3" i="19"/>
  <c r="I65" i="18"/>
  <c r="G65" i="18"/>
  <c r="E50" i="18"/>
  <c r="H49" i="18"/>
  <c r="D49" i="18"/>
  <c r="B48" i="18"/>
  <c r="G7" i="18" s="1"/>
  <c r="K47" i="18"/>
  <c r="J47" i="18"/>
  <c r="B47" i="18"/>
  <c r="G12" i="18" s="1"/>
  <c r="B46" i="18"/>
  <c r="G11" i="18" s="1"/>
  <c r="K45" i="18"/>
  <c r="I45" i="18" s="1"/>
  <c r="B45" i="18"/>
  <c r="G10" i="18" s="1"/>
  <c r="N10" i="18" s="1"/>
  <c r="P10" i="18" s="1"/>
  <c r="K44" i="18"/>
  <c r="B44" i="18"/>
  <c r="B49" i="18" s="1"/>
  <c r="G41" i="18"/>
  <c r="E41" i="18"/>
  <c r="B41" i="18"/>
  <c r="O40" i="18"/>
  <c r="L40" i="18"/>
  <c r="F40" i="18"/>
  <c r="H40" i="18" s="1"/>
  <c r="C40" i="18"/>
  <c r="B40" i="18"/>
  <c r="O39" i="18"/>
  <c r="H39" i="18"/>
  <c r="F39" i="18"/>
  <c r="O38" i="18"/>
  <c r="J38" i="18"/>
  <c r="J41" i="18" s="1"/>
  <c r="H38" i="18"/>
  <c r="H37" i="18"/>
  <c r="F37" i="18"/>
  <c r="J36" i="18"/>
  <c r="H36" i="18"/>
  <c r="F36" i="18"/>
  <c r="L35" i="18"/>
  <c r="P33" i="18"/>
  <c r="J32" i="18"/>
  <c r="G32" i="18"/>
  <c r="Q31" i="18"/>
  <c r="P31" i="18"/>
  <c r="G31" i="18"/>
  <c r="Q30" i="18"/>
  <c r="P30" i="18"/>
  <c r="J30" i="18"/>
  <c r="G30" i="18"/>
  <c r="G29" i="18"/>
  <c r="Q28" i="18"/>
  <c r="P28" i="18"/>
  <c r="L28" i="18"/>
  <c r="C7" i="18" s="1"/>
  <c r="C13" i="18" s="1"/>
  <c r="G28" i="18"/>
  <c r="J27" i="18"/>
  <c r="G27" i="18"/>
  <c r="G26" i="18"/>
  <c r="J25" i="18"/>
  <c r="G25" i="18"/>
  <c r="P24" i="18"/>
  <c r="G24" i="18"/>
  <c r="G23" i="18"/>
  <c r="G22" i="18"/>
  <c r="L21" i="18"/>
  <c r="J21" i="18"/>
  <c r="G21" i="18"/>
  <c r="G20" i="18"/>
  <c r="G19" i="18"/>
  <c r="P18" i="18"/>
  <c r="G18" i="18"/>
  <c r="P17" i="18"/>
  <c r="G17" i="18"/>
  <c r="G16" i="18"/>
  <c r="M13" i="18"/>
  <c r="I13" i="18"/>
  <c r="H13" i="18"/>
  <c r="E13" i="18"/>
  <c r="D13" i="18"/>
  <c r="O12" i="18"/>
  <c r="L12" i="18"/>
  <c r="H12" i="18"/>
  <c r="C12" i="18"/>
  <c r="O11" i="18"/>
  <c r="L11" i="18"/>
  <c r="C11" i="18"/>
  <c r="O10" i="18"/>
  <c r="L10" i="18"/>
  <c r="J10" i="18"/>
  <c r="H10" i="18"/>
  <c r="C10" i="18"/>
  <c r="O9" i="18"/>
  <c r="N9" i="18"/>
  <c r="P9" i="18" s="1"/>
  <c r="L9" i="18"/>
  <c r="J9" i="18"/>
  <c r="H9" i="18"/>
  <c r="G9" i="18"/>
  <c r="C9" i="18"/>
  <c r="P8" i="18"/>
  <c r="N8" i="18"/>
  <c r="L8" i="18"/>
  <c r="J8" i="18"/>
  <c r="C8" i="18"/>
  <c r="O7" i="18"/>
  <c r="L7" i="18"/>
  <c r="L13" i="18" s="1"/>
  <c r="O4" i="18"/>
  <c r="O3" i="18"/>
  <c r="I65" i="17"/>
  <c r="G65" i="17"/>
  <c r="L49" i="17"/>
  <c r="H49" i="17"/>
  <c r="D49" i="17"/>
  <c r="E50" i="17" s="1"/>
  <c r="B48" i="17"/>
  <c r="K47" i="17"/>
  <c r="J47" i="17"/>
  <c r="I47" i="17"/>
  <c r="B47" i="17"/>
  <c r="B46" i="17"/>
  <c r="G11" i="17" s="1"/>
  <c r="K45" i="17"/>
  <c r="I45" i="17"/>
  <c r="B45" i="17"/>
  <c r="K44" i="17"/>
  <c r="L28" i="17" s="1"/>
  <c r="C7" i="17" s="1"/>
  <c r="B44" i="17"/>
  <c r="O41" i="17"/>
  <c r="G41" i="17"/>
  <c r="E41" i="17"/>
  <c r="O40" i="17"/>
  <c r="L40" i="17"/>
  <c r="F40" i="17"/>
  <c r="H40" i="17" s="1"/>
  <c r="C40" i="17"/>
  <c r="B40" i="17"/>
  <c r="O39" i="17"/>
  <c r="F39" i="17"/>
  <c r="H39" i="17" s="1"/>
  <c r="J38" i="17"/>
  <c r="J41" i="17" s="1"/>
  <c r="H38" i="17"/>
  <c r="F37" i="17"/>
  <c r="H37" i="17" s="1"/>
  <c r="H36" i="17"/>
  <c r="F36" i="17"/>
  <c r="L35" i="17"/>
  <c r="O38" i="17" s="1"/>
  <c r="P33" i="17"/>
  <c r="G33" i="17"/>
  <c r="P23" i="17" s="1"/>
  <c r="J32" i="17"/>
  <c r="J36" i="17" s="1"/>
  <c r="G32" i="17"/>
  <c r="P31" i="17"/>
  <c r="G31" i="17"/>
  <c r="P30" i="17"/>
  <c r="G30" i="17"/>
  <c r="G29" i="17"/>
  <c r="Q28" i="17"/>
  <c r="P28" i="17"/>
  <c r="G28" i="17"/>
  <c r="J27" i="17"/>
  <c r="J30" i="17" s="1"/>
  <c r="G27" i="17"/>
  <c r="G26" i="17"/>
  <c r="G25" i="17"/>
  <c r="P24" i="17"/>
  <c r="G24" i="17"/>
  <c r="G23" i="17"/>
  <c r="G22" i="17"/>
  <c r="L21" i="17"/>
  <c r="J21" i="17"/>
  <c r="J25" i="17" s="1"/>
  <c r="G21" i="17"/>
  <c r="G20" i="17"/>
  <c r="G19" i="17"/>
  <c r="P18" i="17"/>
  <c r="G18" i="17"/>
  <c r="G17" i="17"/>
  <c r="G16" i="17"/>
  <c r="M13" i="17"/>
  <c r="L13" i="17"/>
  <c r="I13" i="17"/>
  <c r="E13" i="17"/>
  <c r="D13" i="17"/>
  <c r="O12" i="17"/>
  <c r="Q33" i="17" s="1"/>
  <c r="L12" i="17"/>
  <c r="H12" i="17"/>
  <c r="H13" i="17" s="1"/>
  <c r="C12" i="17"/>
  <c r="O11" i="17"/>
  <c r="L11" i="17"/>
  <c r="C11" i="17"/>
  <c r="O10" i="17"/>
  <c r="Q31" i="17" s="1"/>
  <c r="L10" i="17"/>
  <c r="H10" i="17"/>
  <c r="G10" i="17"/>
  <c r="N10" i="17" s="1"/>
  <c r="P10" i="17" s="1"/>
  <c r="C10" i="17"/>
  <c r="O9" i="17"/>
  <c r="L9" i="17"/>
  <c r="J9" i="17"/>
  <c r="H9" i="17"/>
  <c r="G9" i="17"/>
  <c r="N9" i="17" s="1"/>
  <c r="C9" i="17"/>
  <c r="N8" i="17"/>
  <c r="P8" i="17" s="1"/>
  <c r="L8" i="17"/>
  <c r="J8" i="17"/>
  <c r="C8" i="17"/>
  <c r="O7" i="17"/>
  <c r="L7" i="17"/>
  <c r="G7" i="17"/>
  <c r="O4" i="17"/>
  <c r="O3" i="17"/>
  <c r="I65" i="16"/>
  <c r="G65" i="16"/>
  <c r="E50" i="16"/>
  <c r="L49" i="16"/>
  <c r="H49" i="16"/>
  <c r="D49" i="16"/>
  <c r="B48" i="16"/>
  <c r="K47" i="16"/>
  <c r="J47" i="16"/>
  <c r="I47" i="16"/>
  <c r="B47" i="16"/>
  <c r="B46" i="16"/>
  <c r="K45" i="16"/>
  <c r="I45" i="16"/>
  <c r="B45" i="16"/>
  <c r="K44" i="16"/>
  <c r="B44" i="16"/>
  <c r="J41" i="16"/>
  <c r="G41" i="16"/>
  <c r="E41" i="16"/>
  <c r="B41" i="16"/>
  <c r="O40" i="16"/>
  <c r="L40" i="16"/>
  <c r="H40" i="16"/>
  <c r="F40" i="16"/>
  <c r="C40" i="16"/>
  <c r="B40" i="16"/>
  <c r="O39" i="16"/>
  <c r="F39" i="16"/>
  <c r="H39" i="16" s="1"/>
  <c r="O38" i="16"/>
  <c r="J38" i="16"/>
  <c r="H38" i="16"/>
  <c r="F37" i="16"/>
  <c r="H37" i="16" s="1"/>
  <c r="H41" i="16" s="1"/>
  <c r="F36" i="16"/>
  <c r="H36" i="16" s="1"/>
  <c r="L35" i="16"/>
  <c r="P33" i="16"/>
  <c r="J32" i="16"/>
  <c r="J36" i="16" s="1"/>
  <c r="G32" i="16"/>
  <c r="P31" i="16"/>
  <c r="G31" i="16"/>
  <c r="P30" i="16"/>
  <c r="J30" i="16"/>
  <c r="G30" i="16"/>
  <c r="G29" i="16"/>
  <c r="Q28" i="16"/>
  <c r="P28" i="16"/>
  <c r="L28" i="16"/>
  <c r="G28" i="16"/>
  <c r="J27" i="16"/>
  <c r="G27" i="16"/>
  <c r="E26" i="16"/>
  <c r="G26" i="16" s="1"/>
  <c r="J25" i="16"/>
  <c r="G25" i="16"/>
  <c r="P24" i="16"/>
  <c r="G24" i="16"/>
  <c r="G23" i="16"/>
  <c r="G22" i="16"/>
  <c r="L21" i="16"/>
  <c r="J21" i="16"/>
  <c r="G21" i="16"/>
  <c r="G20" i="16"/>
  <c r="G19" i="16"/>
  <c r="P18" i="16"/>
  <c r="G18" i="16"/>
  <c r="P17" i="16"/>
  <c r="G17" i="16"/>
  <c r="G16" i="16"/>
  <c r="M13" i="16"/>
  <c r="I13" i="16"/>
  <c r="E13" i="16"/>
  <c r="D13" i="16"/>
  <c r="O12" i="16"/>
  <c r="Q33" i="16" s="1"/>
  <c r="L12" i="16"/>
  <c r="H12" i="16"/>
  <c r="C12" i="16"/>
  <c r="O11" i="16"/>
  <c r="L11" i="16"/>
  <c r="G11" i="16"/>
  <c r="C11" i="16"/>
  <c r="O10" i="16"/>
  <c r="Q31" i="16" s="1"/>
  <c r="L10" i="16"/>
  <c r="H10" i="16"/>
  <c r="G10" i="16"/>
  <c r="J10" i="16" s="1"/>
  <c r="C10" i="16"/>
  <c r="O9" i="16"/>
  <c r="Q30" i="16" s="1"/>
  <c r="L9" i="16"/>
  <c r="H9" i="16"/>
  <c r="C9" i="16"/>
  <c r="P8" i="16"/>
  <c r="N8" i="16"/>
  <c r="L8" i="16"/>
  <c r="L13" i="16" s="1"/>
  <c r="J8" i="16"/>
  <c r="C8" i="16"/>
  <c r="O7" i="16"/>
  <c r="L7" i="16"/>
  <c r="J7" i="16"/>
  <c r="G7" i="16"/>
  <c r="C7" i="16"/>
  <c r="O4" i="16"/>
  <c r="O3" i="16"/>
  <c r="I65" i="15"/>
  <c r="G65" i="15"/>
  <c r="L49" i="15"/>
  <c r="H49" i="15"/>
  <c r="D49" i="15"/>
  <c r="E50" i="15" s="1"/>
  <c r="B48" i="15"/>
  <c r="K47" i="15"/>
  <c r="I47" i="15" s="1"/>
  <c r="J47" i="15"/>
  <c r="B47" i="15"/>
  <c r="B46" i="15"/>
  <c r="G11" i="15" s="1"/>
  <c r="K45" i="15"/>
  <c r="I45" i="15"/>
  <c r="B45" i="15"/>
  <c r="G10" i="15" s="1"/>
  <c r="K44" i="15"/>
  <c r="L28" i="15" s="1"/>
  <c r="C7" i="15" s="1"/>
  <c r="C13" i="15" s="1"/>
  <c r="B44" i="15"/>
  <c r="G41" i="15"/>
  <c r="E41" i="15"/>
  <c r="O40" i="15"/>
  <c r="L40" i="15"/>
  <c r="H40" i="15"/>
  <c r="F40" i="15"/>
  <c r="C40" i="15"/>
  <c r="B40" i="15"/>
  <c r="O39" i="15"/>
  <c r="O41" i="15" s="1"/>
  <c r="F39" i="15"/>
  <c r="H39" i="15" s="1"/>
  <c r="O38" i="15"/>
  <c r="J38" i="15"/>
  <c r="J41" i="15" s="1"/>
  <c r="H38" i="15"/>
  <c r="F37" i="15"/>
  <c r="H37" i="15" s="1"/>
  <c r="F36" i="15"/>
  <c r="H36" i="15" s="1"/>
  <c r="L35" i="15"/>
  <c r="P33" i="15"/>
  <c r="Q33" i="15" s="1"/>
  <c r="J32" i="15"/>
  <c r="J36" i="15" s="1"/>
  <c r="G32" i="15"/>
  <c r="P31" i="15"/>
  <c r="G31" i="15"/>
  <c r="P30" i="15"/>
  <c r="J30" i="15"/>
  <c r="G30" i="15"/>
  <c r="G29" i="15"/>
  <c r="Q28" i="15"/>
  <c r="P28" i="15"/>
  <c r="G28" i="15"/>
  <c r="J27" i="15"/>
  <c r="G27" i="15"/>
  <c r="G26" i="15"/>
  <c r="G25" i="15"/>
  <c r="P24" i="15"/>
  <c r="G24" i="15"/>
  <c r="G23" i="15"/>
  <c r="G22" i="15"/>
  <c r="L21" i="15"/>
  <c r="J21" i="15"/>
  <c r="J25" i="15" s="1"/>
  <c r="G21" i="15"/>
  <c r="G20" i="15"/>
  <c r="G19" i="15"/>
  <c r="G18" i="15"/>
  <c r="P17" i="15"/>
  <c r="G17" i="15"/>
  <c r="G16" i="15"/>
  <c r="M13" i="15"/>
  <c r="I13" i="15"/>
  <c r="E13" i="15"/>
  <c r="D13" i="15"/>
  <c r="O12" i="15"/>
  <c r="L12" i="15"/>
  <c r="L13" i="15" s="1"/>
  <c r="H12" i="15"/>
  <c r="G12" i="15"/>
  <c r="N12" i="15" s="1"/>
  <c r="P12" i="15" s="1"/>
  <c r="C12" i="15"/>
  <c r="O11" i="15"/>
  <c r="L11" i="15"/>
  <c r="C11" i="15"/>
  <c r="O10" i="15"/>
  <c r="Q31" i="15" s="1"/>
  <c r="L10" i="15"/>
  <c r="H10" i="15"/>
  <c r="C10" i="15"/>
  <c r="O9" i="15"/>
  <c r="Q30" i="15" s="1"/>
  <c r="L9" i="15"/>
  <c r="H9" i="15"/>
  <c r="H13" i="15" s="1"/>
  <c r="C9" i="15"/>
  <c r="P8" i="15"/>
  <c r="N8" i="15"/>
  <c r="L8" i="15"/>
  <c r="J8" i="15"/>
  <c r="C8" i="15"/>
  <c r="O7" i="15"/>
  <c r="L7" i="15"/>
  <c r="G7" i="15"/>
  <c r="O4" i="15"/>
  <c r="O3" i="15"/>
  <c r="I65" i="14"/>
  <c r="G65" i="14"/>
  <c r="L49" i="14"/>
  <c r="H49" i="14"/>
  <c r="D49" i="14"/>
  <c r="E50" i="14" s="1"/>
  <c r="B48" i="14"/>
  <c r="G7" i="14" s="1"/>
  <c r="K47" i="14"/>
  <c r="J47" i="14"/>
  <c r="I47" i="14" s="1"/>
  <c r="B47" i="14"/>
  <c r="B46" i="14"/>
  <c r="K45" i="14"/>
  <c r="I45" i="14"/>
  <c r="B45" i="14"/>
  <c r="K44" i="14"/>
  <c r="B44" i="14"/>
  <c r="J41" i="14"/>
  <c r="G41" i="14"/>
  <c r="E41" i="14"/>
  <c r="O40" i="14"/>
  <c r="L40" i="14"/>
  <c r="H40" i="14"/>
  <c r="F40" i="14"/>
  <c r="C40" i="14"/>
  <c r="P18" i="14" s="1"/>
  <c r="B40" i="14"/>
  <c r="P17" i="14" s="1"/>
  <c r="O39" i="14"/>
  <c r="O41" i="14" s="1"/>
  <c r="F39" i="14"/>
  <c r="H39" i="14" s="1"/>
  <c r="J38" i="14"/>
  <c r="H38" i="14"/>
  <c r="F37" i="14"/>
  <c r="H37" i="14" s="1"/>
  <c r="F36" i="14"/>
  <c r="H36" i="14" s="1"/>
  <c r="H41" i="14" s="1"/>
  <c r="L35" i="14"/>
  <c r="O38" i="14" s="1"/>
  <c r="P33" i="14"/>
  <c r="Q33" i="14" s="1"/>
  <c r="J32" i="14"/>
  <c r="J36" i="14" s="1"/>
  <c r="G32" i="14"/>
  <c r="P31" i="14"/>
  <c r="G31" i="14"/>
  <c r="Q30" i="14"/>
  <c r="P30" i="14"/>
  <c r="G30" i="14"/>
  <c r="G29" i="14"/>
  <c r="Q28" i="14"/>
  <c r="P28" i="14"/>
  <c r="L28" i="14"/>
  <c r="G28" i="14"/>
  <c r="J27" i="14"/>
  <c r="J30" i="14" s="1"/>
  <c r="G27" i="14"/>
  <c r="G26" i="14"/>
  <c r="G25" i="14"/>
  <c r="P24" i="14"/>
  <c r="G24" i="14"/>
  <c r="G23" i="14"/>
  <c r="G22" i="14"/>
  <c r="L21" i="14"/>
  <c r="J21" i="14"/>
  <c r="J25" i="14" s="1"/>
  <c r="G21" i="14"/>
  <c r="G20" i="14"/>
  <c r="G19" i="14"/>
  <c r="G18" i="14"/>
  <c r="G17" i="14"/>
  <c r="G16" i="14"/>
  <c r="M13" i="14"/>
  <c r="I13" i="14"/>
  <c r="E13" i="14"/>
  <c r="D13" i="14"/>
  <c r="P12" i="14"/>
  <c r="O12" i="14"/>
  <c r="N12" i="14"/>
  <c r="L12" i="14"/>
  <c r="H12" i="14"/>
  <c r="G12" i="14"/>
  <c r="J12" i="14" s="1"/>
  <c r="C12" i="14"/>
  <c r="O11" i="14"/>
  <c r="L11" i="14"/>
  <c r="G11" i="14"/>
  <c r="N11" i="14" s="1"/>
  <c r="P11" i="14" s="1"/>
  <c r="C11" i="14"/>
  <c r="O10" i="14"/>
  <c r="Q31" i="14" s="1"/>
  <c r="L10" i="14"/>
  <c r="H10" i="14"/>
  <c r="G10" i="14"/>
  <c r="C10" i="14"/>
  <c r="O9" i="14"/>
  <c r="L22" i="14" s="1"/>
  <c r="P22" i="14" s="1"/>
  <c r="L9" i="14"/>
  <c r="L13" i="14" s="1"/>
  <c r="H9" i="14"/>
  <c r="H13" i="14" s="1"/>
  <c r="G9" i="14"/>
  <c r="G13" i="14" s="1"/>
  <c r="O16" i="14" s="1"/>
  <c r="C9" i="14"/>
  <c r="N8" i="14"/>
  <c r="P8" i="14" s="1"/>
  <c r="L8" i="14"/>
  <c r="J8" i="14"/>
  <c r="C8" i="14"/>
  <c r="C13" i="14" s="1"/>
  <c r="O7" i="14"/>
  <c r="L7" i="14"/>
  <c r="C7" i="14"/>
  <c r="O4" i="14"/>
  <c r="O3" i="14"/>
  <c r="I65" i="13"/>
  <c r="G65" i="13"/>
  <c r="E50" i="13"/>
  <c r="H49" i="13"/>
  <c r="D49" i="13"/>
  <c r="B48" i="13"/>
  <c r="K47" i="13"/>
  <c r="J47" i="13"/>
  <c r="I47" i="13" s="1"/>
  <c r="B47" i="13"/>
  <c r="B46" i="13"/>
  <c r="K45" i="13"/>
  <c r="I45" i="13" s="1"/>
  <c r="B45" i="13"/>
  <c r="K44" i="13"/>
  <c r="B44" i="13"/>
  <c r="O41" i="13"/>
  <c r="G41" i="13"/>
  <c r="E41" i="13"/>
  <c r="O40" i="13"/>
  <c r="L40" i="13"/>
  <c r="H40" i="13"/>
  <c r="F40" i="13"/>
  <c r="C40" i="13"/>
  <c r="P18" i="13" s="1"/>
  <c r="B40" i="13"/>
  <c r="O39" i="13"/>
  <c r="F39" i="13"/>
  <c r="H39" i="13" s="1"/>
  <c r="O38" i="13"/>
  <c r="J38" i="13"/>
  <c r="J41" i="13" s="1"/>
  <c r="H38" i="13"/>
  <c r="H37" i="13"/>
  <c r="F37" i="13"/>
  <c r="J36" i="13"/>
  <c r="F36" i="13"/>
  <c r="H36" i="13" s="1"/>
  <c r="L35" i="13"/>
  <c r="P33" i="13"/>
  <c r="Q33" i="13" s="1"/>
  <c r="J32" i="13"/>
  <c r="G32" i="13"/>
  <c r="Q31" i="13"/>
  <c r="P31" i="13"/>
  <c r="G31" i="13"/>
  <c r="P30" i="13"/>
  <c r="G30" i="13"/>
  <c r="G29" i="13"/>
  <c r="Q28" i="13"/>
  <c r="P28" i="13"/>
  <c r="L28" i="13"/>
  <c r="G28" i="13"/>
  <c r="J27" i="13"/>
  <c r="J30" i="13" s="1"/>
  <c r="E27" i="13"/>
  <c r="G27" i="13" s="1"/>
  <c r="G26" i="13"/>
  <c r="E26" i="13"/>
  <c r="G25" i="13"/>
  <c r="G24" i="13"/>
  <c r="G23" i="13"/>
  <c r="L22" i="13"/>
  <c r="P22" i="13" s="1"/>
  <c r="J22" i="13"/>
  <c r="G22" i="13"/>
  <c r="L21" i="13"/>
  <c r="J21" i="13"/>
  <c r="G21" i="13"/>
  <c r="G20" i="13"/>
  <c r="G19" i="13"/>
  <c r="G18" i="13"/>
  <c r="G17" i="13"/>
  <c r="G16" i="13"/>
  <c r="M13" i="13"/>
  <c r="L13" i="13"/>
  <c r="I13" i="13"/>
  <c r="E13" i="13"/>
  <c r="D13" i="13"/>
  <c r="O12" i="13"/>
  <c r="L12" i="13"/>
  <c r="J12" i="13"/>
  <c r="H12" i="13"/>
  <c r="G12" i="13" s="1"/>
  <c r="N12" i="13" s="1"/>
  <c r="P12" i="13" s="1"/>
  <c r="C12" i="13"/>
  <c r="P11" i="13"/>
  <c r="O11" i="13"/>
  <c r="L11" i="13"/>
  <c r="G11" i="13"/>
  <c r="N11" i="13" s="1"/>
  <c r="C11" i="13"/>
  <c r="O10" i="13"/>
  <c r="L10" i="13"/>
  <c r="H10" i="13"/>
  <c r="C10" i="13"/>
  <c r="O9" i="13"/>
  <c r="L9" i="13"/>
  <c r="H9" i="13"/>
  <c r="C9" i="13"/>
  <c r="N8" i="13"/>
  <c r="P8" i="13" s="1"/>
  <c r="L8" i="13"/>
  <c r="J8" i="13"/>
  <c r="C8" i="13"/>
  <c r="C13" i="13" s="1"/>
  <c r="O7" i="13"/>
  <c r="L7" i="13"/>
  <c r="J7" i="13"/>
  <c r="G7" i="13"/>
  <c r="C7" i="13"/>
  <c r="O4" i="13"/>
  <c r="O3" i="13"/>
  <c r="I65" i="12"/>
  <c r="G65" i="12"/>
  <c r="H49" i="12"/>
  <c r="D49" i="12"/>
  <c r="E50" i="12" s="1"/>
  <c r="B48" i="12"/>
  <c r="K47" i="12"/>
  <c r="J47" i="12"/>
  <c r="B47" i="12"/>
  <c r="B46" i="12"/>
  <c r="G11" i="12" s="1"/>
  <c r="K45" i="12"/>
  <c r="I45" i="12" s="1"/>
  <c r="B45" i="12"/>
  <c r="K44" i="12"/>
  <c r="B44" i="12"/>
  <c r="B49" i="12" s="1"/>
  <c r="J41" i="12"/>
  <c r="G41" i="12"/>
  <c r="E41" i="12"/>
  <c r="B41" i="12"/>
  <c r="O40" i="12"/>
  <c r="O41" i="12" s="1"/>
  <c r="L40" i="12"/>
  <c r="H40" i="12"/>
  <c r="F40" i="12"/>
  <c r="C40" i="12"/>
  <c r="P18" i="12" s="1"/>
  <c r="B40" i="12"/>
  <c r="P17" i="12" s="1"/>
  <c r="O39" i="12"/>
  <c r="F39" i="12"/>
  <c r="H39" i="12" s="1"/>
  <c r="J38" i="12"/>
  <c r="H38" i="12"/>
  <c r="H37" i="12"/>
  <c r="F37" i="12"/>
  <c r="J36" i="12"/>
  <c r="H36" i="12"/>
  <c r="F36" i="12"/>
  <c r="L35" i="12"/>
  <c r="O38" i="12" s="1"/>
  <c r="P33" i="12"/>
  <c r="Q33" i="12" s="1"/>
  <c r="J32" i="12"/>
  <c r="G32" i="12"/>
  <c r="P31" i="12"/>
  <c r="Q31" i="12" s="1"/>
  <c r="G31" i="12"/>
  <c r="P30" i="12"/>
  <c r="G30" i="12"/>
  <c r="G29" i="12"/>
  <c r="Q28" i="12"/>
  <c r="P28" i="12"/>
  <c r="L28" i="12"/>
  <c r="G28" i="12"/>
  <c r="J27" i="12"/>
  <c r="J30" i="12" s="1"/>
  <c r="G27" i="12"/>
  <c r="G26" i="12"/>
  <c r="J25" i="12"/>
  <c r="G25" i="12"/>
  <c r="P24" i="12"/>
  <c r="G24" i="12"/>
  <c r="G23" i="12"/>
  <c r="J22" i="12"/>
  <c r="G22" i="12"/>
  <c r="L21" i="12"/>
  <c r="J21" i="12"/>
  <c r="G21" i="12"/>
  <c r="G20" i="12"/>
  <c r="G19" i="12"/>
  <c r="G18" i="12"/>
  <c r="G17" i="12"/>
  <c r="G16" i="12"/>
  <c r="M13" i="12"/>
  <c r="I13" i="12"/>
  <c r="E13" i="12"/>
  <c r="D13" i="12"/>
  <c r="O12" i="12"/>
  <c r="L12" i="12"/>
  <c r="H12" i="12"/>
  <c r="G12" i="12"/>
  <c r="N12" i="12" s="1"/>
  <c r="P12" i="12" s="1"/>
  <c r="C12" i="12"/>
  <c r="O11" i="12"/>
  <c r="N11" i="12"/>
  <c r="P11" i="12" s="1"/>
  <c r="L11" i="12"/>
  <c r="J11" i="12"/>
  <c r="C11" i="12"/>
  <c r="O10" i="12"/>
  <c r="L10" i="12"/>
  <c r="H10" i="12"/>
  <c r="H13" i="12" s="1"/>
  <c r="C10" i="12"/>
  <c r="O9" i="12"/>
  <c r="L9" i="12"/>
  <c r="H9" i="12"/>
  <c r="C9" i="12"/>
  <c r="N8" i="12"/>
  <c r="P8" i="12" s="1"/>
  <c r="L8" i="12"/>
  <c r="J8" i="12"/>
  <c r="C8" i="12"/>
  <c r="P7" i="12"/>
  <c r="O7" i="12"/>
  <c r="N7" i="12"/>
  <c r="L7" i="12"/>
  <c r="G7" i="12"/>
  <c r="J7" i="12" s="1"/>
  <c r="C7" i="12"/>
  <c r="O4" i="12"/>
  <c r="O3" i="12"/>
  <c r="I65" i="11"/>
  <c r="G65" i="11"/>
  <c r="E50" i="11"/>
  <c r="H49" i="11"/>
  <c r="D49" i="11"/>
  <c r="B48" i="11"/>
  <c r="K47" i="11"/>
  <c r="J47" i="11"/>
  <c r="B47" i="11"/>
  <c r="G12" i="11" s="1"/>
  <c r="B46" i="11"/>
  <c r="K45" i="11"/>
  <c r="I45" i="11"/>
  <c r="B45" i="11"/>
  <c r="K44" i="11"/>
  <c r="B44" i="11"/>
  <c r="B49" i="11" s="1"/>
  <c r="J41" i="11"/>
  <c r="G41" i="11"/>
  <c r="E41" i="11"/>
  <c r="O40" i="11"/>
  <c r="L40" i="11"/>
  <c r="H40" i="11"/>
  <c r="F40" i="11"/>
  <c r="C40" i="11"/>
  <c r="B40" i="11"/>
  <c r="O39" i="11"/>
  <c r="O41" i="11" s="1"/>
  <c r="H39" i="11"/>
  <c r="F39" i="11"/>
  <c r="O38" i="11"/>
  <c r="J38" i="11"/>
  <c r="H38" i="11"/>
  <c r="H37" i="11"/>
  <c r="H41" i="11" s="1"/>
  <c r="F37" i="11"/>
  <c r="J36" i="11"/>
  <c r="F36" i="11"/>
  <c r="H36" i="11" s="1"/>
  <c r="L35" i="11"/>
  <c r="P33" i="11"/>
  <c r="J32" i="11"/>
  <c r="G32" i="11"/>
  <c r="Q31" i="11"/>
  <c r="P31" i="11"/>
  <c r="G31" i="11"/>
  <c r="P30" i="11"/>
  <c r="Q30" i="11" s="1"/>
  <c r="J30" i="11"/>
  <c r="G30" i="11"/>
  <c r="G29" i="11"/>
  <c r="Q28" i="11"/>
  <c r="P28" i="11"/>
  <c r="L28" i="11"/>
  <c r="G28" i="11"/>
  <c r="J27" i="11"/>
  <c r="G27" i="11"/>
  <c r="G26" i="11"/>
  <c r="J25" i="11"/>
  <c r="G25" i="11"/>
  <c r="P24" i="11"/>
  <c r="G24" i="11"/>
  <c r="G23" i="11"/>
  <c r="G22" i="11"/>
  <c r="L21" i="11"/>
  <c r="J21" i="11"/>
  <c r="G21" i="11"/>
  <c r="G20" i="11"/>
  <c r="G33" i="11" s="1"/>
  <c r="P23" i="11" s="1"/>
  <c r="G19" i="11"/>
  <c r="P18" i="11"/>
  <c r="G18" i="11"/>
  <c r="G17" i="11"/>
  <c r="G16" i="11"/>
  <c r="M13" i="11"/>
  <c r="I13" i="11"/>
  <c r="E13" i="11"/>
  <c r="D13" i="11"/>
  <c r="O12" i="11"/>
  <c r="L12" i="11"/>
  <c r="H12" i="11"/>
  <c r="C12" i="11"/>
  <c r="O11" i="11"/>
  <c r="L11" i="11"/>
  <c r="G11" i="11"/>
  <c r="N11" i="11" s="1"/>
  <c r="P11" i="11" s="1"/>
  <c r="C11" i="11"/>
  <c r="O10" i="11"/>
  <c r="L10" i="11"/>
  <c r="H10" i="11"/>
  <c r="G10" i="11"/>
  <c r="C10" i="11"/>
  <c r="O9" i="11"/>
  <c r="L9" i="11"/>
  <c r="H9" i="11"/>
  <c r="C9" i="11"/>
  <c r="P8" i="11"/>
  <c r="N8" i="11"/>
  <c r="L8" i="11"/>
  <c r="J8" i="11"/>
  <c r="C8" i="11"/>
  <c r="C13" i="11" s="1"/>
  <c r="P7" i="11"/>
  <c r="O7" i="11"/>
  <c r="L7" i="11"/>
  <c r="G7" i="11"/>
  <c r="N7" i="11" s="1"/>
  <c r="C7" i="11"/>
  <c r="O4" i="11"/>
  <c r="O3" i="11"/>
  <c r="I65" i="10"/>
  <c r="G65" i="10"/>
  <c r="H49" i="10"/>
  <c r="D49" i="10"/>
  <c r="E50" i="10" s="1"/>
  <c r="B48" i="10"/>
  <c r="K47" i="10"/>
  <c r="J47" i="10"/>
  <c r="I47" i="10"/>
  <c r="B47" i="10"/>
  <c r="B46" i="10"/>
  <c r="G11" i="10" s="1"/>
  <c r="K45" i="10"/>
  <c r="B45" i="10"/>
  <c r="K44" i="10"/>
  <c r="B44" i="10"/>
  <c r="O41" i="10"/>
  <c r="G41" i="10"/>
  <c r="E41" i="10"/>
  <c r="O40" i="10"/>
  <c r="L40" i="10"/>
  <c r="F40" i="10"/>
  <c r="H40" i="10" s="1"/>
  <c r="C40" i="10"/>
  <c r="P18" i="10" s="1"/>
  <c r="B40" i="10"/>
  <c r="O39" i="10"/>
  <c r="F39" i="10"/>
  <c r="H39" i="10" s="1"/>
  <c r="J38" i="10"/>
  <c r="J41" i="10" s="1"/>
  <c r="H38" i="10"/>
  <c r="F37" i="10"/>
  <c r="H37" i="10" s="1"/>
  <c r="H36" i="10"/>
  <c r="F36" i="10"/>
  <c r="L35" i="10"/>
  <c r="O38" i="10" s="1"/>
  <c r="P33" i="10"/>
  <c r="Q33" i="10" s="1"/>
  <c r="J32" i="10"/>
  <c r="J36" i="10" s="1"/>
  <c r="G32" i="10"/>
  <c r="P31" i="10"/>
  <c r="G31" i="10"/>
  <c r="P30" i="10"/>
  <c r="J30" i="10"/>
  <c r="G30" i="10"/>
  <c r="G29" i="10"/>
  <c r="Q28" i="10"/>
  <c r="P28" i="10"/>
  <c r="L28" i="10"/>
  <c r="C7" i="10" s="1"/>
  <c r="C13" i="10" s="1"/>
  <c r="G28" i="10"/>
  <c r="J27" i="10"/>
  <c r="G27" i="10"/>
  <c r="E26" i="10"/>
  <c r="J25" i="10"/>
  <c r="G25" i="10"/>
  <c r="P24" i="10"/>
  <c r="G24" i="10"/>
  <c r="G23" i="10"/>
  <c r="G22" i="10"/>
  <c r="L21" i="10"/>
  <c r="J21" i="10"/>
  <c r="G21" i="10"/>
  <c r="G20" i="10"/>
  <c r="G19" i="10"/>
  <c r="G18" i="10"/>
  <c r="G17" i="10"/>
  <c r="G16" i="10"/>
  <c r="M13" i="10"/>
  <c r="I13" i="10"/>
  <c r="E13" i="10"/>
  <c r="D13" i="10"/>
  <c r="O12" i="10"/>
  <c r="L12" i="10"/>
  <c r="J12" i="10"/>
  <c r="H12" i="10"/>
  <c r="G12" i="10"/>
  <c r="N12" i="10" s="1"/>
  <c r="P12" i="10" s="1"/>
  <c r="C12" i="10"/>
  <c r="O11" i="10"/>
  <c r="L11" i="10"/>
  <c r="C11" i="10"/>
  <c r="P10" i="10"/>
  <c r="O10" i="10"/>
  <c r="Q31" i="10" s="1"/>
  <c r="N10" i="10"/>
  <c r="L10" i="10"/>
  <c r="H10" i="10"/>
  <c r="G10" i="10" s="1"/>
  <c r="J10" i="10" s="1"/>
  <c r="C10" i="10"/>
  <c r="O9" i="10"/>
  <c r="Q30" i="10" s="1"/>
  <c r="L9" i="10"/>
  <c r="H9" i="10"/>
  <c r="H13" i="10" s="1"/>
  <c r="C9" i="10"/>
  <c r="P8" i="10"/>
  <c r="N8" i="10"/>
  <c r="L8" i="10"/>
  <c r="L13" i="10" s="1"/>
  <c r="J8" i="10"/>
  <c r="C8" i="10"/>
  <c r="P7" i="10"/>
  <c r="O7" i="10"/>
  <c r="N7" i="10"/>
  <c r="L7" i="10"/>
  <c r="J7" i="10"/>
  <c r="G7" i="10"/>
  <c r="O4" i="10"/>
  <c r="O3" i="10"/>
  <c r="I65" i="9"/>
  <c r="G65" i="9"/>
  <c r="E50" i="9"/>
  <c r="L49" i="9"/>
  <c r="H49" i="9"/>
  <c r="D49" i="9"/>
  <c r="B48" i="9"/>
  <c r="K47" i="9"/>
  <c r="I47" i="9" s="1"/>
  <c r="J47" i="9"/>
  <c r="B47" i="9"/>
  <c r="G12" i="9" s="1"/>
  <c r="B46" i="9"/>
  <c r="G11" i="9" s="1"/>
  <c r="K45" i="9"/>
  <c r="I45" i="9"/>
  <c r="B45" i="9"/>
  <c r="G10" i="9" s="1"/>
  <c r="K44" i="9"/>
  <c r="L28" i="9" s="1"/>
  <c r="C7" i="9" s="1"/>
  <c r="B44" i="9"/>
  <c r="J41" i="9"/>
  <c r="G41" i="9"/>
  <c r="E41" i="9"/>
  <c r="B41" i="9"/>
  <c r="O40" i="9"/>
  <c r="L40" i="9"/>
  <c r="F40" i="9"/>
  <c r="H40" i="9" s="1"/>
  <c r="C40" i="9"/>
  <c r="B40" i="9"/>
  <c r="P17" i="9" s="1"/>
  <c r="O39" i="9"/>
  <c r="O41" i="9" s="1"/>
  <c r="H39" i="9"/>
  <c r="F39" i="9"/>
  <c r="O38" i="9"/>
  <c r="J38" i="9"/>
  <c r="H38" i="9"/>
  <c r="F37" i="9"/>
  <c r="H37" i="9" s="1"/>
  <c r="J36" i="9"/>
  <c r="H36" i="9"/>
  <c r="F36" i="9"/>
  <c r="L35" i="9"/>
  <c r="Q33" i="9"/>
  <c r="P33" i="9"/>
  <c r="J33" i="9"/>
  <c r="J32" i="9"/>
  <c r="G32" i="9"/>
  <c r="Q31" i="9"/>
  <c r="P31" i="9"/>
  <c r="G31" i="9"/>
  <c r="P30" i="9"/>
  <c r="G30" i="9"/>
  <c r="G29" i="9"/>
  <c r="Q28" i="9"/>
  <c r="P28" i="9"/>
  <c r="G28" i="9"/>
  <c r="J27" i="9"/>
  <c r="J30" i="9" s="1"/>
  <c r="G27" i="9"/>
  <c r="G26" i="9"/>
  <c r="G25" i="9"/>
  <c r="P24" i="9"/>
  <c r="G24" i="9"/>
  <c r="G23" i="9"/>
  <c r="G22" i="9"/>
  <c r="L21" i="9"/>
  <c r="J21" i="9"/>
  <c r="J25" i="9" s="1"/>
  <c r="G21" i="9"/>
  <c r="G20" i="9"/>
  <c r="G19" i="9"/>
  <c r="P18" i="9"/>
  <c r="G18" i="9"/>
  <c r="G17" i="9"/>
  <c r="G16" i="9"/>
  <c r="M13" i="9"/>
  <c r="I13" i="9"/>
  <c r="E13" i="9"/>
  <c r="D13" i="9"/>
  <c r="C13" i="9"/>
  <c r="O12" i="9"/>
  <c r="L12" i="9"/>
  <c r="H12" i="9"/>
  <c r="C12" i="9"/>
  <c r="O11" i="9"/>
  <c r="L11" i="9"/>
  <c r="C11" i="9"/>
  <c r="O10" i="9"/>
  <c r="L10" i="9"/>
  <c r="H10" i="9"/>
  <c r="C10" i="9"/>
  <c r="O9" i="9"/>
  <c r="L9" i="9"/>
  <c r="H9" i="9"/>
  <c r="H13" i="9" s="1"/>
  <c r="G9" i="9"/>
  <c r="J9" i="9" s="1"/>
  <c r="C9" i="9"/>
  <c r="N8" i="9"/>
  <c r="P8" i="9" s="1"/>
  <c r="L8" i="9"/>
  <c r="J8" i="9"/>
  <c r="C8" i="9"/>
  <c r="O7" i="9"/>
  <c r="L7" i="9"/>
  <c r="G7" i="9"/>
  <c r="O4" i="9"/>
  <c r="O3" i="9"/>
  <c r="I65" i="8"/>
  <c r="G65" i="8"/>
  <c r="E50" i="8"/>
  <c r="H49" i="8"/>
  <c r="D49" i="8"/>
  <c r="B48" i="8"/>
  <c r="K47" i="8"/>
  <c r="I47" i="8" s="1"/>
  <c r="J47" i="8"/>
  <c r="B47" i="8"/>
  <c r="G12" i="8" s="1"/>
  <c r="N12" i="8" s="1"/>
  <c r="P12" i="8" s="1"/>
  <c r="B46" i="8"/>
  <c r="G11" i="8" s="1"/>
  <c r="N11" i="8" s="1"/>
  <c r="P11" i="8" s="1"/>
  <c r="K45" i="8"/>
  <c r="I45" i="8"/>
  <c r="B45" i="8"/>
  <c r="K44" i="8"/>
  <c r="B44" i="8"/>
  <c r="G41" i="8"/>
  <c r="E41" i="8"/>
  <c r="B41" i="8"/>
  <c r="O40" i="8"/>
  <c r="O41" i="8" s="1"/>
  <c r="L40" i="8"/>
  <c r="H40" i="8"/>
  <c r="F40" i="8"/>
  <c r="C40" i="8"/>
  <c r="B40" i="8"/>
  <c r="O39" i="8"/>
  <c r="F39" i="8"/>
  <c r="H39" i="8" s="1"/>
  <c r="O38" i="8"/>
  <c r="J38" i="8"/>
  <c r="J41" i="8" s="1"/>
  <c r="H38" i="8"/>
  <c r="F37" i="8"/>
  <c r="H37" i="8" s="1"/>
  <c r="H41" i="8" s="1"/>
  <c r="J36" i="8"/>
  <c r="H36" i="8"/>
  <c r="F36" i="8"/>
  <c r="L35" i="8"/>
  <c r="P33" i="8"/>
  <c r="Q33" i="8" s="1"/>
  <c r="J32" i="8"/>
  <c r="G32" i="8"/>
  <c r="Q31" i="8"/>
  <c r="P31" i="8"/>
  <c r="G31" i="8"/>
  <c r="P30" i="8"/>
  <c r="G30" i="8"/>
  <c r="G29" i="8"/>
  <c r="Q28" i="8"/>
  <c r="P28" i="8"/>
  <c r="L28" i="8"/>
  <c r="G28" i="8"/>
  <c r="J27" i="8"/>
  <c r="J30" i="8" s="1"/>
  <c r="E27" i="8"/>
  <c r="G27" i="8" s="1"/>
  <c r="G26" i="8"/>
  <c r="J25" i="8"/>
  <c r="G25" i="8"/>
  <c r="P24" i="8"/>
  <c r="G24" i="8"/>
  <c r="G23" i="8"/>
  <c r="G22" i="8"/>
  <c r="L21" i="8"/>
  <c r="J21" i="8"/>
  <c r="G21" i="8"/>
  <c r="G20" i="8"/>
  <c r="G19" i="8"/>
  <c r="P18" i="8"/>
  <c r="G18" i="8"/>
  <c r="P17" i="8"/>
  <c r="G17" i="8"/>
  <c r="G16" i="8"/>
  <c r="M13" i="8"/>
  <c r="I13" i="8"/>
  <c r="H13" i="8"/>
  <c r="E13" i="8"/>
  <c r="D13" i="8"/>
  <c r="O12" i="8"/>
  <c r="L12" i="8"/>
  <c r="J12" i="8"/>
  <c r="H12" i="8"/>
  <c r="C12" i="8"/>
  <c r="O11" i="8"/>
  <c r="L11" i="8"/>
  <c r="J11" i="8"/>
  <c r="C11" i="8"/>
  <c r="O10" i="8"/>
  <c r="L10" i="8"/>
  <c r="H10" i="8"/>
  <c r="C10" i="8"/>
  <c r="O9" i="8"/>
  <c r="L9" i="8"/>
  <c r="H9" i="8"/>
  <c r="C9" i="8"/>
  <c r="N8" i="8"/>
  <c r="P8" i="8" s="1"/>
  <c r="L8" i="8"/>
  <c r="J8" i="8"/>
  <c r="C8" i="8"/>
  <c r="O7" i="8"/>
  <c r="N7" i="8"/>
  <c r="L7" i="8"/>
  <c r="J7" i="8"/>
  <c r="G7" i="8"/>
  <c r="C7" i="8"/>
  <c r="C13" i="8" s="1"/>
  <c r="O4" i="8"/>
  <c r="O3" i="8"/>
  <c r="G54" i="7"/>
  <c r="H49" i="7"/>
  <c r="B48" i="7"/>
  <c r="G7" i="7" s="1"/>
  <c r="K47" i="7"/>
  <c r="J47" i="7"/>
  <c r="D47" i="7"/>
  <c r="B46" i="7"/>
  <c r="K45" i="7"/>
  <c r="I45" i="7"/>
  <c r="D45" i="7"/>
  <c r="B45" i="7" s="1"/>
  <c r="G10" i="7" s="1"/>
  <c r="K44" i="7"/>
  <c r="D44" i="7"/>
  <c r="B44" i="7"/>
  <c r="J41" i="7"/>
  <c r="H41" i="7"/>
  <c r="G41" i="7"/>
  <c r="E41" i="7"/>
  <c r="O40" i="7"/>
  <c r="L40" i="7"/>
  <c r="H40" i="7"/>
  <c r="F40" i="7"/>
  <c r="C40" i="7"/>
  <c r="B40" i="7"/>
  <c r="B41" i="7" s="1"/>
  <c r="H39" i="7"/>
  <c r="F39" i="7"/>
  <c r="O38" i="7"/>
  <c r="J38" i="7"/>
  <c r="H38" i="7"/>
  <c r="L37" i="7"/>
  <c r="H37" i="7"/>
  <c r="F37" i="7"/>
  <c r="B37" i="7"/>
  <c r="L36" i="7"/>
  <c r="F36" i="7"/>
  <c r="H36" i="7" s="1"/>
  <c r="L35" i="7"/>
  <c r="P33" i="7"/>
  <c r="Q33" i="7" s="1"/>
  <c r="L33" i="7"/>
  <c r="J32" i="7"/>
  <c r="J36" i="7" s="1"/>
  <c r="G32" i="7"/>
  <c r="P31" i="7"/>
  <c r="G31" i="7"/>
  <c r="P30" i="7"/>
  <c r="Q30" i="7" s="1"/>
  <c r="J30" i="7"/>
  <c r="G30" i="7"/>
  <c r="G29" i="7"/>
  <c r="Q28" i="7"/>
  <c r="P28" i="7"/>
  <c r="L28" i="7"/>
  <c r="C7" i="7" s="1"/>
  <c r="C13" i="7" s="1"/>
  <c r="J28" i="7"/>
  <c r="G28" i="7"/>
  <c r="J27" i="7"/>
  <c r="G27" i="7"/>
  <c r="G26" i="7"/>
  <c r="E26" i="7"/>
  <c r="J25" i="7"/>
  <c r="G25" i="7"/>
  <c r="G24" i="7"/>
  <c r="G23" i="7"/>
  <c r="J22" i="7"/>
  <c r="G22" i="7"/>
  <c r="L21" i="7"/>
  <c r="J21" i="7"/>
  <c r="G21" i="7"/>
  <c r="G20" i="7"/>
  <c r="G19" i="7"/>
  <c r="P18" i="7"/>
  <c r="G18" i="7"/>
  <c r="P17" i="7"/>
  <c r="G17" i="7"/>
  <c r="G16" i="7"/>
  <c r="M13" i="7"/>
  <c r="I13" i="7"/>
  <c r="H13" i="7"/>
  <c r="E13" i="7"/>
  <c r="D13" i="7"/>
  <c r="O12" i="7"/>
  <c r="L12" i="7"/>
  <c r="H12" i="7"/>
  <c r="C12" i="7"/>
  <c r="O11" i="7"/>
  <c r="L11" i="7"/>
  <c r="J11" i="7"/>
  <c r="G11" i="7"/>
  <c r="N11" i="7" s="1"/>
  <c r="P11" i="7" s="1"/>
  <c r="C11" i="7"/>
  <c r="O10" i="7"/>
  <c r="Q31" i="7" s="1"/>
  <c r="L10" i="7"/>
  <c r="H10" i="7"/>
  <c r="C10" i="7"/>
  <c r="O9" i="7"/>
  <c r="L9" i="7"/>
  <c r="H9" i="7"/>
  <c r="C9" i="7"/>
  <c r="P8" i="7"/>
  <c r="N8" i="7"/>
  <c r="L8" i="7"/>
  <c r="J8" i="7"/>
  <c r="C8" i="7"/>
  <c r="O7" i="7"/>
  <c r="N7" i="7"/>
  <c r="L7" i="7"/>
  <c r="J7" i="7"/>
  <c r="O4" i="7"/>
  <c r="O3" i="7"/>
  <c r="G54" i="6"/>
  <c r="E50" i="6"/>
  <c r="H49" i="6"/>
  <c r="D48" i="6"/>
  <c r="B48" i="6"/>
  <c r="K47" i="6"/>
  <c r="L49" i="6" s="1"/>
  <c r="J47" i="6"/>
  <c r="B47" i="6"/>
  <c r="B46" i="6"/>
  <c r="G11" i="6" s="1"/>
  <c r="K45" i="6"/>
  <c r="I45" i="6"/>
  <c r="D45" i="6"/>
  <c r="B45" i="6"/>
  <c r="K44" i="6"/>
  <c r="L28" i="6" s="1"/>
  <c r="C7" i="6" s="1"/>
  <c r="C13" i="6" s="1"/>
  <c r="D44" i="6"/>
  <c r="D49" i="6" s="1"/>
  <c r="B44" i="6"/>
  <c r="O41" i="6"/>
  <c r="J41" i="6"/>
  <c r="G41" i="6"/>
  <c r="E41" i="6"/>
  <c r="F40" i="6"/>
  <c r="H40" i="6" s="1"/>
  <c r="C40" i="6"/>
  <c r="B40" i="6"/>
  <c r="P17" i="6" s="1"/>
  <c r="O39" i="6"/>
  <c r="F39" i="6"/>
  <c r="H39" i="6" s="1"/>
  <c r="O38" i="6"/>
  <c r="J38" i="6"/>
  <c r="H38" i="6"/>
  <c r="L37" i="6"/>
  <c r="O40" i="6" s="1"/>
  <c r="H37" i="6"/>
  <c r="F37" i="6"/>
  <c r="L36" i="6"/>
  <c r="F36" i="6"/>
  <c r="H36" i="6" s="1"/>
  <c r="L35" i="6"/>
  <c r="P33" i="6"/>
  <c r="Q33" i="6" s="1"/>
  <c r="J32" i="6"/>
  <c r="J36" i="6" s="1"/>
  <c r="G32" i="6"/>
  <c r="P31" i="6"/>
  <c r="G31" i="6"/>
  <c r="P30" i="6"/>
  <c r="G30" i="6"/>
  <c r="G29" i="6"/>
  <c r="Q28" i="6"/>
  <c r="P28" i="6"/>
  <c r="G28" i="6"/>
  <c r="J27" i="6"/>
  <c r="J30" i="6" s="1"/>
  <c r="G27" i="6"/>
  <c r="G26" i="6"/>
  <c r="G25" i="6"/>
  <c r="P24" i="6"/>
  <c r="G24" i="6"/>
  <c r="G23" i="6"/>
  <c r="G22" i="6"/>
  <c r="L21" i="6"/>
  <c r="J21" i="6"/>
  <c r="J25" i="6" s="1"/>
  <c r="G21" i="6"/>
  <c r="G20" i="6"/>
  <c r="G19" i="6"/>
  <c r="P18" i="6"/>
  <c r="G18" i="6"/>
  <c r="G17" i="6"/>
  <c r="G16" i="6"/>
  <c r="M13" i="6"/>
  <c r="I13" i="6"/>
  <c r="E13" i="6"/>
  <c r="D13" i="6"/>
  <c r="O12" i="6"/>
  <c r="L12" i="6"/>
  <c r="H12" i="6"/>
  <c r="C12" i="6"/>
  <c r="O11" i="6"/>
  <c r="N11" i="6"/>
  <c r="P11" i="6" s="1"/>
  <c r="L11" i="6"/>
  <c r="J11" i="6"/>
  <c r="C11" i="6"/>
  <c r="O10" i="6"/>
  <c r="Q31" i="6" s="1"/>
  <c r="L10" i="6"/>
  <c r="H10" i="6"/>
  <c r="G10" i="6"/>
  <c r="C10" i="6"/>
  <c r="O9" i="6"/>
  <c r="Q30" i="6" s="1"/>
  <c r="L9" i="6"/>
  <c r="H9" i="6"/>
  <c r="C9" i="6"/>
  <c r="N8" i="6"/>
  <c r="P8" i="6" s="1"/>
  <c r="L8" i="6"/>
  <c r="J8" i="6"/>
  <c r="C8" i="6"/>
  <c r="O7" i="6"/>
  <c r="L7" i="6"/>
  <c r="G7" i="6"/>
  <c r="O4" i="6"/>
  <c r="O3" i="6"/>
  <c r="G54" i="5"/>
  <c r="D48" i="5"/>
  <c r="B48" i="5"/>
  <c r="G7" i="5" s="1"/>
  <c r="K47" i="5"/>
  <c r="L49" i="5" s="1"/>
  <c r="J47" i="5"/>
  <c r="I47" i="5"/>
  <c r="D47" i="5"/>
  <c r="B47" i="5" s="1"/>
  <c r="G12" i="5" s="1"/>
  <c r="J12" i="5" s="1"/>
  <c r="B46" i="5"/>
  <c r="K45" i="5"/>
  <c r="I45" i="5"/>
  <c r="D45" i="5"/>
  <c r="B45" i="5"/>
  <c r="G10" i="5" s="1"/>
  <c r="K44" i="5"/>
  <c r="L28" i="5" s="1"/>
  <c r="C7" i="5" s="1"/>
  <c r="C13" i="5" s="1"/>
  <c r="D44" i="5"/>
  <c r="B44" i="5"/>
  <c r="O41" i="5"/>
  <c r="J41" i="5"/>
  <c r="G41" i="5"/>
  <c r="E41" i="5"/>
  <c r="O40" i="5"/>
  <c r="H40" i="5"/>
  <c r="F40" i="5"/>
  <c r="C40" i="5"/>
  <c r="B40" i="5"/>
  <c r="O39" i="5"/>
  <c r="F39" i="5"/>
  <c r="H39" i="5" s="1"/>
  <c r="J38" i="5"/>
  <c r="H38" i="5"/>
  <c r="L37" i="5"/>
  <c r="F37" i="5"/>
  <c r="H37" i="5" s="1"/>
  <c r="L36" i="5"/>
  <c r="L40" i="5" s="1"/>
  <c r="J36" i="5"/>
  <c r="F36" i="5"/>
  <c r="H36" i="5" s="1"/>
  <c r="L35" i="5"/>
  <c r="O38" i="5" s="1"/>
  <c r="P33" i="5"/>
  <c r="J32" i="5"/>
  <c r="G32" i="5"/>
  <c r="P31" i="5"/>
  <c r="Q31" i="5" s="1"/>
  <c r="G31" i="5"/>
  <c r="Q30" i="5"/>
  <c r="P30" i="5"/>
  <c r="G30" i="5"/>
  <c r="G29" i="5"/>
  <c r="Q28" i="5"/>
  <c r="P28" i="5"/>
  <c r="G28" i="5"/>
  <c r="J27" i="5"/>
  <c r="J30" i="5" s="1"/>
  <c r="G27" i="5"/>
  <c r="G26" i="5"/>
  <c r="J25" i="5"/>
  <c r="G25" i="5"/>
  <c r="P24" i="5"/>
  <c r="G24" i="5"/>
  <c r="G23" i="5"/>
  <c r="J22" i="5"/>
  <c r="G22" i="5"/>
  <c r="L21" i="5"/>
  <c r="J21" i="5"/>
  <c r="G21" i="5"/>
  <c r="G20" i="5"/>
  <c r="G19" i="5"/>
  <c r="P18" i="5"/>
  <c r="G18" i="5"/>
  <c r="G17" i="5"/>
  <c r="G16" i="5"/>
  <c r="M13" i="5"/>
  <c r="I13" i="5"/>
  <c r="E13" i="5"/>
  <c r="D13" i="5"/>
  <c r="O12" i="5"/>
  <c r="L12" i="5"/>
  <c r="H12" i="5"/>
  <c r="C12" i="5"/>
  <c r="O11" i="5"/>
  <c r="L11" i="5"/>
  <c r="G11" i="5"/>
  <c r="N11" i="5" s="1"/>
  <c r="P11" i="5" s="1"/>
  <c r="C11" i="5"/>
  <c r="O10" i="5"/>
  <c r="L10" i="5"/>
  <c r="L13" i="5" s="1"/>
  <c r="H10" i="5"/>
  <c r="C10" i="5"/>
  <c r="O9" i="5"/>
  <c r="L9" i="5"/>
  <c r="H9" i="5"/>
  <c r="H13" i="5" s="1"/>
  <c r="G9" i="5"/>
  <c r="C9" i="5"/>
  <c r="P8" i="5"/>
  <c r="N8" i="5"/>
  <c r="L8" i="5"/>
  <c r="J8" i="5"/>
  <c r="C8" i="5"/>
  <c r="O7" i="5"/>
  <c r="N7" i="5"/>
  <c r="L7" i="5"/>
  <c r="O4" i="5"/>
  <c r="O3" i="5"/>
  <c r="G54" i="4"/>
  <c r="L49" i="4"/>
  <c r="H49" i="4"/>
  <c r="D49" i="4"/>
  <c r="E50" i="4" s="1"/>
  <c r="B48" i="4"/>
  <c r="K47" i="4"/>
  <c r="J47" i="4"/>
  <c r="I47" i="4"/>
  <c r="B47" i="4"/>
  <c r="G12" i="4" s="1"/>
  <c r="J12" i="4" s="1"/>
  <c r="B46" i="4"/>
  <c r="K45" i="4"/>
  <c r="I45" i="4"/>
  <c r="B45" i="4"/>
  <c r="K44" i="4"/>
  <c r="L28" i="4" s="1"/>
  <c r="C7" i="4" s="1"/>
  <c r="C13" i="4" s="1"/>
  <c r="B44" i="4"/>
  <c r="G41" i="4"/>
  <c r="E41" i="4"/>
  <c r="O40" i="4"/>
  <c r="L40" i="4"/>
  <c r="H40" i="4"/>
  <c r="F40" i="4"/>
  <c r="C40" i="4"/>
  <c r="P18" i="4" s="1"/>
  <c r="B40" i="4"/>
  <c r="O39" i="4"/>
  <c r="O41" i="4" s="1"/>
  <c r="H39" i="4"/>
  <c r="F39" i="4"/>
  <c r="O38" i="4"/>
  <c r="J38" i="4"/>
  <c r="J41" i="4" s="1"/>
  <c r="H38" i="4"/>
  <c r="F37" i="4"/>
  <c r="H37" i="4" s="1"/>
  <c r="J36" i="4"/>
  <c r="F36" i="4"/>
  <c r="H36" i="4" s="1"/>
  <c r="L35" i="4"/>
  <c r="P33" i="4"/>
  <c r="J32" i="4"/>
  <c r="G32" i="4"/>
  <c r="Q31" i="4"/>
  <c r="P31" i="4"/>
  <c r="G31" i="4"/>
  <c r="P30" i="4"/>
  <c r="Q30" i="4" s="1"/>
  <c r="J30" i="4"/>
  <c r="G30" i="4"/>
  <c r="G29" i="4"/>
  <c r="Q28" i="4"/>
  <c r="P28" i="4"/>
  <c r="G28" i="4"/>
  <c r="J27" i="4"/>
  <c r="G27" i="4"/>
  <c r="G26" i="4"/>
  <c r="G25" i="4"/>
  <c r="P24" i="4"/>
  <c r="G24" i="4"/>
  <c r="G23" i="4"/>
  <c r="G22" i="4"/>
  <c r="L21" i="4"/>
  <c r="J21" i="4"/>
  <c r="J25" i="4" s="1"/>
  <c r="G21" i="4"/>
  <c r="G20" i="4"/>
  <c r="G19" i="4"/>
  <c r="G18" i="4"/>
  <c r="P17" i="4"/>
  <c r="G17" i="4"/>
  <c r="G16" i="4"/>
  <c r="M13" i="4"/>
  <c r="I13" i="4"/>
  <c r="E13" i="4"/>
  <c r="D13" i="4"/>
  <c r="O12" i="4"/>
  <c r="N12" i="4"/>
  <c r="P12" i="4" s="1"/>
  <c r="L12" i="4"/>
  <c r="H12" i="4"/>
  <c r="C12" i="4"/>
  <c r="O11" i="4"/>
  <c r="N11" i="4"/>
  <c r="P11" i="4" s="1"/>
  <c r="L11" i="4"/>
  <c r="J11" i="4"/>
  <c r="G11" i="4"/>
  <c r="C11" i="4"/>
  <c r="O10" i="4"/>
  <c r="L10" i="4"/>
  <c r="H10" i="4"/>
  <c r="G10" i="4"/>
  <c r="N10" i="4" s="1"/>
  <c r="P10" i="4" s="1"/>
  <c r="C10" i="4"/>
  <c r="O9" i="4"/>
  <c r="L9" i="4"/>
  <c r="H9" i="4"/>
  <c r="H13" i="4" s="1"/>
  <c r="G9" i="4"/>
  <c r="N9" i="4" s="1"/>
  <c r="P9" i="4" s="1"/>
  <c r="C9" i="4"/>
  <c r="P8" i="4"/>
  <c r="N8" i="4"/>
  <c r="L8" i="4"/>
  <c r="J8" i="4"/>
  <c r="C8" i="4"/>
  <c r="O7" i="4"/>
  <c r="N7" i="4"/>
  <c r="N13" i="4" s="1"/>
  <c r="L7" i="4"/>
  <c r="L13" i="4" s="1"/>
  <c r="J7" i="4"/>
  <c r="G7" i="4"/>
  <c r="O4" i="4"/>
  <c r="O3" i="4"/>
  <c r="G54" i="3"/>
  <c r="E50" i="3"/>
  <c r="H49" i="3"/>
  <c r="D49" i="3"/>
  <c r="B49" i="3"/>
  <c r="B48" i="3"/>
  <c r="K47" i="3"/>
  <c r="J47" i="3"/>
  <c r="I47" i="3"/>
  <c r="B47" i="3"/>
  <c r="B46" i="3"/>
  <c r="K45" i="3"/>
  <c r="I45" i="3" s="1"/>
  <c r="B45" i="3"/>
  <c r="G10" i="3" s="1"/>
  <c r="K44" i="3"/>
  <c r="B44" i="3"/>
  <c r="G41" i="3"/>
  <c r="E41" i="3"/>
  <c r="O40" i="3"/>
  <c r="O41" i="3" s="1"/>
  <c r="L40" i="3"/>
  <c r="H40" i="3"/>
  <c r="F40" i="3"/>
  <c r="C40" i="3"/>
  <c r="P18" i="3" s="1"/>
  <c r="B40" i="3"/>
  <c r="O39" i="3"/>
  <c r="H39" i="3"/>
  <c r="F39" i="3"/>
  <c r="J38" i="3"/>
  <c r="J41" i="3" s="1"/>
  <c r="H38" i="3"/>
  <c r="H37" i="3"/>
  <c r="F37" i="3"/>
  <c r="J36" i="3"/>
  <c r="F36" i="3"/>
  <c r="H36" i="3" s="1"/>
  <c r="L35" i="3"/>
  <c r="O38" i="3" s="1"/>
  <c r="Q33" i="3"/>
  <c r="P33" i="3"/>
  <c r="J32" i="3"/>
  <c r="G32" i="3"/>
  <c r="P31" i="3"/>
  <c r="G31" i="3"/>
  <c r="Q30" i="3"/>
  <c r="P30" i="3"/>
  <c r="G30" i="3"/>
  <c r="G29" i="3"/>
  <c r="Q28" i="3"/>
  <c r="P28" i="3"/>
  <c r="L28" i="3"/>
  <c r="G28" i="3"/>
  <c r="J27" i="3"/>
  <c r="J30" i="3" s="1"/>
  <c r="G27" i="3"/>
  <c r="G26" i="3"/>
  <c r="G25" i="3"/>
  <c r="G24" i="3"/>
  <c r="G23" i="3"/>
  <c r="J22" i="3"/>
  <c r="P24" i="3" s="1"/>
  <c r="G22" i="3"/>
  <c r="L21" i="3"/>
  <c r="J21" i="3"/>
  <c r="J25" i="3" s="1"/>
  <c r="G21" i="3"/>
  <c r="G20" i="3"/>
  <c r="G19" i="3"/>
  <c r="G18" i="3"/>
  <c r="G17" i="3"/>
  <c r="G16" i="3"/>
  <c r="M13" i="3"/>
  <c r="I13" i="3"/>
  <c r="E13" i="3"/>
  <c r="D13" i="3"/>
  <c r="C13" i="3"/>
  <c r="O12" i="3"/>
  <c r="L12" i="3"/>
  <c r="H12" i="3"/>
  <c r="G12" i="3"/>
  <c r="C12" i="3"/>
  <c r="P11" i="3"/>
  <c r="O11" i="3"/>
  <c r="L11" i="3"/>
  <c r="G11" i="3"/>
  <c r="N11" i="3" s="1"/>
  <c r="C11" i="3"/>
  <c r="O10" i="3"/>
  <c r="Q31" i="3" s="1"/>
  <c r="L10" i="3"/>
  <c r="L13" i="3" s="1"/>
  <c r="H10" i="3"/>
  <c r="C10" i="3"/>
  <c r="O9" i="3"/>
  <c r="L9" i="3"/>
  <c r="H9" i="3"/>
  <c r="H13" i="3" s="1"/>
  <c r="C9" i="3"/>
  <c r="P8" i="3"/>
  <c r="N8" i="3"/>
  <c r="L8" i="3"/>
  <c r="J8" i="3"/>
  <c r="C8" i="3"/>
  <c r="O7" i="3"/>
  <c r="L7" i="3"/>
  <c r="G7" i="3"/>
  <c r="C7" i="3"/>
  <c r="O4" i="3"/>
  <c r="O3" i="3"/>
  <c r="G54" i="2"/>
  <c r="H49" i="2"/>
  <c r="D49" i="2"/>
  <c r="E50" i="2" s="1"/>
  <c r="B48" i="2"/>
  <c r="K47" i="2"/>
  <c r="L49" i="2" s="1"/>
  <c r="J47" i="2"/>
  <c r="B47" i="2"/>
  <c r="G12" i="2" s="1"/>
  <c r="B46" i="2"/>
  <c r="G11" i="2" s="1"/>
  <c r="K45" i="2"/>
  <c r="I45" i="2" s="1"/>
  <c r="B45" i="2"/>
  <c r="K44" i="2"/>
  <c r="B44" i="2"/>
  <c r="O41" i="2"/>
  <c r="H41" i="2"/>
  <c r="G41" i="2"/>
  <c r="E41" i="2"/>
  <c r="B41" i="2"/>
  <c r="O40" i="2"/>
  <c r="L40" i="2"/>
  <c r="H40" i="2"/>
  <c r="F40" i="2"/>
  <c r="C40" i="2"/>
  <c r="B40" i="2"/>
  <c r="P17" i="2" s="1"/>
  <c r="O39" i="2"/>
  <c r="F39" i="2"/>
  <c r="H39" i="2" s="1"/>
  <c r="O38" i="2"/>
  <c r="J38" i="2"/>
  <c r="J41" i="2" s="1"/>
  <c r="H38" i="2"/>
  <c r="H37" i="2"/>
  <c r="F37" i="2"/>
  <c r="H36" i="2"/>
  <c r="F36" i="2"/>
  <c r="L35" i="2"/>
  <c r="Q33" i="2"/>
  <c r="P33" i="2"/>
  <c r="G33" i="2"/>
  <c r="P23" i="2" s="1"/>
  <c r="J32" i="2"/>
  <c r="J36" i="2" s="1"/>
  <c r="G32" i="2"/>
  <c r="P31" i="2"/>
  <c r="G31" i="2"/>
  <c r="P30" i="2"/>
  <c r="J30" i="2"/>
  <c r="G30" i="2"/>
  <c r="G29" i="2"/>
  <c r="Q28" i="2"/>
  <c r="P28" i="2"/>
  <c r="L28" i="2"/>
  <c r="G28" i="2"/>
  <c r="J27" i="2"/>
  <c r="G27" i="2"/>
  <c r="G26" i="2"/>
  <c r="J25" i="2"/>
  <c r="G25" i="2"/>
  <c r="P24" i="2"/>
  <c r="G24" i="2"/>
  <c r="G23" i="2"/>
  <c r="J22" i="2"/>
  <c r="G22" i="2"/>
  <c r="L21" i="2"/>
  <c r="J21" i="2"/>
  <c r="G21" i="2"/>
  <c r="G20" i="2"/>
  <c r="G19" i="2"/>
  <c r="P18" i="2"/>
  <c r="G18" i="2"/>
  <c r="G17" i="2"/>
  <c r="G16" i="2"/>
  <c r="M13" i="2"/>
  <c r="I13" i="2"/>
  <c r="E13" i="2"/>
  <c r="D13" i="2"/>
  <c r="O12" i="2"/>
  <c r="L22" i="2" s="1"/>
  <c r="L12" i="2"/>
  <c r="H12" i="2"/>
  <c r="C12" i="2"/>
  <c r="O11" i="2"/>
  <c r="L11" i="2"/>
  <c r="C11" i="2"/>
  <c r="O10" i="2"/>
  <c r="Q31" i="2" s="1"/>
  <c r="L10" i="2"/>
  <c r="H10" i="2"/>
  <c r="G10" i="2"/>
  <c r="N10" i="2" s="1"/>
  <c r="P10" i="2" s="1"/>
  <c r="C10" i="2"/>
  <c r="O9" i="2"/>
  <c r="Q30" i="2" s="1"/>
  <c r="L9" i="2"/>
  <c r="H9" i="2"/>
  <c r="G9" i="2" s="1"/>
  <c r="C9" i="2"/>
  <c r="N8" i="2"/>
  <c r="P8" i="2" s="1"/>
  <c r="L8" i="2"/>
  <c r="J8" i="2"/>
  <c r="C8" i="2"/>
  <c r="O7" i="2"/>
  <c r="L7" i="2"/>
  <c r="J7" i="2"/>
  <c r="G7" i="2"/>
  <c r="N7" i="2" s="1"/>
  <c r="C7" i="2"/>
  <c r="O4" i="2"/>
  <c r="O3" i="2"/>
  <c r="G54" i="1"/>
  <c r="H49" i="1"/>
  <c r="D49" i="1"/>
  <c r="E50" i="1" s="1"/>
  <c r="B48" i="1"/>
  <c r="K47" i="1"/>
  <c r="L49" i="1" s="1"/>
  <c r="J47" i="1"/>
  <c r="I47" i="1"/>
  <c r="B47" i="1"/>
  <c r="B46" i="1"/>
  <c r="K45" i="1"/>
  <c r="I45" i="1" s="1"/>
  <c r="B45" i="1"/>
  <c r="K44" i="1"/>
  <c r="L28" i="1" s="1"/>
  <c r="C7" i="1" s="1"/>
  <c r="B44" i="1"/>
  <c r="G9" i="1" s="1"/>
  <c r="J9" i="1" s="1"/>
  <c r="K9" i="1" s="1"/>
  <c r="J41" i="1"/>
  <c r="G41" i="1"/>
  <c r="E41" i="1"/>
  <c r="O40" i="1"/>
  <c r="L40" i="1"/>
  <c r="F40" i="1"/>
  <c r="H40" i="1" s="1"/>
  <c r="C40" i="1"/>
  <c r="P18" i="1" s="1"/>
  <c r="B40" i="1"/>
  <c r="B41" i="1" s="1"/>
  <c r="O39" i="1"/>
  <c r="O41" i="1" s="1"/>
  <c r="F39" i="1"/>
  <c r="H39" i="1" s="1"/>
  <c r="O38" i="1"/>
  <c r="J38" i="1"/>
  <c r="H38" i="1"/>
  <c r="H37" i="1"/>
  <c r="F37" i="1"/>
  <c r="F36" i="1"/>
  <c r="H36" i="1" s="1"/>
  <c r="L35" i="1"/>
  <c r="P33" i="1"/>
  <c r="Q33" i="1" s="1"/>
  <c r="J32" i="1"/>
  <c r="J36" i="1" s="1"/>
  <c r="G32" i="1"/>
  <c r="P31" i="1"/>
  <c r="G31" i="1"/>
  <c r="P30" i="1"/>
  <c r="J30" i="1"/>
  <c r="G30" i="1"/>
  <c r="G29" i="1"/>
  <c r="Q28" i="1"/>
  <c r="P28" i="1"/>
  <c r="G28" i="1"/>
  <c r="J27" i="1"/>
  <c r="G27" i="1"/>
  <c r="E26" i="1"/>
  <c r="L22" i="1" s="1"/>
  <c r="G25" i="1"/>
  <c r="P24" i="1"/>
  <c r="L24" i="1"/>
  <c r="G24" i="1"/>
  <c r="G23" i="1"/>
  <c r="G22" i="1"/>
  <c r="L21" i="1"/>
  <c r="J21" i="1"/>
  <c r="J25" i="1" s="1"/>
  <c r="G21" i="1"/>
  <c r="G20" i="1"/>
  <c r="G19" i="1"/>
  <c r="G18" i="1"/>
  <c r="P17" i="1"/>
  <c r="G17" i="1"/>
  <c r="G16" i="1"/>
  <c r="M13" i="1"/>
  <c r="L13" i="1"/>
  <c r="I13" i="1"/>
  <c r="E13" i="1"/>
  <c r="D13" i="1"/>
  <c r="B13" i="1"/>
  <c r="O12" i="1"/>
  <c r="H12" i="1"/>
  <c r="H13" i="1" s="1"/>
  <c r="G12" i="1"/>
  <c r="C12" i="1"/>
  <c r="F12" i="1" s="1"/>
  <c r="O11" i="1"/>
  <c r="G11" i="1"/>
  <c r="C11" i="1"/>
  <c r="F11" i="1" s="1"/>
  <c r="P10" i="1"/>
  <c r="O10" i="1"/>
  <c r="Q31" i="1" s="1"/>
  <c r="N10" i="1"/>
  <c r="J10" i="1"/>
  <c r="H10" i="1"/>
  <c r="G10" i="1"/>
  <c r="C10" i="1"/>
  <c r="F10" i="1" s="1"/>
  <c r="K10" i="1" s="1"/>
  <c r="B10" i="2" s="1"/>
  <c r="F10" i="2" s="1"/>
  <c r="O9" i="1"/>
  <c r="Q30" i="1" s="1"/>
  <c r="N9" i="1"/>
  <c r="P9" i="1" s="1"/>
  <c r="H9" i="1"/>
  <c r="C9" i="1"/>
  <c r="F9" i="1" s="1"/>
  <c r="P8" i="1"/>
  <c r="N8" i="1"/>
  <c r="J8" i="1"/>
  <c r="C8" i="1"/>
  <c r="F8" i="1" s="1"/>
  <c r="K8" i="1" s="1"/>
  <c r="O7" i="1"/>
  <c r="G7" i="1"/>
  <c r="O4" i="1"/>
  <c r="O3" i="1"/>
  <c r="P22" i="1" l="1"/>
  <c r="L25" i="1"/>
  <c r="N11" i="2"/>
  <c r="P11" i="2" s="1"/>
  <c r="J11" i="2"/>
  <c r="H48" i="2"/>
  <c r="H41" i="1"/>
  <c r="J12" i="2"/>
  <c r="N12" i="2"/>
  <c r="P12" i="2" s="1"/>
  <c r="N10" i="5"/>
  <c r="P10" i="5" s="1"/>
  <c r="J10" i="5"/>
  <c r="Q8" i="1"/>
  <c r="S29" i="1" s="1"/>
  <c r="B8" i="2"/>
  <c r="F8" i="2" s="1"/>
  <c r="K8" i="2" s="1"/>
  <c r="B9" i="2"/>
  <c r="F9" i="2" s="1"/>
  <c r="Q9" i="1"/>
  <c r="S30" i="1" s="1"/>
  <c r="F7" i="1"/>
  <c r="C13" i="1"/>
  <c r="J9" i="2"/>
  <c r="J13" i="2" s="1"/>
  <c r="G13" i="2"/>
  <c r="O16" i="2" s="1"/>
  <c r="N9" i="2"/>
  <c r="P9" i="2" s="1"/>
  <c r="J10" i="9"/>
  <c r="N10" i="9"/>
  <c r="P10" i="9" s="1"/>
  <c r="G13" i="9"/>
  <c r="O16" i="9" s="1"/>
  <c r="J7" i="17"/>
  <c r="G13" i="17"/>
  <c r="O16" i="17" s="1"/>
  <c r="N7" i="17"/>
  <c r="L22" i="17"/>
  <c r="Q30" i="17"/>
  <c r="H41" i="4"/>
  <c r="L22" i="7"/>
  <c r="P22" i="7" s="1"/>
  <c r="P7" i="7"/>
  <c r="B47" i="7"/>
  <c r="G12" i="7" s="1"/>
  <c r="D49" i="7"/>
  <c r="E50" i="7" s="1"/>
  <c r="J11" i="16"/>
  <c r="N11" i="16"/>
  <c r="P11" i="16" s="1"/>
  <c r="J7" i="1"/>
  <c r="J13" i="1" s="1"/>
  <c r="N7" i="1"/>
  <c r="B49" i="6"/>
  <c r="G9" i="6"/>
  <c r="G13" i="1"/>
  <c r="O16" i="1" s="1"/>
  <c r="J11" i="5"/>
  <c r="B49" i="5"/>
  <c r="J7" i="5"/>
  <c r="G13" i="5"/>
  <c r="O16" i="5" s="1"/>
  <c r="P7" i="4"/>
  <c r="P13" i="4" s="1"/>
  <c r="P16" i="4" s="1"/>
  <c r="J9" i="4"/>
  <c r="L13" i="2"/>
  <c r="N12" i="3"/>
  <c r="P12" i="3" s="1"/>
  <c r="J12" i="3"/>
  <c r="G9" i="3"/>
  <c r="B49" i="4"/>
  <c r="Q30" i="9"/>
  <c r="L22" i="9"/>
  <c r="P22" i="9" s="1"/>
  <c r="N12" i="9"/>
  <c r="P12" i="9" s="1"/>
  <c r="J12" i="9"/>
  <c r="L49" i="10"/>
  <c r="I45" i="10"/>
  <c r="N7" i="13"/>
  <c r="G9" i="13"/>
  <c r="B49" i="13"/>
  <c r="J11" i="14"/>
  <c r="N12" i="5"/>
  <c r="P12" i="5" s="1"/>
  <c r="P24" i="13"/>
  <c r="J25" i="13"/>
  <c r="N11" i="1"/>
  <c r="P11" i="1" s="1"/>
  <c r="J11" i="1"/>
  <c r="K11" i="1" s="1"/>
  <c r="L22" i="4"/>
  <c r="P22" i="4" s="1"/>
  <c r="Q33" i="4"/>
  <c r="N10" i="3"/>
  <c r="P10" i="3" s="1"/>
  <c r="J10" i="3"/>
  <c r="L40" i="6"/>
  <c r="J11" i="11"/>
  <c r="B41" i="3"/>
  <c r="H48" i="3"/>
  <c r="P17" i="3"/>
  <c r="H41" i="5"/>
  <c r="L13" i="6"/>
  <c r="G9" i="7"/>
  <c r="H13" i="11"/>
  <c r="G9" i="11"/>
  <c r="Q33" i="19"/>
  <c r="L22" i="19"/>
  <c r="P22" i="19" s="1"/>
  <c r="N12" i="1"/>
  <c r="P12" i="1" s="1"/>
  <c r="J12" i="1"/>
  <c r="K12" i="1" s="1"/>
  <c r="C13" i="2"/>
  <c r="B41" i="5"/>
  <c r="P17" i="5"/>
  <c r="N10" i="6"/>
  <c r="P10" i="6" s="1"/>
  <c r="J10" i="6"/>
  <c r="G33" i="8"/>
  <c r="P23" i="8" s="1"/>
  <c r="B41" i="10"/>
  <c r="N9" i="14"/>
  <c r="P9" i="14" s="1"/>
  <c r="J9" i="14"/>
  <c r="L22" i="3"/>
  <c r="P22" i="3" s="1"/>
  <c r="G26" i="1"/>
  <c r="G33" i="1" s="1"/>
  <c r="P23" i="1" s="1"/>
  <c r="H48" i="1" s="1"/>
  <c r="P7" i="2"/>
  <c r="P13" i="2" s="1"/>
  <c r="P16" i="2" s="1"/>
  <c r="P25" i="2" s="1"/>
  <c r="L41" i="2" s="1"/>
  <c r="J10" i="2"/>
  <c r="K10" i="2" s="1"/>
  <c r="I47" i="2"/>
  <c r="J7" i="3"/>
  <c r="N7" i="3"/>
  <c r="G33" i="3"/>
  <c r="P23" i="3" s="1"/>
  <c r="J10" i="4"/>
  <c r="H41" i="12"/>
  <c r="J12" i="15"/>
  <c r="H41" i="20"/>
  <c r="H41" i="6"/>
  <c r="H13" i="2"/>
  <c r="G33" i="6"/>
  <c r="P23" i="6" s="1"/>
  <c r="H48" i="6" s="1"/>
  <c r="I47" i="6"/>
  <c r="Q30" i="12"/>
  <c r="L22" i="12"/>
  <c r="P22" i="12" s="1"/>
  <c r="P7" i="5"/>
  <c r="N13" i="5"/>
  <c r="N9" i="5"/>
  <c r="P9" i="5" s="1"/>
  <c r="J9" i="5"/>
  <c r="Q33" i="5"/>
  <c r="L22" i="5"/>
  <c r="N7" i="6"/>
  <c r="J7" i="6"/>
  <c r="P22" i="2"/>
  <c r="L25" i="2"/>
  <c r="G9" i="10"/>
  <c r="B49" i="10"/>
  <c r="Q10" i="1"/>
  <c r="S31" i="1" s="1"/>
  <c r="B49" i="1"/>
  <c r="H41" i="3"/>
  <c r="J13" i="4"/>
  <c r="G33" i="4"/>
  <c r="P23" i="4" s="1"/>
  <c r="H48" i="4" s="1"/>
  <c r="L22" i="6"/>
  <c r="P22" i="6" s="1"/>
  <c r="N10" i="7"/>
  <c r="P10" i="7" s="1"/>
  <c r="J10" i="7"/>
  <c r="P17" i="10"/>
  <c r="P17" i="17"/>
  <c r="B41" i="17"/>
  <c r="H41" i="9"/>
  <c r="N11" i="10"/>
  <c r="P11" i="10" s="1"/>
  <c r="J11" i="10"/>
  <c r="D49" i="5"/>
  <c r="E50" i="5" s="1"/>
  <c r="I47" i="7"/>
  <c r="N11" i="9"/>
  <c r="P11" i="9" s="1"/>
  <c r="J11" i="9"/>
  <c r="L22" i="15"/>
  <c r="P22" i="15" s="1"/>
  <c r="H48" i="15" s="1"/>
  <c r="B49" i="16"/>
  <c r="G9" i="16"/>
  <c r="G33" i="18"/>
  <c r="P23" i="18" s="1"/>
  <c r="H48" i="18" s="1"/>
  <c r="L25" i="12"/>
  <c r="N7" i="9"/>
  <c r="J7" i="9"/>
  <c r="L13" i="8"/>
  <c r="L13" i="9"/>
  <c r="I47" i="11"/>
  <c r="L49" i="11"/>
  <c r="J12" i="12"/>
  <c r="N10" i="14"/>
  <c r="P10" i="14" s="1"/>
  <c r="J10" i="14"/>
  <c r="N10" i="22"/>
  <c r="P10" i="22" s="1"/>
  <c r="J10" i="22"/>
  <c r="C13" i="12"/>
  <c r="I47" i="18"/>
  <c r="L49" i="18"/>
  <c r="L25" i="22"/>
  <c r="J11" i="3"/>
  <c r="G33" i="5"/>
  <c r="P23" i="5" s="1"/>
  <c r="B41" i="6"/>
  <c r="L25" i="7"/>
  <c r="L49" i="3"/>
  <c r="H49" i="5"/>
  <c r="O39" i="7"/>
  <c r="O41" i="7" s="1"/>
  <c r="H48" i="7"/>
  <c r="L49" i="7"/>
  <c r="P7" i="8"/>
  <c r="L25" i="9"/>
  <c r="J7" i="11"/>
  <c r="L25" i="13"/>
  <c r="G9" i="15"/>
  <c r="B49" i="15"/>
  <c r="N10" i="16"/>
  <c r="P10" i="16" s="1"/>
  <c r="L49" i="8"/>
  <c r="J10" i="11"/>
  <c r="N10" i="11"/>
  <c r="P10" i="11" s="1"/>
  <c r="H41" i="22"/>
  <c r="G13" i="4"/>
  <c r="O16" i="4" s="1"/>
  <c r="H13" i="6"/>
  <c r="P24" i="7"/>
  <c r="L13" i="11"/>
  <c r="G33" i="12"/>
  <c r="P23" i="12" s="1"/>
  <c r="J12" i="11"/>
  <c r="N12" i="11"/>
  <c r="P12" i="11" s="1"/>
  <c r="H41" i="13"/>
  <c r="B49" i="2"/>
  <c r="G12" i="6"/>
  <c r="G33" i="7"/>
  <c r="P23" i="7" s="1"/>
  <c r="N9" i="9"/>
  <c r="P9" i="9" s="1"/>
  <c r="G33" i="9"/>
  <c r="P23" i="9" s="1"/>
  <c r="H48" i="9" s="1"/>
  <c r="L22" i="11"/>
  <c r="Q33" i="11"/>
  <c r="G12" i="16"/>
  <c r="H13" i="16"/>
  <c r="J11" i="17"/>
  <c r="N11" i="17"/>
  <c r="P11" i="17" s="1"/>
  <c r="N11" i="15"/>
  <c r="P11" i="15" s="1"/>
  <c r="J11" i="15"/>
  <c r="C13" i="16"/>
  <c r="G13" i="19"/>
  <c r="O16" i="19" s="1"/>
  <c r="N7" i="19"/>
  <c r="J7" i="19"/>
  <c r="B41" i="4"/>
  <c r="G9" i="8"/>
  <c r="B49" i="8"/>
  <c r="L22" i="10"/>
  <c r="G26" i="10"/>
  <c r="G33" i="10" s="1"/>
  <c r="P23" i="10" s="1"/>
  <c r="G33" i="13"/>
  <c r="P23" i="13" s="1"/>
  <c r="H48" i="13" s="1"/>
  <c r="G10" i="13"/>
  <c r="H41" i="15"/>
  <c r="L22" i="8"/>
  <c r="H41" i="10"/>
  <c r="B41" i="11"/>
  <c r="P17" i="11"/>
  <c r="L13" i="12"/>
  <c r="H13" i="13"/>
  <c r="P17" i="13"/>
  <c r="B41" i="13"/>
  <c r="G33" i="14"/>
  <c r="P23" i="14" s="1"/>
  <c r="H48" i="14" s="1"/>
  <c r="L13" i="7"/>
  <c r="G10" i="8"/>
  <c r="G9" i="12"/>
  <c r="J7" i="14"/>
  <c r="N7" i="14"/>
  <c r="C13" i="19"/>
  <c r="B49" i="9"/>
  <c r="Q30" i="13"/>
  <c r="J11" i="13"/>
  <c r="L22" i="16"/>
  <c r="P22" i="16" s="1"/>
  <c r="J10" i="17"/>
  <c r="B41" i="19"/>
  <c r="P17" i="19"/>
  <c r="I47" i="12"/>
  <c r="L49" i="12"/>
  <c r="B49" i="14"/>
  <c r="G33" i="16"/>
  <c r="P23" i="16" s="1"/>
  <c r="N7" i="18"/>
  <c r="G13" i="18"/>
  <c r="O16" i="18" s="1"/>
  <c r="J7" i="18"/>
  <c r="J13" i="18" s="1"/>
  <c r="L22" i="21"/>
  <c r="P22" i="21" s="1"/>
  <c r="H48" i="21" s="1"/>
  <c r="Q33" i="21"/>
  <c r="L25" i="14"/>
  <c r="C13" i="17"/>
  <c r="G9" i="19"/>
  <c r="P9" i="17"/>
  <c r="G12" i="17"/>
  <c r="O41" i="18"/>
  <c r="Q30" i="8"/>
  <c r="G10" i="12"/>
  <c r="N10" i="15"/>
  <c r="P10" i="15" s="1"/>
  <c r="J10" i="15"/>
  <c r="H41" i="17"/>
  <c r="L22" i="18"/>
  <c r="P22" i="18" s="1"/>
  <c r="Q33" i="18"/>
  <c r="N12" i="19"/>
  <c r="P12" i="19" s="1"/>
  <c r="J12" i="19"/>
  <c r="P18" i="15"/>
  <c r="B41" i="15"/>
  <c r="H48" i="16"/>
  <c r="H41" i="18"/>
  <c r="N12" i="18"/>
  <c r="P12" i="18" s="1"/>
  <c r="J12" i="18"/>
  <c r="G33" i="19"/>
  <c r="P23" i="19" s="1"/>
  <c r="H48" i="19" s="1"/>
  <c r="L13" i="20"/>
  <c r="J11" i="20"/>
  <c r="N11" i="20"/>
  <c r="P11" i="20" s="1"/>
  <c r="B49" i="20"/>
  <c r="H48" i="22"/>
  <c r="N11" i="21"/>
  <c r="P11" i="21" s="1"/>
  <c r="J11" i="21"/>
  <c r="J13" i="21" s="1"/>
  <c r="N12" i="22"/>
  <c r="P12" i="22" s="1"/>
  <c r="J12" i="22"/>
  <c r="B41" i="14"/>
  <c r="H48" i="20"/>
  <c r="J10" i="20"/>
  <c r="N10" i="20"/>
  <c r="P10" i="20" s="1"/>
  <c r="N12" i="21"/>
  <c r="P12" i="21" s="1"/>
  <c r="J12" i="21"/>
  <c r="L25" i="19"/>
  <c r="G13" i="16"/>
  <c r="O16" i="16" s="1"/>
  <c r="N7" i="16"/>
  <c r="B49" i="17"/>
  <c r="L25" i="20"/>
  <c r="J12" i="20"/>
  <c r="N12" i="20"/>
  <c r="P12" i="20" s="1"/>
  <c r="G33" i="21"/>
  <c r="P23" i="21" s="1"/>
  <c r="N7" i="15"/>
  <c r="J7" i="15"/>
  <c r="G33" i="15"/>
  <c r="P23" i="15" s="1"/>
  <c r="N10" i="19"/>
  <c r="P10" i="19" s="1"/>
  <c r="I47" i="20"/>
  <c r="L49" i="13"/>
  <c r="O41" i="16"/>
  <c r="L25" i="18"/>
  <c r="N11" i="18"/>
  <c r="P11" i="18" s="1"/>
  <c r="J11" i="18"/>
  <c r="G33" i="20"/>
  <c r="P23" i="20" s="1"/>
  <c r="O41" i="21"/>
  <c r="B49" i="19"/>
  <c r="J7" i="20"/>
  <c r="L49" i="20"/>
  <c r="P7" i="22"/>
  <c r="N7" i="21"/>
  <c r="I47" i="21"/>
  <c r="G9" i="22"/>
  <c r="N7" i="20"/>
  <c r="G9" i="20"/>
  <c r="P18" i="22"/>
  <c r="I45" i="22"/>
  <c r="Q10" i="2" l="1"/>
  <c r="S31" i="2" s="1"/>
  <c r="B10" i="3"/>
  <c r="F10" i="3" s="1"/>
  <c r="K10" i="3" s="1"/>
  <c r="Q12" i="1"/>
  <c r="S33" i="1" s="1"/>
  <c r="B12" i="2"/>
  <c r="F12" i="2" s="1"/>
  <c r="K12" i="2" s="1"/>
  <c r="B11" i="2"/>
  <c r="F11" i="2" s="1"/>
  <c r="K11" i="2" s="1"/>
  <c r="Q11" i="1"/>
  <c r="S32" i="1" s="1"/>
  <c r="N10" i="13"/>
  <c r="P10" i="13" s="1"/>
  <c r="J10" i="13"/>
  <c r="P7" i="9"/>
  <c r="P13" i="9" s="1"/>
  <c r="P16" i="9" s="1"/>
  <c r="P25" i="9" s="1"/>
  <c r="L41" i="9" s="1"/>
  <c r="N13" i="9"/>
  <c r="J9" i="6"/>
  <c r="J13" i="6" s="1"/>
  <c r="N9" i="6"/>
  <c r="P9" i="6" s="1"/>
  <c r="P7" i="20"/>
  <c r="N9" i="3"/>
  <c r="P9" i="3" s="1"/>
  <c r="J9" i="3"/>
  <c r="P22" i="17"/>
  <c r="H48" i="17" s="1"/>
  <c r="L25" i="17"/>
  <c r="K7" i="1"/>
  <c r="F13" i="1"/>
  <c r="P7" i="21"/>
  <c r="P13" i="21" s="1"/>
  <c r="P16" i="21" s="1"/>
  <c r="P25" i="21" s="1"/>
  <c r="L41" i="21" s="1"/>
  <c r="N13" i="21"/>
  <c r="P22" i="10"/>
  <c r="H48" i="10" s="1"/>
  <c r="L25" i="10"/>
  <c r="N9" i="16"/>
  <c r="P9" i="16" s="1"/>
  <c r="J9" i="16"/>
  <c r="P7" i="16"/>
  <c r="J12" i="16"/>
  <c r="N12" i="16"/>
  <c r="P12" i="16" s="1"/>
  <c r="P13" i="5"/>
  <c r="P16" i="5" s="1"/>
  <c r="L25" i="4"/>
  <c r="N13" i="1"/>
  <c r="P7" i="1"/>
  <c r="P13" i="1" s="1"/>
  <c r="P16" i="1" s="1"/>
  <c r="P25" i="1" s="1"/>
  <c r="L41" i="1" s="1"/>
  <c r="P7" i="17"/>
  <c r="P13" i="17" s="1"/>
  <c r="P16" i="17" s="1"/>
  <c r="P25" i="17" s="1"/>
  <c r="L41" i="17" s="1"/>
  <c r="N9" i="13"/>
  <c r="P9" i="13" s="1"/>
  <c r="J9" i="13"/>
  <c r="K9" i="2"/>
  <c r="G13" i="10"/>
  <c r="O16" i="10" s="1"/>
  <c r="N9" i="10"/>
  <c r="J9" i="10"/>
  <c r="J13" i="10" s="1"/>
  <c r="G13" i="3"/>
  <c r="O16" i="3" s="1"/>
  <c r="J9" i="11"/>
  <c r="N9" i="11"/>
  <c r="G13" i="11"/>
  <c r="O16" i="11" s="1"/>
  <c r="N13" i="13"/>
  <c r="P7" i="13"/>
  <c r="L25" i="6"/>
  <c r="J12" i="6"/>
  <c r="N12" i="6"/>
  <c r="P12" i="6" s="1"/>
  <c r="N9" i="22"/>
  <c r="J9" i="22"/>
  <c r="J13" i="22" s="1"/>
  <c r="G13" i="22"/>
  <c r="O16" i="22" s="1"/>
  <c r="P7" i="14"/>
  <c r="P13" i="14" s="1"/>
  <c r="P16" i="14" s="1"/>
  <c r="P25" i="14" s="1"/>
  <c r="L41" i="14" s="1"/>
  <c r="N13" i="14"/>
  <c r="P7" i="3"/>
  <c r="P13" i="3" s="1"/>
  <c r="P16" i="3" s="1"/>
  <c r="P25" i="3" s="1"/>
  <c r="L41" i="3" s="1"/>
  <c r="N13" i="3"/>
  <c r="G13" i="13"/>
  <c r="O16" i="13" s="1"/>
  <c r="G13" i="6"/>
  <c r="O16" i="6" s="1"/>
  <c r="P7" i="15"/>
  <c r="J12" i="17"/>
  <c r="J13" i="17" s="1"/>
  <c r="N12" i="17"/>
  <c r="P12" i="17" s="1"/>
  <c r="J13" i="14"/>
  <c r="N13" i="19"/>
  <c r="P7" i="19"/>
  <c r="P13" i="19" s="1"/>
  <c r="P16" i="19" s="1"/>
  <c r="P25" i="19" s="1"/>
  <c r="L41" i="19" s="1"/>
  <c r="J13" i="11"/>
  <c r="J13" i="3"/>
  <c r="B49" i="7"/>
  <c r="P25" i="4"/>
  <c r="L41" i="4" s="1"/>
  <c r="B8" i="3"/>
  <c r="F8" i="3" s="1"/>
  <c r="K8" i="3" s="1"/>
  <c r="Q8" i="2"/>
  <c r="S29" i="2" s="1"/>
  <c r="N13" i="18"/>
  <c r="P7" i="18"/>
  <c r="P13" i="18" s="1"/>
  <c r="P16" i="18" s="1"/>
  <c r="P25" i="18" s="1"/>
  <c r="L41" i="18" s="1"/>
  <c r="N9" i="15"/>
  <c r="P9" i="15" s="1"/>
  <c r="J9" i="15"/>
  <c r="J13" i="15" s="1"/>
  <c r="G13" i="15"/>
  <c r="O16" i="15" s="1"/>
  <c r="L25" i="15"/>
  <c r="L25" i="16"/>
  <c r="N9" i="12"/>
  <c r="J9" i="12"/>
  <c r="G13" i="12"/>
  <c r="O16" i="12" s="1"/>
  <c r="N12" i="7"/>
  <c r="P12" i="7" s="1"/>
  <c r="J12" i="7"/>
  <c r="N9" i="7"/>
  <c r="J9" i="7"/>
  <c r="J13" i="7" s="1"/>
  <c r="G13" i="7"/>
  <c r="O16" i="7" s="1"/>
  <c r="J9" i="20"/>
  <c r="J13" i="20" s="1"/>
  <c r="N9" i="20"/>
  <c r="P9" i="20" s="1"/>
  <c r="G13" i="20"/>
  <c r="O16" i="20" s="1"/>
  <c r="J9" i="19"/>
  <c r="J13" i="19" s="1"/>
  <c r="N9" i="19"/>
  <c r="P9" i="19" s="1"/>
  <c r="L25" i="8"/>
  <c r="P22" i="8"/>
  <c r="H48" i="8" s="1"/>
  <c r="P7" i="6"/>
  <c r="J13" i="5"/>
  <c r="N10" i="12"/>
  <c r="P10" i="12" s="1"/>
  <c r="J10" i="12"/>
  <c r="J9" i="8"/>
  <c r="J13" i="8" s="1"/>
  <c r="G13" i="8"/>
  <c r="O16" i="8" s="1"/>
  <c r="N9" i="8"/>
  <c r="H48" i="12"/>
  <c r="P22" i="11"/>
  <c r="H48" i="11" s="1"/>
  <c r="L25" i="11"/>
  <c r="L25" i="21"/>
  <c r="J10" i="8"/>
  <c r="N10" i="8"/>
  <c r="P10" i="8" s="1"/>
  <c r="J13" i="9"/>
  <c r="L25" i="5"/>
  <c r="P22" i="5"/>
  <c r="H48" i="5" s="1"/>
  <c r="N13" i="2"/>
  <c r="L25" i="3"/>
  <c r="P9" i="22" l="1"/>
  <c r="P13" i="22" s="1"/>
  <c r="P16" i="22" s="1"/>
  <c r="P25" i="22" s="1"/>
  <c r="L41" i="22" s="1"/>
  <c r="N13" i="22"/>
  <c r="P9" i="10"/>
  <c r="P13" i="10" s="1"/>
  <c r="P16" i="10" s="1"/>
  <c r="P25" i="10" s="1"/>
  <c r="L41" i="10" s="1"/>
  <c r="N13" i="10"/>
  <c r="N13" i="6"/>
  <c r="P13" i="6"/>
  <c r="P16" i="6" s="1"/>
  <c r="P25" i="6" s="1"/>
  <c r="L41" i="6" s="1"/>
  <c r="P13" i="16"/>
  <c r="P16" i="16" s="1"/>
  <c r="P25" i="16" s="1"/>
  <c r="L41" i="16" s="1"/>
  <c r="Q11" i="2"/>
  <c r="S32" i="2" s="1"/>
  <c r="B11" i="3"/>
  <c r="F11" i="3" s="1"/>
  <c r="K11" i="3" s="1"/>
  <c r="P13" i="15"/>
  <c r="P16" i="15" s="1"/>
  <c r="P25" i="15" s="1"/>
  <c r="L41" i="15" s="1"/>
  <c r="Q9" i="2"/>
  <c r="S30" i="2" s="1"/>
  <c r="B9" i="3"/>
  <c r="F9" i="3" s="1"/>
  <c r="K9" i="3" s="1"/>
  <c r="N13" i="16"/>
  <c r="J13" i="12"/>
  <c r="Q8" i="3"/>
  <c r="S29" i="3" s="1"/>
  <c r="B8" i="4"/>
  <c r="F8" i="4" s="1"/>
  <c r="K8" i="4" s="1"/>
  <c r="J13" i="13"/>
  <c r="Q12" i="2"/>
  <c r="S33" i="2" s="1"/>
  <c r="B12" i="3"/>
  <c r="F12" i="3" s="1"/>
  <c r="K12" i="3" s="1"/>
  <c r="P9" i="11"/>
  <c r="P13" i="11" s="1"/>
  <c r="P16" i="11" s="1"/>
  <c r="P25" i="11" s="1"/>
  <c r="L41" i="11" s="1"/>
  <c r="N13" i="11"/>
  <c r="P9" i="7"/>
  <c r="P13" i="7" s="1"/>
  <c r="P16" i="7" s="1"/>
  <c r="P25" i="7" s="1"/>
  <c r="L41" i="7" s="1"/>
  <c r="N13" i="7"/>
  <c r="K13" i="1"/>
  <c r="Q7" i="1"/>
  <c r="B7" i="2"/>
  <c r="P9" i="8"/>
  <c r="P13" i="8" s="1"/>
  <c r="P16" i="8" s="1"/>
  <c r="P25" i="8" s="1"/>
  <c r="L41" i="8" s="1"/>
  <c r="N13" i="8"/>
  <c r="P9" i="12"/>
  <c r="P13" i="12" s="1"/>
  <c r="P16" i="12" s="1"/>
  <c r="P25" i="12" s="1"/>
  <c r="L41" i="12" s="1"/>
  <c r="N13" i="12"/>
  <c r="J13" i="16"/>
  <c r="P13" i="20"/>
  <c r="P16" i="20" s="1"/>
  <c r="P25" i="20" s="1"/>
  <c r="L41" i="20" s="1"/>
  <c r="P25" i="5"/>
  <c r="L41" i="5" s="1"/>
  <c r="N13" i="15"/>
  <c r="P13" i="13"/>
  <c r="P16" i="13" s="1"/>
  <c r="P25" i="13" s="1"/>
  <c r="L41" i="13" s="1"/>
  <c r="N13" i="17"/>
  <c r="N13" i="20"/>
  <c r="B10" i="4"/>
  <c r="F10" i="4" s="1"/>
  <c r="K10" i="4" s="1"/>
  <c r="Q10" i="3"/>
  <c r="S31" i="3" s="1"/>
  <c r="B9" i="4" l="1"/>
  <c r="F9" i="4" s="1"/>
  <c r="K9" i="4" s="1"/>
  <c r="Q9" i="3"/>
  <c r="S30" i="3" s="1"/>
  <c r="B11" i="4"/>
  <c r="F11" i="4" s="1"/>
  <c r="K11" i="4" s="1"/>
  <c r="Q11" i="3"/>
  <c r="S32" i="3" s="1"/>
  <c r="B12" i="4"/>
  <c r="F12" i="4" s="1"/>
  <c r="K12" i="4" s="1"/>
  <c r="Q12" i="3"/>
  <c r="S33" i="3" s="1"/>
  <c r="Q8" i="4"/>
  <c r="S29" i="4" s="1"/>
  <c r="B8" i="5"/>
  <c r="F8" i="5" s="1"/>
  <c r="K8" i="5" s="1"/>
  <c r="B10" i="5"/>
  <c r="F10" i="5" s="1"/>
  <c r="K10" i="5" s="1"/>
  <c r="Q10" i="4"/>
  <c r="S31" i="4" s="1"/>
  <c r="B13" i="2"/>
  <c r="F7" i="2"/>
  <c r="S28" i="1"/>
  <c r="Q17" i="1"/>
  <c r="Q8" i="5" l="1"/>
  <c r="S29" i="5" s="1"/>
  <c r="B8" i="6"/>
  <c r="F8" i="6" s="1"/>
  <c r="K8" i="6" s="1"/>
  <c r="Q10" i="5"/>
  <c r="S31" i="5" s="1"/>
  <c r="B10" i="6"/>
  <c r="F10" i="6" s="1"/>
  <c r="K10" i="6" s="1"/>
  <c r="B12" i="5"/>
  <c r="F12" i="5" s="1"/>
  <c r="K12" i="5" s="1"/>
  <c r="Q12" i="4"/>
  <c r="S33" i="4" s="1"/>
  <c r="B11" i="5"/>
  <c r="F11" i="5" s="1"/>
  <c r="K11" i="5" s="1"/>
  <c r="Q11" i="4"/>
  <c r="S32" i="4" s="1"/>
  <c r="K7" i="2"/>
  <c r="F13" i="2"/>
  <c r="Q9" i="4"/>
  <c r="S30" i="4" s="1"/>
  <c r="B9" i="5"/>
  <c r="F9" i="5" s="1"/>
  <c r="K9" i="5" s="1"/>
  <c r="Q9" i="5" l="1"/>
  <c r="S30" i="5" s="1"/>
  <c r="B9" i="6"/>
  <c r="F9" i="6" s="1"/>
  <c r="K9" i="6" s="1"/>
  <c r="K13" i="2"/>
  <c r="B7" i="3"/>
  <c r="Q7" i="2"/>
  <c r="Q11" i="5"/>
  <c r="S32" i="5" s="1"/>
  <c r="B11" i="6"/>
  <c r="F11" i="6" s="1"/>
  <c r="K11" i="6" s="1"/>
  <c r="Q12" i="5"/>
  <c r="S33" i="5" s="1"/>
  <c r="B12" i="6"/>
  <c r="F12" i="6" s="1"/>
  <c r="K12" i="6" s="1"/>
  <c r="B10" i="7"/>
  <c r="F10" i="7" s="1"/>
  <c r="K10" i="7" s="1"/>
  <c r="Q10" i="6"/>
  <c r="S31" i="6" s="1"/>
  <c r="Q8" i="6"/>
  <c r="S29" i="6" s="1"/>
  <c r="B8" i="7"/>
  <c r="F8" i="7" s="1"/>
  <c r="K8" i="7" s="1"/>
  <c r="Q11" i="6" l="1"/>
  <c r="S32" i="6" s="1"/>
  <c r="B11" i="7"/>
  <c r="F11" i="7" s="1"/>
  <c r="K11" i="7" s="1"/>
  <c r="Q12" i="6"/>
  <c r="S33" i="6" s="1"/>
  <c r="B12" i="7"/>
  <c r="F12" i="7" s="1"/>
  <c r="K12" i="7" s="1"/>
  <c r="F7" i="3"/>
  <c r="B13" i="3"/>
  <c r="S28" i="2"/>
  <c r="Q17" i="2"/>
  <c r="Q9" i="6"/>
  <c r="S30" i="6" s="1"/>
  <c r="B9" i="7"/>
  <c r="F9" i="7" s="1"/>
  <c r="K9" i="7" s="1"/>
  <c r="B10" i="8"/>
  <c r="F10" i="8" s="1"/>
  <c r="K10" i="8" s="1"/>
  <c r="Q10" i="7"/>
  <c r="S31" i="7" s="1"/>
  <c r="B8" i="8"/>
  <c r="F8" i="8" s="1"/>
  <c r="K8" i="8" s="1"/>
  <c r="Q8" i="7"/>
  <c r="S29" i="7" s="1"/>
  <c r="F13" i="3" l="1"/>
  <c r="K7" i="3"/>
  <c r="B9" i="8"/>
  <c r="F9" i="8" s="1"/>
  <c r="K9" i="8" s="1"/>
  <c r="Q9" i="7"/>
  <c r="S30" i="7" s="1"/>
  <c r="Q10" i="8"/>
  <c r="S31" i="8" s="1"/>
  <c r="B10" i="9"/>
  <c r="F10" i="9" s="1"/>
  <c r="K10" i="9" s="1"/>
  <c r="Q11" i="7"/>
  <c r="S32" i="7" s="1"/>
  <c r="B11" i="8"/>
  <c r="F11" i="8" s="1"/>
  <c r="K11" i="8" s="1"/>
  <c r="B12" i="8"/>
  <c r="F12" i="8" s="1"/>
  <c r="K12" i="8" s="1"/>
  <c r="Q12" i="7"/>
  <c r="S33" i="7" s="1"/>
  <c r="Q8" i="8"/>
  <c r="S29" i="8" s="1"/>
  <c r="B8" i="9"/>
  <c r="F8" i="9" s="1"/>
  <c r="K8" i="9" s="1"/>
  <c r="B8" i="10" l="1"/>
  <c r="F8" i="10" s="1"/>
  <c r="K8" i="10" s="1"/>
  <c r="Q8" i="9"/>
  <c r="S29" i="9" s="1"/>
  <c r="B12" i="9"/>
  <c r="F12" i="9" s="1"/>
  <c r="K12" i="9" s="1"/>
  <c r="Q12" i="8"/>
  <c r="S33" i="8" s="1"/>
  <c r="B11" i="9"/>
  <c r="F11" i="9" s="1"/>
  <c r="K11" i="9" s="1"/>
  <c r="Q11" i="8"/>
  <c r="S32" i="8" s="1"/>
  <c r="B10" i="10"/>
  <c r="F10" i="10" s="1"/>
  <c r="K10" i="10" s="1"/>
  <c r="Q10" i="9"/>
  <c r="S31" i="9" s="1"/>
  <c r="B9" i="9"/>
  <c r="F9" i="9" s="1"/>
  <c r="K9" i="9" s="1"/>
  <c r="Q9" i="8"/>
  <c r="S30" i="8" s="1"/>
  <c r="K13" i="3"/>
  <c r="Q7" i="3"/>
  <c r="B7" i="4"/>
  <c r="B10" i="11" l="1"/>
  <c r="F10" i="11" s="1"/>
  <c r="K10" i="11" s="1"/>
  <c r="Q10" i="10"/>
  <c r="S31" i="10" s="1"/>
  <c r="Q11" i="9"/>
  <c r="S32" i="9" s="1"/>
  <c r="B11" i="10"/>
  <c r="F11" i="10" s="1"/>
  <c r="K11" i="10" s="1"/>
  <c r="Q17" i="3"/>
  <c r="S28" i="3"/>
  <c r="Q9" i="9"/>
  <c r="S30" i="9" s="1"/>
  <c r="B9" i="10"/>
  <c r="F9" i="10" s="1"/>
  <c r="K9" i="10" s="1"/>
  <c r="B12" i="10"/>
  <c r="F12" i="10" s="1"/>
  <c r="K12" i="10" s="1"/>
  <c r="Q12" i="9"/>
  <c r="S33" i="9" s="1"/>
  <c r="F7" i="4"/>
  <c r="B13" i="4"/>
  <c r="Q8" i="10"/>
  <c r="S29" i="10" s="1"/>
  <c r="B8" i="11"/>
  <c r="F8" i="11" s="1"/>
  <c r="K8" i="11" s="1"/>
  <c r="Q12" i="10" l="1"/>
  <c r="S33" i="10" s="1"/>
  <c r="B12" i="11"/>
  <c r="F12" i="11" s="1"/>
  <c r="K12" i="11" s="1"/>
  <c r="B9" i="11"/>
  <c r="F9" i="11" s="1"/>
  <c r="K9" i="11" s="1"/>
  <c r="Q9" i="10"/>
  <c r="S30" i="10" s="1"/>
  <c r="K7" i="4"/>
  <c r="F13" i="4"/>
  <c r="B11" i="11"/>
  <c r="F11" i="11" s="1"/>
  <c r="K11" i="11" s="1"/>
  <c r="Q11" i="10"/>
  <c r="S32" i="10" s="1"/>
  <c r="B8" i="12"/>
  <c r="F8" i="12" s="1"/>
  <c r="K8" i="12" s="1"/>
  <c r="Q8" i="11"/>
  <c r="S29" i="11" s="1"/>
  <c r="B10" i="12"/>
  <c r="F10" i="12" s="1"/>
  <c r="K10" i="12" s="1"/>
  <c r="Q10" i="11"/>
  <c r="S31" i="11" s="1"/>
  <c r="B11" i="12" l="1"/>
  <c r="F11" i="12" s="1"/>
  <c r="K11" i="12" s="1"/>
  <c r="Q11" i="11"/>
  <c r="S32" i="11" s="1"/>
  <c r="Q7" i="4"/>
  <c r="K13" i="4"/>
  <c r="B7" i="5"/>
  <c r="Q8" i="12"/>
  <c r="S29" i="12" s="1"/>
  <c r="B8" i="13"/>
  <c r="F8" i="13" s="1"/>
  <c r="K8" i="13" s="1"/>
  <c r="B9" i="12"/>
  <c r="F9" i="12" s="1"/>
  <c r="K9" i="12" s="1"/>
  <c r="Q9" i="11"/>
  <c r="S30" i="11" s="1"/>
  <c r="Q10" i="12"/>
  <c r="S31" i="12" s="1"/>
  <c r="B10" i="13"/>
  <c r="F10" i="13" s="1"/>
  <c r="K10" i="13" s="1"/>
  <c r="B12" i="12"/>
  <c r="F12" i="12" s="1"/>
  <c r="K12" i="12" s="1"/>
  <c r="Q12" i="11"/>
  <c r="S33" i="11" s="1"/>
  <c r="B12" i="13" l="1"/>
  <c r="F12" i="13" s="1"/>
  <c r="K12" i="13" s="1"/>
  <c r="Q12" i="12"/>
  <c r="S33" i="12" s="1"/>
  <c r="B10" i="14"/>
  <c r="F10" i="14" s="1"/>
  <c r="K10" i="14" s="1"/>
  <c r="Q10" i="13"/>
  <c r="S31" i="13" s="1"/>
  <c r="B9" i="13"/>
  <c r="F9" i="13" s="1"/>
  <c r="K9" i="13" s="1"/>
  <c r="Q9" i="12"/>
  <c r="S30" i="12" s="1"/>
  <c r="B8" i="14"/>
  <c r="F8" i="14" s="1"/>
  <c r="K8" i="14" s="1"/>
  <c r="Q8" i="13"/>
  <c r="S29" i="13" s="1"/>
  <c r="F7" i="5"/>
  <c r="B13" i="5"/>
  <c r="S28" i="4"/>
  <c r="Q17" i="4"/>
  <c r="B11" i="13"/>
  <c r="F11" i="13" s="1"/>
  <c r="K11" i="13" s="1"/>
  <c r="Q11" i="12"/>
  <c r="S32" i="12" s="1"/>
  <c r="K7" i="5" l="1"/>
  <c r="F13" i="5"/>
  <c r="B8" i="15"/>
  <c r="F8" i="15" s="1"/>
  <c r="K8" i="15" s="1"/>
  <c r="Q8" i="14"/>
  <c r="S29" i="14" s="1"/>
  <c r="B9" i="14"/>
  <c r="F9" i="14" s="1"/>
  <c r="K9" i="14" s="1"/>
  <c r="Q9" i="13"/>
  <c r="S30" i="13" s="1"/>
  <c r="Q10" i="14"/>
  <c r="S31" i="14" s="1"/>
  <c r="B10" i="15"/>
  <c r="F10" i="15" s="1"/>
  <c r="K10" i="15" s="1"/>
  <c r="Q11" i="13"/>
  <c r="S32" i="13" s="1"/>
  <c r="B11" i="14"/>
  <c r="F11" i="14" s="1"/>
  <c r="K11" i="14" s="1"/>
  <c r="Q12" i="13"/>
  <c r="S33" i="13" s="1"/>
  <c r="B12" i="14"/>
  <c r="F12" i="14" s="1"/>
  <c r="K12" i="14" s="1"/>
  <c r="Q12" i="14" l="1"/>
  <c r="S33" i="14" s="1"/>
  <c r="B12" i="15"/>
  <c r="F12" i="15" s="1"/>
  <c r="K12" i="15" s="1"/>
  <c r="Q11" i="14"/>
  <c r="S32" i="14" s="1"/>
  <c r="B11" i="15"/>
  <c r="F11" i="15" s="1"/>
  <c r="K11" i="15" s="1"/>
  <c r="Q10" i="15"/>
  <c r="S31" i="15" s="1"/>
  <c r="B10" i="16"/>
  <c r="F10" i="16" s="1"/>
  <c r="K10" i="16" s="1"/>
  <c r="Q9" i="14"/>
  <c r="S30" i="14" s="1"/>
  <c r="B9" i="15"/>
  <c r="F9" i="15" s="1"/>
  <c r="K9" i="15" s="1"/>
  <c r="Q8" i="15"/>
  <c r="S29" i="15" s="1"/>
  <c r="B8" i="16"/>
  <c r="F8" i="16" s="1"/>
  <c r="K8" i="16" s="1"/>
  <c r="B7" i="6"/>
  <c r="K13" i="5"/>
  <c r="Q7" i="5"/>
  <c r="B13" i="6" l="1"/>
  <c r="F7" i="6"/>
  <c r="Q8" i="16"/>
  <c r="S29" i="16" s="1"/>
  <c r="B8" i="17"/>
  <c r="F8" i="17" s="1"/>
  <c r="K8" i="17" s="1"/>
  <c r="Q9" i="15"/>
  <c r="S30" i="15" s="1"/>
  <c r="B9" i="16"/>
  <c r="F9" i="16" s="1"/>
  <c r="K9" i="16" s="1"/>
  <c r="Q10" i="16"/>
  <c r="S31" i="16" s="1"/>
  <c r="B10" i="17"/>
  <c r="F10" i="17" s="1"/>
  <c r="K10" i="17" s="1"/>
  <c r="B11" i="16"/>
  <c r="F11" i="16" s="1"/>
  <c r="K11" i="16" s="1"/>
  <c r="Q11" i="15"/>
  <c r="S32" i="15" s="1"/>
  <c r="B12" i="16"/>
  <c r="F12" i="16" s="1"/>
  <c r="K12" i="16" s="1"/>
  <c r="Q12" i="15"/>
  <c r="S33" i="15" s="1"/>
  <c r="S28" i="5"/>
  <c r="Q17" i="5"/>
  <c r="B12" i="17" l="1"/>
  <c r="F12" i="17" s="1"/>
  <c r="K12" i="17" s="1"/>
  <c r="Q12" i="16"/>
  <c r="S33" i="16" s="1"/>
  <c r="B11" i="17"/>
  <c r="F11" i="17" s="1"/>
  <c r="K11" i="17" s="1"/>
  <c r="Q11" i="16"/>
  <c r="S32" i="16" s="1"/>
  <c r="B10" i="18"/>
  <c r="F10" i="18" s="1"/>
  <c r="K10" i="18" s="1"/>
  <c r="Q10" i="17"/>
  <c r="S31" i="17" s="1"/>
  <c r="Q9" i="16"/>
  <c r="S30" i="16" s="1"/>
  <c r="B9" i="17"/>
  <c r="F9" i="17" s="1"/>
  <c r="K9" i="17" s="1"/>
  <c r="B8" i="18"/>
  <c r="F8" i="18" s="1"/>
  <c r="K8" i="18" s="1"/>
  <c r="Q8" i="17"/>
  <c r="S29" i="17" s="1"/>
  <c r="F13" i="6"/>
  <c r="K7" i="6"/>
  <c r="Q7" i="6" l="1"/>
  <c r="B7" i="7"/>
  <c r="K13" i="6"/>
  <c r="B8" i="19"/>
  <c r="F8" i="19" s="1"/>
  <c r="K8" i="19" s="1"/>
  <c r="Q8" i="18"/>
  <c r="S29" i="18" s="1"/>
  <c r="B9" i="18"/>
  <c r="F9" i="18" s="1"/>
  <c r="K9" i="18" s="1"/>
  <c r="Q9" i="17"/>
  <c r="S30" i="17" s="1"/>
  <c r="Q10" i="18"/>
  <c r="S31" i="18" s="1"/>
  <c r="B10" i="19"/>
  <c r="F10" i="19" s="1"/>
  <c r="K10" i="19" s="1"/>
  <c r="Q11" i="17"/>
  <c r="S32" i="17" s="1"/>
  <c r="B11" i="18"/>
  <c r="F11" i="18" s="1"/>
  <c r="K11" i="18" s="1"/>
  <c r="B12" i="18"/>
  <c r="F12" i="18" s="1"/>
  <c r="K12" i="18" s="1"/>
  <c r="Q12" i="17"/>
  <c r="S33" i="17" s="1"/>
  <c r="B12" i="19" l="1"/>
  <c r="F12" i="19" s="1"/>
  <c r="K12" i="19" s="1"/>
  <c r="Q12" i="18"/>
  <c r="S33" i="18" s="1"/>
  <c r="B11" i="19"/>
  <c r="F11" i="19" s="1"/>
  <c r="K11" i="19" s="1"/>
  <c r="Q11" i="18"/>
  <c r="S32" i="18" s="1"/>
  <c r="B10" i="20"/>
  <c r="F10" i="20" s="1"/>
  <c r="K10" i="20" s="1"/>
  <c r="Q10" i="19"/>
  <c r="S31" i="19" s="1"/>
  <c r="Q9" i="18"/>
  <c r="S30" i="18" s="1"/>
  <c r="B9" i="19"/>
  <c r="F9" i="19" s="1"/>
  <c r="K9" i="19" s="1"/>
  <c r="B8" i="20"/>
  <c r="F8" i="20" s="1"/>
  <c r="K8" i="20" s="1"/>
  <c r="Q8" i="19"/>
  <c r="S29" i="19" s="1"/>
  <c r="B13" i="7"/>
  <c r="F7" i="7"/>
  <c r="S28" i="6"/>
  <c r="Q17" i="6"/>
  <c r="K7" i="7" l="1"/>
  <c r="F13" i="7"/>
  <c r="B8" i="21"/>
  <c r="F8" i="21" s="1"/>
  <c r="K8" i="21" s="1"/>
  <c r="Q8" i="20"/>
  <c r="S29" i="20" s="1"/>
  <c r="B9" i="20"/>
  <c r="F9" i="20" s="1"/>
  <c r="K9" i="20" s="1"/>
  <c r="Q9" i="19"/>
  <c r="S30" i="19" s="1"/>
  <c r="Q10" i="20"/>
  <c r="S31" i="20" s="1"/>
  <c r="B10" i="21"/>
  <c r="F10" i="21" s="1"/>
  <c r="K10" i="21" s="1"/>
  <c r="B11" i="20"/>
  <c r="F11" i="20" s="1"/>
  <c r="K11" i="20" s="1"/>
  <c r="Q11" i="19"/>
  <c r="S32" i="19" s="1"/>
  <c r="Q12" i="19"/>
  <c r="S33" i="19" s="1"/>
  <c r="B12" i="20"/>
  <c r="F12" i="20" s="1"/>
  <c r="K12" i="20" s="1"/>
  <c r="B12" i="21" l="1"/>
  <c r="F12" i="21" s="1"/>
  <c r="K12" i="21" s="1"/>
  <c r="Q12" i="20"/>
  <c r="S33" i="20" s="1"/>
  <c r="Q11" i="20"/>
  <c r="S32" i="20" s="1"/>
  <c r="B11" i="21"/>
  <c r="F11" i="21" s="1"/>
  <c r="K11" i="21" s="1"/>
  <c r="Q10" i="21"/>
  <c r="S31" i="21" s="1"/>
  <c r="B10" i="22"/>
  <c r="F10" i="22" s="1"/>
  <c r="K10" i="22" s="1"/>
  <c r="Q10" i="22" s="1"/>
  <c r="S31" i="22" s="1"/>
  <c r="Q9" i="20"/>
  <c r="S30" i="20" s="1"/>
  <c r="B9" i="21"/>
  <c r="F9" i="21" s="1"/>
  <c r="K9" i="21" s="1"/>
  <c r="B8" i="22"/>
  <c r="F8" i="22" s="1"/>
  <c r="K8" i="22" s="1"/>
  <c r="Q8" i="22" s="1"/>
  <c r="S29" i="22" s="1"/>
  <c r="Q8" i="21"/>
  <c r="S29" i="21" s="1"/>
  <c r="Q7" i="7"/>
  <c r="K13" i="7"/>
  <c r="B7" i="8"/>
  <c r="S28" i="7" l="1"/>
  <c r="Q17" i="7"/>
  <c r="Q9" i="21"/>
  <c r="S30" i="21" s="1"/>
  <c r="B9" i="22"/>
  <c r="F9" i="22" s="1"/>
  <c r="K9" i="22" s="1"/>
  <c r="Q9" i="22" s="1"/>
  <c r="S30" i="22" s="1"/>
  <c r="Q11" i="21"/>
  <c r="S32" i="21" s="1"/>
  <c r="B11" i="22"/>
  <c r="F11" i="22" s="1"/>
  <c r="K11" i="22" s="1"/>
  <c r="Q11" i="22" s="1"/>
  <c r="S32" i="22" s="1"/>
  <c r="B13" i="8"/>
  <c r="F7" i="8"/>
  <c r="B12" i="22"/>
  <c r="F12" i="22" s="1"/>
  <c r="K12" i="22" s="1"/>
  <c r="Q12" i="22" s="1"/>
  <c r="S33" i="22" s="1"/>
  <c r="Q12" i="21"/>
  <c r="S33" i="21" s="1"/>
  <c r="F13" i="8" l="1"/>
  <c r="K7" i="8"/>
  <c r="Q7" i="8" l="1"/>
  <c r="B7" i="9"/>
  <c r="K13" i="8"/>
  <c r="F7" i="9" l="1"/>
  <c r="B13" i="9"/>
  <c r="S28" i="8"/>
  <c r="Q17" i="8"/>
  <c r="K7" i="9" l="1"/>
  <c r="F13" i="9"/>
  <c r="K13" i="9" l="1"/>
  <c r="Q7" i="9"/>
  <c r="B7" i="10"/>
  <c r="F7" i="10" l="1"/>
  <c r="B13" i="10"/>
  <c r="S28" i="9"/>
  <c r="Q17" i="9"/>
  <c r="F13" i="10" l="1"/>
  <c r="K7" i="10"/>
  <c r="B7" i="11" l="1"/>
  <c r="K13" i="10"/>
  <c r="Q7" i="10"/>
  <c r="F7" i="11" l="1"/>
  <c r="B13" i="11"/>
  <c r="S28" i="10"/>
  <c r="Q17" i="10"/>
  <c r="K7" i="11" l="1"/>
  <c r="F13" i="11"/>
  <c r="K13" i="11" l="1"/>
  <c r="B7" i="12"/>
  <c r="Q7" i="11"/>
  <c r="S28" i="11" l="1"/>
  <c r="Q17" i="11"/>
  <c r="B13" i="12"/>
  <c r="F7" i="12"/>
  <c r="F13" i="12" l="1"/>
  <c r="K7" i="12"/>
  <c r="K13" i="12" l="1"/>
  <c r="B7" i="13"/>
  <c r="Q7" i="12"/>
  <c r="S28" i="12" l="1"/>
  <c r="Q17" i="12"/>
  <c r="F7" i="13"/>
  <c r="B13" i="13"/>
  <c r="K7" i="13" l="1"/>
  <c r="F13" i="13"/>
  <c r="K13" i="13" l="1"/>
  <c r="Q7" i="13"/>
  <c r="B7" i="14"/>
  <c r="B13" i="14" l="1"/>
  <c r="F7" i="14"/>
  <c r="S28" i="13"/>
  <c r="Q17" i="13"/>
  <c r="F13" i="14" l="1"/>
  <c r="K7" i="14"/>
  <c r="K13" i="14" l="1"/>
  <c r="Q7" i="14"/>
  <c r="B7" i="15"/>
  <c r="S28" i="14" l="1"/>
  <c r="Q17" i="14"/>
  <c r="B13" i="15"/>
  <c r="F7" i="15"/>
  <c r="F13" i="15" l="1"/>
  <c r="K7" i="15"/>
  <c r="B7" i="16" l="1"/>
  <c r="K13" i="15"/>
  <c r="Q7" i="15"/>
  <c r="S28" i="15" l="1"/>
  <c r="Q17" i="15"/>
  <c r="F7" i="16"/>
  <c r="B13" i="16"/>
  <c r="K7" i="16" l="1"/>
  <c r="F13" i="16"/>
  <c r="B7" i="17" l="1"/>
  <c r="Q7" i="16"/>
  <c r="K13" i="16"/>
  <c r="Q17" i="16" l="1"/>
  <c r="S28" i="16"/>
  <c r="F7" i="17"/>
  <c r="B13" i="17"/>
  <c r="K7" i="17" l="1"/>
  <c r="F13" i="17"/>
  <c r="K13" i="17" l="1"/>
  <c r="B7" i="18"/>
  <c r="Q7" i="17"/>
  <c r="S28" i="17" l="1"/>
  <c r="Q17" i="17"/>
  <c r="B13" i="18"/>
  <c r="F7" i="18"/>
  <c r="K7" i="18" l="1"/>
  <c r="F13" i="18"/>
  <c r="B7" i="19" l="1"/>
  <c r="K13" i="18"/>
  <c r="Q7" i="18"/>
  <c r="Q17" i="18" l="1"/>
  <c r="S28" i="18"/>
  <c r="F7" i="19"/>
  <c r="B13" i="19"/>
  <c r="F13" i="19" l="1"/>
  <c r="K7" i="19"/>
  <c r="B7" i="20" l="1"/>
  <c r="Q7" i="19"/>
  <c r="K13" i="19"/>
  <c r="S28" i="19" l="1"/>
  <c r="Q17" i="19"/>
  <c r="B13" i="20"/>
  <c r="F7" i="20"/>
  <c r="F13" i="20" l="1"/>
  <c r="K7" i="20"/>
  <c r="B7" i="21" l="1"/>
  <c r="Q7" i="20"/>
  <c r="K13" i="20"/>
  <c r="S28" i="20" l="1"/>
  <c r="Q17" i="20"/>
  <c r="F7" i="21"/>
  <c r="B13" i="21"/>
  <c r="F13" i="21" l="1"/>
  <c r="K7" i="21"/>
  <c r="Q7" i="21" l="1"/>
  <c r="B7" i="22"/>
  <c r="K13" i="21"/>
  <c r="B13" i="22" l="1"/>
  <c r="F7" i="22"/>
  <c r="Q17" i="21"/>
  <c r="S28" i="21"/>
  <c r="K7" i="22" l="1"/>
  <c r="F13" i="22"/>
  <c r="K13" i="22" l="1"/>
  <c r="Q7" i="22"/>
  <c r="S28" i="22" l="1"/>
  <c r="Q1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sharedStrings.xml><?xml version="1.0" encoding="utf-8"?>
<sst xmlns="http://schemas.openxmlformats.org/spreadsheetml/2006/main" count="5127" uniqueCount="174">
  <si>
    <t>GLP</t>
  </si>
  <si>
    <t>DB-5</t>
  </si>
  <si>
    <t>009134209830219037-88</t>
  </si>
  <si>
    <t>LIMA</t>
  </si>
  <si>
    <t>G</t>
  </si>
  <si>
    <t>CCI = 009-134-209830219037-88</t>
  </si>
  <si>
    <t>NORTE</t>
  </si>
  <si>
    <t>L</t>
  </si>
  <si>
    <t>983-0219037</t>
  </si>
  <si>
    <t>CTA. AHORROS =</t>
  </si>
  <si>
    <t xml:space="preserve"> </t>
  </si>
  <si>
    <t>factura</t>
  </si>
  <si>
    <t>SCOTIABANAK</t>
  </si>
  <si>
    <t>precio del galon</t>
  </si>
  <si>
    <t>litros</t>
  </si>
  <si>
    <t>REGULAR</t>
  </si>
  <si>
    <t>MULTISERVICIOS ECO GAS SAC</t>
  </si>
  <si>
    <t>galones</t>
  </si>
  <si>
    <t>peso</t>
  </si>
  <si>
    <t>PREMIUM</t>
  </si>
  <si>
    <t>DESCARGA GLP</t>
  </si>
  <si>
    <t xml:space="preserve">SOLES </t>
  </si>
  <si>
    <t>PRECIO</t>
  </si>
  <si>
    <t>GALNS</t>
  </si>
  <si>
    <t>PROD</t>
  </si>
  <si>
    <t>TOTAL</t>
  </si>
  <si>
    <t>DIFERENCIA</t>
  </si>
  <si>
    <t>SALDO</t>
  </si>
  <si>
    <t>total GRAL</t>
  </si>
  <si>
    <t>983-0219045</t>
  </si>
  <si>
    <t>PAGO</t>
  </si>
  <si>
    <t>TOT DET</t>
  </si>
  <si>
    <t>LIQUIDOS</t>
  </si>
  <si>
    <t>DEPOSITO 2</t>
  </si>
  <si>
    <t>CONSUMO</t>
  </si>
  <si>
    <t>DB5-S</t>
  </si>
  <si>
    <t>DEPOSITO A BANCO aL :</t>
  </si>
  <si>
    <t>DEPOSITO 1</t>
  </si>
  <si>
    <t xml:space="preserve">SALDO </t>
  </si>
  <si>
    <t>G-84</t>
  </si>
  <si>
    <t>IZIPAY (M)</t>
  </si>
  <si>
    <t>C Y M  SERVICENTROS</t>
  </si>
  <si>
    <t>G-90</t>
  </si>
  <si>
    <t>NIUBIZ (V)</t>
  </si>
  <si>
    <t>G-95</t>
  </si>
  <si>
    <t>OBSERVACIONES.-</t>
  </si>
  <si>
    <t>BANCO</t>
  </si>
  <si>
    <t>TOTAL DSCTO</t>
  </si>
  <si>
    <t>P. DSCTO</t>
  </si>
  <si>
    <t>TOTEM</t>
  </si>
  <si>
    <t>GLNS</t>
  </si>
  <si>
    <t>PRODUCTOS</t>
  </si>
  <si>
    <t xml:space="preserve">VENTA CON TARJETAS </t>
  </si>
  <si>
    <t>V CONDORI</t>
  </si>
  <si>
    <t>ABAST glp</t>
  </si>
  <si>
    <t>B</t>
  </si>
  <si>
    <t>ESTEBAN DC</t>
  </si>
  <si>
    <t>ABAST L</t>
  </si>
  <si>
    <t>DB5 S50 UV</t>
  </si>
  <si>
    <t>ESPECIAL</t>
  </si>
  <si>
    <t>CORPORACION AGREDA</t>
  </si>
  <si>
    <t>COCAPE</t>
  </si>
  <si>
    <t>G-90 P</t>
  </si>
  <si>
    <t>CHARITO SEBASTIAN MILSEN</t>
  </si>
  <si>
    <t>J LUICHO</t>
  </si>
  <si>
    <t xml:space="preserve">GISSELA JUAREZ </t>
  </si>
  <si>
    <t xml:space="preserve">GLP </t>
  </si>
  <si>
    <t>G-REGULAR</t>
  </si>
  <si>
    <t>OBSERVACION</t>
  </si>
  <si>
    <t>HORA/CHOFER</t>
  </si>
  <si>
    <t>PLACA</t>
  </si>
  <si>
    <t>GUIA/FACT</t>
  </si>
  <si>
    <t>CANT.</t>
  </si>
  <si>
    <t>COMB.</t>
  </si>
  <si>
    <t>G-PREMIUM</t>
  </si>
  <si>
    <t>INFORMACION RECEPCION COMBUSTIBLES</t>
  </si>
  <si>
    <t>OBRAS CIVILES</t>
  </si>
  <si>
    <t>492-2677/85</t>
  </si>
  <si>
    <t>TOTAL VENTA DEPOSITAR</t>
  </si>
  <si>
    <t>FELIPE IBAÑEZ E.</t>
  </si>
  <si>
    <t>CREDITOS CLIENTES ESPECIALES</t>
  </si>
  <si>
    <t>AGROPECUARIA LA ENCANTADA SAC</t>
  </si>
  <si>
    <t>DESCUENTO ESPECIAL</t>
  </si>
  <si>
    <t>DEP. RETENCION</t>
  </si>
  <si>
    <t>PANIFICADORA SANDOVAL</t>
  </si>
  <si>
    <t>CONSUMO DE PAGO ADELANTADOS</t>
  </si>
  <si>
    <t>TRANSPORTES DAYRON Y NICOL EIRL</t>
  </si>
  <si>
    <t>GISSELA JUAREZ</t>
  </si>
  <si>
    <t>REDCOL</t>
  </si>
  <si>
    <t>ALEX BELLO R.</t>
  </si>
  <si>
    <t>ERROR DE MAQUINAS LIQ</t>
  </si>
  <si>
    <t>PAGO ADELANTADO (PADE)</t>
  </si>
  <si>
    <t>CREDITOS</t>
  </si>
  <si>
    <t xml:space="preserve">TARJETA </t>
  </si>
  <si>
    <t>BOLETAS           SERIE  012-</t>
  </si>
  <si>
    <t>SEGUNDO BARRIOS Q</t>
  </si>
  <si>
    <t>TOTAL VENTA</t>
  </si>
  <si>
    <t>FACTURAS            SERIE  012-</t>
  </si>
  <si>
    <t>CORPORACION HORIZINTE</t>
  </si>
  <si>
    <t>SOLES</t>
  </si>
  <si>
    <t>MODALIDAD</t>
  </si>
  <si>
    <t>HASTA</t>
  </si>
  <si>
    <t>DESDE</t>
  </si>
  <si>
    <t>DOCUMENTOS</t>
  </si>
  <si>
    <t>DOC. NRO.</t>
  </si>
  <si>
    <t>DESCUENTO</t>
  </si>
  <si>
    <t>CANT</t>
  </si>
  <si>
    <t>COMB</t>
  </si>
  <si>
    <t>TIPO VTA</t>
  </si>
  <si>
    <t>CLIENTE</t>
  </si>
  <si>
    <t xml:space="preserve">RESUMEN DEL EFECTIVO </t>
  </si>
  <si>
    <t>DOCUMENTACIÓN CONTABLE</t>
  </si>
  <si>
    <t>VENTAS CONTADO ESPECIALES y Otros</t>
  </si>
  <si>
    <t>DIF</t>
  </si>
  <si>
    <t>VENTA         SOLES</t>
  </si>
  <si>
    <t>PRECIO      VENTA</t>
  </si>
  <si>
    <t xml:space="preserve">  CANT .               GLNS</t>
  </si>
  <si>
    <t>FINAL</t>
  </si>
  <si>
    <t>INICIAL</t>
  </si>
  <si>
    <t>TOTAL SALIDA</t>
  </si>
  <si>
    <t>AJUSTE</t>
  </si>
  <si>
    <t>PRUEBA SURTIDOR</t>
  </si>
  <si>
    <t>TOTAL VENTAS</t>
  </si>
  <si>
    <t>TOTAL INGRESO</t>
  </si>
  <si>
    <t>COMPRA PLANTA</t>
  </si>
  <si>
    <t>VENTAS AL CONTADO</t>
  </si>
  <si>
    <t>VARILLAJE</t>
  </si>
  <si>
    <t xml:space="preserve">INVENT </t>
  </si>
  <si>
    <t xml:space="preserve">SALIDAS </t>
  </si>
  <si>
    <t>INGRESO</t>
  </si>
  <si>
    <t xml:space="preserve">TIPO </t>
  </si>
  <si>
    <t xml:space="preserve">FICHA </t>
  </si>
  <si>
    <t>CRISTIAN CASTILLO CRUZ</t>
  </si>
  <si>
    <t>ELABORADO POR</t>
  </si>
  <si>
    <t>FECHA</t>
  </si>
  <si>
    <t>ESQ CESAR VALLEJO Y  AV. AMERICA</t>
  </si>
  <si>
    <t>UBICACIÓN</t>
  </si>
  <si>
    <t>CODIGO</t>
  </si>
  <si>
    <t>EE.SS.</t>
  </si>
  <si>
    <t>CONTROL DIARIO DE INVENTARIOS Y VENTAS</t>
  </si>
  <si>
    <t>492-9160</t>
  </si>
  <si>
    <t>isla de glp cerrada parcialmente</t>
  </si>
  <si>
    <t>isla de glp cerradas</t>
  </si>
  <si>
    <t>492-2725</t>
  </si>
  <si>
    <t>COMPRA DE AGUA EN CISTERNA</t>
  </si>
  <si>
    <t>3850</t>
  </si>
  <si>
    <t>0017-6005</t>
  </si>
  <si>
    <t>A4D-979</t>
  </si>
  <si>
    <t>PUNTO GAS</t>
  </si>
  <si>
    <t>F016-65654/F010-12421</t>
  </si>
  <si>
    <t>F7Y-991 / T6H-800</t>
  </si>
  <si>
    <t>ESTEBAN DC / HUAMAN</t>
  </si>
  <si>
    <t>492-2757</t>
  </si>
  <si>
    <t>f016-65641</t>
  </si>
  <si>
    <t>VEI-970</t>
  </si>
  <si>
    <t>492-2764</t>
  </si>
  <si>
    <t>492-2774</t>
  </si>
  <si>
    <t>F016-65904</t>
  </si>
  <si>
    <t>492-2804</t>
  </si>
  <si>
    <t>492-2832</t>
  </si>
  <si>
    <t>492-2853</t>
  </si>
  <si>
    <t>492-2852</t>
  </si>
  <si>
    <t>492-2878</t>
  </si>
  <si>
    <t>3810</t>
  </si>
  <si>
    <t>492-2903</t>
  </si>
  <si>
    <t>3720</t>
  </si>
  <si>
    <t>0032-5963</t>
  </si>
  <si>
    <t>D7A-971</t>
  </si>
  <si>
    <t>F016-67062</t>
  </si>
  <si>
    <t>F7Y-991</t>
  </si>
  <si>
    <t>AGUA EN CISTERNA</t>
  </si>
  <si>
    <t>F016-67113</t>
  </si>
  <si>
    <t>492-2977</t>
  </si>
  <si>
    <t>DB5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</si>
</sst>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_ * #,##0.000_ ;_ * \-#,##0.000_ ;_ * &quot;-&quot;??_ ;_ @_ "/>
    <numFmt numFmtId="165" formatCode="_(* #,##0.00_);_(* \(#,##0.00\);_(* &quot;-&quot;??_);_(@_)"/>
    <numFmt numFmtId="166" formatCode="_(* #,##0.000_);_(* \(#,##0.000\);_(* &quot;-&quot;??_);_(@_)"/>
    <numFmt numFmtId="167" formatCode="0.000"/>
    <numFmt numFmtId="168" formatCode="_-* #,##0.00\ _€_-;\-* #,##0.00\ _€_-;_-* &quot;-&quot;??\ _€_-;_-@_-"/>
    <numFmt numFmtId="169" formatCode="_ * #,##0.00_ ;_ * \-#,##0.00_ ;_ * &quot;-&quot;??_ ;_ @_ "/>
    <numFmt numFmtId="170" formatCode="_ [$S/.-280A]\ * #,##0.00_ ;_ [$S/.-280A]\ * \-#,##0.00_ ;_ [$S/.-280A]\ * &quot;-&quot;??_ ;_ @_ "/>
    <numFmt numFmtId="171" formatCode="h:mm:ss;@"/>
    <numFmt numFmtId="172" formatCode="0.0000"/>
    <numFmt numFmtId="173" formatCode="_ &quot;S/.&quot;\ * #,##0.00_ ;_ &quot;S/.&quot;\ * \-#,##0.00_ ;_ &quot;S/.&quot;\ * &quot;-&quot;??_ ;_ @_ "/>
    <numFmt numFmtId="174" formatCode="dd/mm/yyyy;@"/>
    <numFmt numFmtId="175" formatCode="&quot;S/&quot;#,##0.00"/>
    <numFmt numFmtId="176" formatCode="_-[$S/-280A]* #,##0.00_-;\-[$S/-280A]* #,##0.00_-;_-[$S/-280A]* &quot;-&quot;??_-;_-@_-"/>
    <numFmt numFmtId="177" formatCode="_-* #,##0.0000\ _€_-;\-* #,##0.0000\ _€_-;_-* &quot;-&quot;??\ _€_-;_-@_-"/>
    <numFmt numFmtId="178" formatCode="_(* #,##0.0000_);_(* \(#,##0.0000\);_(* &quot;-&quot;??_);_(@_)"/>
    <numFmt numFmtId="179" formatCode="_ * #,##0.0000_ ;_ * \-#,##0.0000_ ;_ * &quot;-&quot;??_ ;_ @_ "/>
    <numFmt numFmtId="180" formatCode="#,##0.000"/>
    <numFmt numFmtId="181" formatCode="[$-40A]dd\-mmm"/>
    <numFmt numFmtId="182" formatCode="0.0"/>
  </numFmts>
  <fonts count="41" x14ac:knownFonts="1">
    <font>
      <sz val="11"/>
      <name val="Calibri"/>
    </font>
    <font>
      <sz val="11"/>
      <color rgb="FF002060"/>
      <name val="Calibri"/>
    </font>
    <font>
      <b/>
      <sz val="12"/>
      <color rgb="FF002060"/>
      <name val="Arial"/>
    </font>
    <font>
      <b/>
      <sz val="8"/>
      <color rgb="FF002060"/>
      <name val="Arial"/>
    </font>
    <font>
      <b/>
      <sz val="8"/>
      <color rgb="FFFFFFFF"/>
      <name val="Arial"/>
    </font>
    <font>
      <b/>
      <sz val="8"/>
      <color rgb="FFFF0000"/>
      <name val="Calibri"/>
    </font>
    <font>
      <sz val="11"/>
      <color rgb="FFFF0000"/>
      <name val="Calibri"/>
    </font>
    <font>
      <sz val="8"/>
      <color rgb="FF002060"/>
      <name val="Arial"/>
    </font>
    <font>
      <b/>
      <sz val="8"/>
      <color rgb="FF002060"/>
      <name val="Calibri"/>
    </font>
    <font>
      <sz val="11"/>
      <color rgb="FFC00000"/>
      <name val="Calibri"/>
    </font>
    <font>
      <sz val="9"/>
      <color rgb="FF000000"/>
      <name val="Arial"/>
    </font>
    <font>
      <sz val="11"/>
      <color rgb="FFFBE4D5"/>
      <name val="Calibri"/>
    </font>
    <font>
      <sz val="8"/>
      <color rgb="FFFFFFFF"/>
      <name val="Arial"/>
    </font>
    <font>
      <b/>
      <sz val="9"/>
      <color rgb="FF002060"/>
      <name val="Arial"/>
    </font>
    <font>
      <b/>
      <sz val="7"/>
      <color rgb="FF002060"/>
      <name val="Arial"/>
    </font>
    <font>
      <b/>
      <sz val="11"/>
      <color rgb="FF002060"/>
      <name val="Calibri"/>
    </font>
    <font>
      <sz val="11"/>
      <color rgb="FFFFFFFF"/>
      <name val="Calibri"/>
    </font>
    <font>
      <sz val="8"/>
      <color rgb="FFCFCDCD"/>
      <name val="Arial"/>
    </font>
    <font>
      <sz val="10"/>
      <color rgb="FF000000"/>
      <name val="Calibri"/>
    </font>
    <font>
      <b/>
      <sz val="9"/>
      <color rgb="FFFF0000"/>
      <name val="Arial"/>
    </font>
    <font>
      <b/>
      <sz val="10"/>
      <color rgb="FF002060"/>
      <name val="Arial"/>
    </font>
    <font>
      <sz val="12"/>
      <color rgb="FF002060"/>
      <name val="Calibri"/>
    </font>
    <font>
      <b/>
      <sz val="11"/>
      <color rgb="FFFFFFFF"/>
      <name val="Calibri"/>
    </font>
    <font>
      <b/>
      <sz val="10"/>
      <color rgb="FF000000"/>
      <name val="Calibri"/>
    </font>
    <font>
      <b/>
      <sz val="18"/>
      <color rgb="FF002060"/>
      <name val="Calibri"/>
    </font>
    <font>
      <u/>
      <sz val="11"/>
      <color rgb="FF0463C1"/>
      <name val="Calibri"/>
    </font>
    <font>
      <sz val="9"/>
      <color rgb="FF002060"/>
      <name val="Arial"/>
    </font>
    <font>
      <b/>
      <sz val="12"/>
      <color rgb="FF002060"/>
      <name val="Calibri"/>
    </font>
    <font>
      <sz val="10"/>
      <color rgb="FF002060"/>
      <name val="Calibri"/>
    </font>
    <font>
      <sz val="8"/>
      <color rgb="FFFF0000"/>
      <name val="Arial"/>
    </font>
    <font>
      <sz val="11"/>
      <color rgb="FF2F5597"/>
      <name val="Calibri"/>
    </font>
    <font>
      <sz val="12"/>
      <name val="Calibri"/>
    </font>
    <font>
      <sz val="8"/>
      <color rgb="FF2F5597"/>
      <name val="Arial"/>
    </font>
    <font>
      <sz val="9"/>
      <color rgb="FF002060"/>
      <name val="Calibri"/>
    </font>
    <font>
      <sz val="9"/>
      <color rgb="FF2F5597"/>
      <name val="Arial"/>
    </font>
    <font>
      <sz val="12"/>
      <name val="Arial"/>
    </font>
    <font>
      <sz val="9"/>
      <color rgb="FFFF0000"/>
      <name val="Arial"/>
    </font>
    <font>
      <sz val="9"/>
      <color rgb="FFFFFFFF"/>
      <name val="Arial"/>
    </font>
    <font>
      <sz val="11"/>
      <color rgb="FF000000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BED7EE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165" fontId="38" fillId="0" borderId="0">
      <alignment vertical="top"/>
      <protection locked="0"/>
    </xf>
    <xf numFmtId="0" fontId="25" fillId="0" borderId="0">
      <alignment vertical="top"/>
      <protection locked="0"/>
    </xf>
  </cellStyleXfs>
  <cellXfs count="350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2" borderId="7" xfId="0" applyFont="1" applyFill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2" borderId="14" xfId="0" applyFont="1" applyFill="1" applyBorder="1" applyAlignment="1">
      <alignment horizontal="left" vertical="top" wrapText="1"/>
    </xf>
    <xf numFmtId="14" fontId="4" fillId="0" borderId="0" xfId="0" applyNumberFormat="1" applyFont="1" applyAlignment="1">
      <alignment wrapText="1"/>
    </xf>
    <xf numFmtId="0" fontId="3" fillId="2" borderId="22" xfId="0" applyFont="1" applyFill="1" applyBorder="1" applyAlignment="1">
      <alignment horizontal="left" vertical="top" wrapText="1"/>
    </xf>
    <xf numFmtId="1" fontId="1" fillId="0" borderId="0" xfId="0" applyNumberFormat="1" applyFont="1" applyAlignment="1"/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1" fillId="0" borderId="0" xfId="1" applyNumberFormat="1" applyFont="1" applyAlignment="1" applyProtection="1"/>
    <xf numFmtId="164" fontId="3" fillId="0" borderId="29" xfId="1" applyNumberFormat="1" applyFont="1" applyBorder="1" applyAlignment="1" applyProtection="1">
      <alignment horizontal="left" vertical="center" wrapText="1"/>
    </xf>
    <xf numFmtId="164" fontId="3" fillId="0" borderId="14" xfId="1" applyNumberFormat="1" applyFont="1" applyBorder="1" applyProtection="1">
      <alignment vertical="top"/>
    </xf>
    <xf numFmtId="164" fontId="3" fillId="0" borderId="14" xfId="1" applyNumberFormat="1" applyFont="1" applyBorder="1" applyAlignment="1" applyProtection="1">
      <alignment horizontal="center" vertical="center" wrapText="1"/>
    </xf>
    <xf numFmtId="164" fontId="3" fillId="0" borderId="14" xfId="1" applyNumberFormat="1" applyFont="1" applyBorder="1" applyAlignment="1" applyProtection="1">
      <alignment horizontal="right" vertical="center" wrapText="1"/>
    </xf>
    <xf numFmtId="164" fontId="3" fillId="0" borderId="14" xfId="1" applyNumberFormat="1" applyFont="1" applyBorder="1" applyAlignment="1" applyProtection="1">
      <alignment horizontal="right" vertical="top"/>
    </xf>
    <xf numFmtId="164" fontId="7" fillId="0" borderId="14" xfId="1" applyNumberFormat="1" applyFont="1" applyBorder="1" applyAlignment="1" applyProtection="1">
      <alignment horizontal="center" vertical="center" wrapText="1"/>
    </xf>
    <xf numFmtId="164" fontId="7" fillId="0" borderId="14" xfId="1" applyNumberFormat="1" applyFont="1" applyBorder="1" applyAlignment="1" applyProtection="1">
      <alignment horizontal="right" vertical="center" wrapText="1"/>
    </xf>
    <xf numFmtId="164" fontId="7" fillId="3" borderId="14" xfId="1" applyNumberFormat="1" applyFont="1" applyFill="1" applyBorder="1" applyProtection="1">
      <alignment vertical="top"/>
    </xf>
    <xf numFmtId="164" fontId="7" fillId="4" borderId="14" xfId="1" applyNumberFormat="1" applyFont="1" applyFill="1" applyBorder="1" applyProtection="1">
      <alignment vertical="top"/>
    </xf>
    <xf numFmtId="164" fontId="3" fillId="0" borderId="11" xfId="1" applyNumberFormat="1" applyFont="1" applyBorder="1" applyAlignment="1" applyProtection="1">
      <alignment horizontal="right" vertical="top"/>
    </xf>
    <xf numFmtId="165" fontId="8" fillId="0" borderId="14" xfId="1" applyFont="1" applyBorder="1" applyAlignment="1" applyProtection="1">
      <alignment horizontal="center" wrapText="1"/>
    </xf>
    <xf numFmtId="164" fontId="9" fillId="0" borderId="0" xfId="1" applyNumberFormat="1" applyFont="1" applyAlignment="1" applyProtection="1">
      <alignment wrapText="1"/>
    </xf>
    <xf numFmtId="166" fontId="3" fillId="0" borderId="14" xfId="1" applyNumberFormat="1" applyFont="1" applyBorder="1" applyAlignment="1" applyProtection="1">
      <alignment horizontal="right" vertical="top"/>
    </xf>
    <xf numFmtId="0" fontId="10" fillId="0" borderId="0" xfId="0" quotePrefix="1" applyFont="1">
      <alignment vertical="center"/>
    </xf>
    <xf numFmtId="164" fontId="11" fillId="0" borderId="0" xfId="1" applyNumberFormat="1" applyFont="1" applyAlignment="1" applyProtection="1">
      <alignment wrapText="1"/>
    </xf>
    <xf numFmtId="164" fontId="3" fillId="0" borderId="31" xfId="1" applyNumberFormat="1" applyFont="1" applyBorder="1" applyAlignment="1" applyProtection="1">
      <alignment horizontal="left" vertical="top"/>
    </xf>
    <xf numFmtId="164" fontId="11" fillId="0" borderId="0" xfId="1" applyNumberFormat="1" applyFont="1" applyAlignment="1" applyProtection="1"/>
    <xf numFmtId="164" fontId="3" fillId="0" borderId="32" xfId="1" applyNumberFormat="1" applyFont="1" applyBorder="1" applyAlignment="1" applyProtection="1">
      <alignment horizontal="left" vertical="top"/>
    </xf>
    <xf numFmtId="164" fontId="3" fillId="0" borderId="22" xfId="1" applyNumberFormat="1" applyFont="1" applyBorder="1" applyAlignment="1" applyProtection="1">
      <alignment horizontal="center" vertical="center" wrapText="1"/>
    </xf>
    <xf numFmtId="166" fontId="3" fillId="0" borderId="22" xfId="1" applyNumberFormat="1" applyFont="1" applyBorder="1" applyAlignment="1" applyProtection="1">
      <alignment horizontal="right" vertical="top"/>
    </xf>
    <xf numFmtId="164" fontId="3" fillId="0" borderId="22" xfId="1" applyNumberFormat="1" applyFont="1" applyBorder="1" applyAlignment="1" applyProtection="1">
      <alignment horizontal="right" vertical="top"/>
    </xf>
    <xf numFmtId="164" fontId="7" fillId="0" borderId="22" xfId="1" applyNumberFormat="1" applyFont="1" applyBorder="1" applyAlignment="1" applyProtection="1">
      <alignment horizontal="center" vertical="center" wrapText="1"/>
    </xf>
    <xf numFmtId="164" fontId="3" fillId="0" borderId="22" xfId="1" applyNumberFormat="1" applyFont="1" applyBorder="1" applyProtection="1">
      <alignment vertical="top"/>
    </xf>
    <xf numFmtId="164" fontId="3" fillId="0" borderId="33" xfId="1" applyNumberFormat="1" applyFont="1" applyBorder="1" applyAlignment="1" applyProtection="1">
      <alignment horizontal="right" vertical="top"/>
    </xf>
    <xf numFmtId="164" fontId="3" fillId="0" borderId="34" xfId="1" applyNumberFormat="1" applyFont="1" applyBorder="1" applyAlignment="1" applyProtection="1">
      <alignment horizontal="center" vertical="top"/>
    </xf>
    <xf numFmtId="2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wrapText="1"/>
    </xf>
    <xf numFmtId="0" fontId="3" fillId="5" borderId="14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37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3" borderId="36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167" fontId="3" fillId="4" borderId="14" xfId="0" applyNumberFormat="1" applyFont="1" applyFill="1" applyBorder="1" applyAlignment="1">
      <alignment horizontal="right"/>
    </xf>
    <xf numFmtId="2" fontId="3" fillId="6" borderId="14" xfId="0" applyNumberFormat="1" applyFont="1" applyFill="1" applyBorder="1" applyAlignment="1"/>
    <xf numFmtId="4" fontId="3" fillId="3" borderId="14" xfId="0" applyNumberFormat="1" applyFont="1" applyFill="1" applyBorder="1" applyAlignment="1"/>
    <xf numFmtId="0" fontId="13" fillId="4" borderId="11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top" wrapText="1"/>
    </xf>
    <xf numFmtId="167" fontId="14" fillId="0" borderId="14" xfId="0" applyNumberFormat="1" applyFont="1" applyBorder="1" applyAlignment="1">
      <alignment vertical="top" wrapText="1"/>
    </xf>
    <xf numFmtId="165" fontId="3" fillId="0" borderId="38" xfId="1" applyFont="1" applyBorder="1" applyAlignment="1" applyProtection="1">
      <alignment horizontal="right" vertical="top" wrapText="1"/>
    </xf>
    <xf numFmtId="0" fontId="3" fillId="0" borderId="41" xfId="0" applyFont="1" applyBorder="1" applyAlignment="1">
      <alignment horizontal="center" vertical="top" wrapText="1"/>
    </xf>
    <xf numFmtId="167" fontId="3" fillId="0" borderId="14" xfId="0" applyNumberFormat="1" applyFont="1" applyBorder="1" applyAlignment="1">
      <alignment vertical="top" wrapText="1"/>
    </xf>
    <xf numFmtId="167" fontId="3" fillId="4" borderId="14" xfId="0" applyNumberFormat="1" applyFont="1" applyFill="1" applyBorder="1" applyAlignment="1"/>
    <xf numFmtId="165" fontId="3" fillId="4" borderId="38" xfId="1" applyFont="1" applyFill="1" applyBorder="1" applyAlignment="1" applyProtection="1">
      <alignment horizontal="right" vertical="center" wrapText="1"/>
    </xf>
    <xf numFmtId="169" fontId="13" fillId="4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/>
    <xf numFmtId="165" fontId="3" fillId="3" borderId="38" xfId="1" applyFont="1" applyFill="1" applyBorder="1" applyAlignment="1" applyProtection="1"/>
    <xf numFmtId="0" fontId="3" fillId="3" borderId="31" xfId="0" applyFont="1" applyFill="1" applyBorder="1" applyAlignment="1"/>
    <xf numFmtId="165" fontId="3" fillId="3" borderId="43" xfId="1" applyFont="1" applyFill="1" applyBorder="1" applyAlignment="1" applyProtection="1"/>
    <xf numFmtId="0" fontId="3" fillId="3" borderId="12" xfId="0" applyFont="1" applyFill="1" applyBorder="1" applyAlignment="1"/>
    <xf numFmtId="165" fontId="3" fillId="0" borderId="38" xfId="1" applyFont="1" applyBorder="1" applyAlignment="1" applyProtection="1">
      <alignment horizontal="right" vertical="center" wrapText="1"/>
    </xf>
    <xf numFmtId="165" fontId="3" fillId="0" borderId="38" xfId="1" applyFont="1" applyBorder="1" applyAlignment="1" applyProtection="1"/>
    <xf numFmtId="165" fontId="3" fillId="8" borderId="44" xfId="1" applyFont="1" applyFill="1" applyBorder="1" applyAlignment="1" applyProtection="1">
      <alignment vertical="top" wrapText="1"/>
    </xf>
    <xf numFmtId="165" fontId="3" fillId="8" borderId="23" xfId="1" applyFont="1" applyFill="1" applyBorder="1" applyAlignment="1" applyProtection="1">
      <alignment vertical="top" wrapText="1"/>
    </xf>
    <xf numFmtId="0" fontId="3" fillId="8" borderId="12" xfId="0" applyFont="1" applyFill="1" applyBorder="1" applyAlignment="1">
      <alignment vertical="top" wrapText="1"/>
    </xf>
    <xf numFmtId="165" fontId="3" fillId="8" borderId="12" xfId="1" applyFont="1" applyFill="1" applyBorder="1" applyAlignment="1" applyProtection="1">
      <alignment vertical="top" wrapText="1"/>
    </xf>
    <xf numFmtId="2" fontId="3" fillId="5" borderId="14" xfId="0" applyNumberFormat="1" applyFont="1" applyFill="1" applyBorder="1">
      <alignment vertical="center"/>
    </xf>
    <xf numFmtId="165" fontId="3" fillId="5" borderId="38" xfId="1" applyFont="1" applyFill="1" applyBorder="1" applyAlignment="1" applyProtection="1">
      <alignment vertical="center"/>
    </xf>
    <xf numFmtId="0" fontId="16" fillId="0" borderId="0" xfId="0" applyFont="1" applyAlignment="1"/>
    <xf numFmtId="170" fontId="14" fillId="3" borderId="43" xfId="0" applyNumberFormat="1" applyFont="1" applyFill="1" applyBorder="1" applyAlignment="1"/>
    <xf numFmtId="0" fontId="3" fillId="0" borderId="31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 wrapText="1"/>
    </xf>
    <xf numFmtId="165" fontId="3" fillId="3" borderId="14" xfId="1" applyFont="1" applyFill="1" applyBorder="1" applyAlignment="1" applyProtection="1">
      <alignment horizontal="center" vertical="center" wrapText="1"/>
    </xf>
    <xf numFmtId="1" fontId="3" fillId="3" borderId="14" xfId="0" applyNumberFormat="1" applyFont="1" applyFill="1" applyBorder="1" applyAlignment="1">
      <alignment horizontal="center" vertical="center" wrapText="1"/>
    </xf>
    <xf numFmtId="171" fontId="3" fillId="3" borderId="14" xfId="0" applyNumberFormat="1" applyFont="1" applyFill="1" applyBorder="1" applyAlignment="1">
      <alignment horizontal="center" vertical="center" wrapText="1"/>
    </xf>
    <xf numFmtId="1" fontId="3" fillId="3" borderId="38" xfId="0" applyNumberFormat="1" applyFont="1" applyFill="1" applyBorder="1" applyAlignment="1">
      <alignment horizontal="center" vertical="center" wrapText="1"/>
    </xf>
    <xf numFmtId="168" fontId="17" fillId="0" borderId="0" xfId="0" applyNumberFormat="1" applyFont="1" applyAlignment="1">
      <alignment wrapText="1"/>
    </xf>
    <xf numFmtId="172" fontId="3" fillId="3" borderId="38" xfId="0" applyNumberFormat="1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vertical="top" wrapText="1"/>
    </xf>
    <xf numFmtId="172" fontId="3" fillId="3" borderId="38" xfId="1" applyNumberFormat="1" applyFont="1" applyFill="1" applyBorder="1" applyAlignment="1" applyProtection="1">
      <alignment horizontal="center" vertical="center" wrapText="1"/>
    </xf>
    <xf numFmtId="0" fontId="3" fillId="6" borderId="31" xfId="0" applyFont="1" applyFill="1" applyBorder="1" applyAlignment="1">
      <alignment horizontal="center" vertical="center"/>
    </xf>
    <xf numFmtId="167" fontId="3" fillId="6" borderId="14" xfId="0" applyNumberFormat="1" applyFont="1" applyFill="1" applyBorder="1" applyAlignment="1"/>
    <xf numFmtId="4" fontId="3" fillId="6" borderId="14" xfId="0" applyNumberFormat="1" applyFont="1" applyFill="1" applyBorder="1" applyAlignment="1"/>
    <xf numFmtId="0" fontId="13" fillId="0" borderId="11" xfId="0" applyFont="1" applyBorder="1" applyAlignment="1">
      <alignment horizontal="center"/>
    </xf>
    <xf numFmtId="4" fontId="3" fillId="3" borderId="43" xfId="0" applyNumberFormat="1" applyFont="1" applyFill="1" applyBorder="1" applyAlignment="1"/>
    <xf numFmtId="0" fontId="3" fillId="0" borderId="12" xfId="0" applyFont="1" applyBorder="1" applyAlignment="1">
      <alignment horizontal="center" vertical="top"/>
    </xf>
    <xf numFmtId="0" fontId="3" fillId="6" borderId="45" xfId="0" applyFont="1" applyFill="1" applyBorder="1" applyAlignment="1">
      <alignment horizontal="center" vertical="center"/>
    </xf>
    <xf numFmtId="1" fontId="3" fillId="3" borderId="46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/>
    <xf numFmtId="0" fontId="14" fillId="6" borderId="3" xfId="0" applyFont="1" applyFill="1" applyBorder="1" applyAlignment="1"/>
    <xf numFmtId="0" fontId="3" fillId="6" borderId="28" xfId="0" applyFont="1" applyFill="1" applyBorder="1" applyAlignment="1"/>
    <xf numFmtId="0" fontId="14" fillId="5" borderId="47" xfId="0" applyFont="1" applyFill="1" applyBorder="1" applyAlignment="1">
      <alignment horizontal="center"/>
    </xf>
    <xf numFmtId="173" fontId="18" fillId="0" borderId="11" xfId="0" applyNumberFormat="1" applyFont="1" applyBorder="1">
      <alignment vertical="center"/>
    </xf>
    <xf numFmtId="0" fontId="3" fillId="5" borderId="1" xfId="0" applyFont="1" applyFill="1" applyBorder="1" applyAlignment="1">
      <alignment horizontal="right" vertical="center"/>
    </xf>
    <xf numFmtId="14" fontId="3" fillId="5" borderId="40" xfId="0" applyNumberFormat="1" applyFont="1" applyFill="1" applyBorder="1" applyAlignment="1">
      <alignment horizontal="left" vertical="center"/>
    </xf>
    <xf numFmtId="168" fontId="3" fillId="0" borderId="0" xfId="0" applyNumberFormat="1" applyFont="1" applyAlignment="1">
      <alignment wrapText="1"/>
    </xf>
    <xf numFmtId="0" fontId="3" fillId="0" borderId="48" xfId="0" applyFont="1" applyBorder="1" applyAlignment="1">
      <alignment vertical="top"/>
    </xf>
    <xf numFmtId="0" fontId="3" fillId="0" borderId="49" xfId="0" applyFont="1" applyBorder="1" applyAlignment="1">
      <alignment horizontal="center" vertical="top"/>
    </xf>
    <xf numFmtId="167" fontId="3" fillId="0" borderId="7" xfId="0" applyNumberFormat="1" applyFont="1" applyBorder="1" applyAlignment="1">
      <alignment vertical="top"/>
    </xf>
    <xf numFmtId="4" fontId="3" fillId="0" borderId="7" xfId="0" applyNumberFormat="1" applyFont="1" applyBorder="1" applyAlignment="1">
      <alignment vertical="top"/>
    </xf>
    <xf numFmtId="2" fontId="3" fillId="4" borderId="7" xfId="0" applyNumberFormat="1" applyFont="1" applyFill="1" applyBorder="1" applyAlignment="1">
      <alignment vertical="top"/>
    </xf>
    <xf numFmtId="2" fontId="3" fillId="5" borderId="39" xfId="0" applyNumberFormat="1" applyFont="1" applyFill="1" applyBorder="1" applyAlignment="1">
      <alignment horizontal="right" vertical="top"/>
    </xf>
    <xf numFmtId="0" fontId="3" fillId="3" borderId="20" xfId="0" applyFont="1" applyFill="1" applyBorder="1" applyAlignment="1">
      <alignment vertical="top" wrapText="1"/>
    </xf>
    <xf numFmtId="165" fontId="3" fillId="3" borderId="19" xfId="1" applyFont="1" applyFill="1" applyBorder="1" applyAlignment="1" applyProtection="1">
      <alignment vertical="top" wrapText="1"/>
    </xf>
    <xf numFmtId="173" fontId="18" fillId="4" borderId="39" xfId="0" applyNumberFormat="1" applyFont="1" applyFill="1" applyBorder="1">
      <alignment vertical="center"/>
    </xf>
    <xf numFmtId="0" fontId="3" fillId="0" borderId="51" xfId="0" applyFont="1" applyBorder="1" applyAlignment="1">
      <alignment vertical="top"/>
    </xf>
    <xf numFmtId="165" fontId="3" fillId="4" borderId="14" xfId="1" applyFont="1" applyFill="1" applyBorder="1" applyProtection="1">
      <alignment vertical="top"/>
    </xf>
    <xf numFmtId="0" fontId="3" fillId="0" borderId="31" xfId="0" applyFont="1" applyBorder="1" applyAlignment="1">
      <alignment horizontal="center" vertical="top"/>
    </xf>
    <xf numFmtId="167" fontId="3" fillId="0" borderId="14" xfId="0" applyNumberFormat="1" applyFont="1" applyBorder="1" applyAlignment="1">
      <alignment vertical="top"/>
    </xf>
    <xf numFmtId="4" fontId="3" fillId="0" borderId="14" xfId="0" applyNumberFormat="1" applyFont="1" applyBorder="1" applyAlignment="1">
      <alignment vertical="top"/>
    </xf>
    <xf numFmtId="2" fontId="3" fillId="4" borderId="14" xfId="0" applyNumberFormat="1" applyFont="1" applyFill="1" applyBorder="1" applyAlignment="1">
      <alignment vertical="top"/>
    </xf>
    <xf numFmtId="2" fontId="3" fillId="5" borderId="38" xfId="0" applyNumberFormat="1" applyFont="1" applyFill="1" applyBorder="1" applyAlignment="1">
      <alignment horizontal="right" vertical="top"/>
    </xf>
    <xf numFmtId="0" fontId="3" fillId="3" borderId="31" xfId="0" applyFont="1" applyFill="1" applyBorder="1" applyAlignment="1">
      <alignment horizontal="center" vertical="top"/>
    </xf>
    <xf numFmtId="173" fontId="18" fillId="4" borderId="38" xfId="0" applyNumberFormat="1" applyFont="1" applyFill="1" applyBorder="1">
      <alignment vertical="center"/>
    </xf>
    <xf numFmtId="0" fontId="3" fillId="0" borderId="36" xfId="0" applyFont="1" applyBorder="1" applyAlignment="1">
      <alignment vertical="top"/>
    </xf>
    <xf numFmtId="165" fontId="3" fillId="9" borderId="14" xfId="1" applyFont="1" applyFill="1" applyBorder="1" applyProtection="1">
      <alignment vertical="top"/>
    </xf>
    <xf numFmtId="0" fontId="3" fillId="3" borderId="5" xfId="0" applyFont="1" applyFill="1" applyBorder="1" applyAlignment="1"/>
    <xf numFmtId="165" fontId="3" fillId="3" borderId="48" xfId="1" applyFont="1" applyFill="1" applyBorder="1" applyAlignment="1" applyProtection="1"/>
    <xf numFmtId="174" fontId="2" fillId="5" borderId="2" xfId="0" applyNumberFormat="1" applyFont="1" applyFill="1" applyBorder="1" applyAlignment="1">
      <alignment wrapText="1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4" fontId="3" fillId="3" borderId="48" xfId="0" applyNumberFormat="1" applyFont="1" applyFill="1" applyBorder="1" applyAlignment="1"/>
    <xf numFmtId="0" fontId="3" fillId="0" borderId="45" xfId="0" applyFont="1" applyBorder="1" applyAlignment="1">
      <alignment horizontal="center" vertical="top"/>
    </xf>
    <xf numFmtId="173" fontId="18" fillId="4" borderId="52" xfId="0" applyNumberFormat="1" applyFont="1" applyFill="1" applyBorder="1">
      <alignment vertical="center"/>
    </xf>
    <xf numFmtId="165" fontId="13" fillId="0" borderId="5" xfId="1" applyFont="1" applyBorder="1" applyAlignment="1" applyProtection="1">
      <alignment horizontal="center"/>
    </xf>
    <xf numFmtId="0" fontId="1" fillId="0" borderId="7" xfId="0" applyFont="1" applyBorder="1" applyAlignment="1">
      <alignment horizontal="center"/>
    </xf>
    <xf numFmtId="165" fontId="21" fillId="0" borderId="7" xfId="0" applyNumberFormat="1" applyFont="1" applyBorder="1" applyAlignment="1"/>
    <xf numFmtId="165" fontId="21" fillId="0" borderId="39" xfId="0" applyNumberFormat="1" applyFont="1" applyBorder="1" applyAlignment="1"/>
    <xf numFmtId="165" fontId="22" fillId="0" borderId="0" xfId="1" applyFont="1" applyAlignment="1" applyProtection="1"/>
    <xf numFmtId="0" fontId="3" fillId="0" borderId="53" xfId="0" applyFont="1" applyBorder="1" applyAlignment="1">
      <alignment vertical="top"/>
    </xf>
    <xf numFmtId="165" fontId="3" fillId="0" borderId="54" xfId="0" applyNumberFormat="1" applyFont="1" applyBorder="1" applyAlignment="1">
      <alignment vertical="top"/>
    </xf>
    <xf numFmtId="165" fontId="3" fillId="0" borderId="55" xfId="0" applyNumberFormat="1" applyFont="1" applyBorder="1" applyAlignment="1">
      <alignment vertical="top"/>
    </xf>
    <xf numFmtId="167" fontId="3" fillId="0" borderId="46" xfId="0" applyNumberFormat="1" applyFont="1" applyBorder="1" applyAlignment="1">
      <alignment vertical="top"/>
    </xf>
    <xf numFmtId="4" fontId="3" fillId="0" borderId="46" xfId="0" applyNumberFormat="1" applyFont="1" applyBorder="1" applyAlignment="1">
      <alignment vertical="top"/>
    </xf>
    <xf numFmtId="2" fontId="3" fillId="4" borderId="46" xfId="0" applyNumberFormat="1" applyFont="1" applyFill="1" applyBorder="1" applyAlignment="1">
      <alignment vertical="top"/>
    </xf>
    <xf numFmtId="2" fontId="3" fillId="5" borderId="52" xfId="0" applyNumberFormat="1" applyFont="1" applyFill="1" applyBorder="1" applyAlignment="1">
      <alignment horizontal="right" vertical="top"/>
    </xf>
    <xf numFmtId="4" fontId="3" fillId="3" borderId="11" xfId="0" applyNumberFormat="1" applyFont="1" applyFill="1" applyBorder="1" applyAlignment="1"/>
    <xf numFmtId="0" fontId="3" fillId="0" borderId="56" xfId="0" applyFont="1" applyBorder="1" applyAlignment="1">
      <alignment horizontal="center" vertical="top"/>
    </xf>
    <xf numFmtId="173" fontId="23" fillId="0" borderId="57" xfId="0" applyNumberFormat="1" applyFont="1" applyBorder="1" applyAlignment="1">
      <alignment horizontal="center" vertical="center"/>
    </xf>
    <xf numFmtId="165" fontId="13" fillId="0" borderId="20" xfId="1" applyFont="1" applyBorder="1" applyAlignment="1" applyProtection="1">
      <alignment horizontal="center"/>
    </xf>
    <xf numFmtId="0" fontId="1" fillId="0" borderId="46" xfId="0" applyFont="1" applyBorder="1" applyAlignment="1">
      <alignment horizontal="center"/>
    </xf>
    <xf numFmtId="165" fontId="21" fillId="0" borderId="46" xfId="0" applyNumberFormat="1" applyFont="1" applyBorder="1" applyAlignment="1"/>
    <xf numFmtId="165" fontId="21" fillId="0" borderId="23" xfId="0" applyNumberFormat="1" applyFont="1" applyBorder="1" applyAlignment="1"/>
    <xf numFmtId="0" fontId="3" fillId="0" borderId="44" xfId="0" applyFont="1" applyBorder="1" applyAlignment="1">
      <alignment vertical="top"/>
    </xf>
    <xf numFmtId="165" fontId="3" fillId="0" borderId="58" xfId="0" applyNumberFormat="1" applyFont="1" applyBorder="1" applyAlignment="1">
      <alignment vertical="top"/>
    </xf>
    <xf numFmtId="0" fontId="3" fillId="0" borderId="42" xfId="0" applyFont="1" applyBorder="1" applyAlignment="1">
      <alignment vertical="top"/>
    </xf>
    <xf numFmtId="0" fontId="3" fillId="0" borderId="18" xfId="0" applyFont="1" applyBorder="1" applyAlignment="1">
      <alignment horizontal="center" vertical="top"/>
    </xf>
    <xf numFmtId="167" fontId="3" fillId="0" borderId="59" xfId="0" applyNumberFormat="1" applyFont="1" applyBorder="1" applyAlignment="1">
      <alignment vertical="top"/>
    </xf>
    <xf numFmtId="2" fontId="3" fillId="0" borderId="59" xfId="0" applyNumberFormat="1" applyFont="1" applyBorder="1" applyAlignment="1">
      <alignment vertical="top"/>
    </xf>
    <xf numFmtId="2" fontId="3" fillId="4" borderId="58" xfId="0" applyNumberFormat="1" applyFont="1" applyFill="1" applyBorder="1" applyAlignment="1">
      <alignment vertical="top"/>
    </xf>
    <xf numFmtId="2" fontId="3" fillId="5" borderId="16" xfId="0" applyNumberFormat="1" applyFont="1" applyFill="1" applyBorder="1" applyAlignment="1">
      <alignment horizontal="right" vertical="top"/>
    </xf>
    <xf numFmtId="0" fontId="3" fillId="0" borderId="34" xfId="0" applyFont="1" applyBorder="1" applyAlignment="1">
      <alignment horizontal="center"/>
    </xf>
    <xf numFmtId="168" fontId="3" fillId="10" borderId="60" xfId="1" applyNumberFormat="1" applyFont="1" applyFill="1" applyBorder="1" applyAlignment="1" applyProtection="1"/>
    <xf numFmtId="0" fontId="3" fillId="0" borderId="0" xfId="0" applyFont="1" applyAlignment="1"/>
    <xf numFmtId="0" fontId="15" fillId="0" borderId="0" xfId="0" applyFont="1" applyAlignment="1"/>
    <xf numFmtId="165" fontId="15" fillId="0" borderId="0" xfId="1" applyFont="1" applyAlignment="1" applyProtection="1"/>
    <xf numFmtId="0" fontId="3" fillId="0" borderId="0" xfId="0" applyFont="1" applyAlignment="1">
      <alignment horizontal="center"/>
    </xf>
    <xf numFmtId="176" fontId="7" fillId="0" borderId="0" xfId="0" applyNumberFormat="1" applyFont="1" applyAlignment="1"/>
    <xf numFmtId="0" fontId="7" fillId="0" borderId="0" xfId="0" applyFont="1" applyAlignment="1"/>
    <xf numFmtId="165" fontId="7" fillId="0" borderId="0" xfId="1" applyFont="1" applyAlignment="1" applyProtection="1"/>
    <xf numFmtId="43" fontId="6" fillId="0" borderId="0" xfId="0" applyNumberFormat="1" applyFont="1" applyAlignment="1"/>
    <xf numFmtId="0" fontId="3" fillId="0" borderId="0" xfId="0" applyFont="1" applyAlignment="1">
      <alignment horizontal="right"/>
    </xf>
    <xf numFmtId="165" fontId="3" fillId="0" borderId="0" xfId="1" applyFont="1" applyAlignment="1" applyProtection="1">
      <alignment horizontal="center"/>
    </xf>
    <xf numFmtId="165" fontId="7" fillId="4" borderId="0" xfId="1" applyFont="1" applyFill="1" applyAlignment="1" applyProtection="1"/>
    <xf numFmtId="2" fontId="7" fillId="0" borderId="0" xfId="0" applyNumberFormat="1" applyFont="1" applyAlignment="1"/>
    <xf numFmtId="0" fontId="7" fillId="0" borderId="49" xfId="0" applyFont="1" applyBorder="1" applyAlignment="1">
      <alignment horizontal="right"/>
    </xf>
    <xf numFmtId="49" fontId="25" fillId="4" borderId="7" xfId="2" applyNumberFormat="1" applyFill="1" applyBorder="1" applyAlignment="1" applyProtection="1">
      <alignment horizontal="center"/>
    </xf>
    <xf numFmtId="0" fontId="7" fillId="0" borderId="7" xfId="0" applyFont="1" applyBorder="1" applyAlignment="1"/>
    <xf numFmtId="165" fontId="7" fillId="0" borderId="7" xfId="1" applyFont="1" applyBorder="1" applyAlignment="1" applyProtection="1"/>
    <xf numFmtId="0" fontId="7" fillId="0" borderId="39" xfId="0" applyFont="1" applyBorder="1" applyAlignment="1"/>
    <xf numFmtId="177" fontId="7" fillId="0" borderId="0" xfId="0" applyNumberFormat="1" applyFont="1" applyAlignment="1"/>
    <xf numFmtId="168" fontId="26" fillId="0" borderId="0" xfId="0" applyNumberFormat="1" applyFont="1" applyAlignment="1"/>
    <xf numFmtId="165" fontId="21" fillId="0" borderId="0" xfId="1" applyFont="1" applyAlignment="1" applyProtection="1"/>
    <xf numFmtId="0" fontId="7" fillId="0" borderId="31" xfId="0" applyFont="1" applyBorder="1" applyAlignment="1">
      <alignment horizontal="right"/>
    </xf>
    <xf numFmtId="165" fontId="7" fillId="0" borderId="14" xfId="1" applyFont="1" applyBorder="1" applyAlignment="1" applyProtection="1"/>
    <xf numFmtId="0" fontId="7" fillId="0" borderId="14" xfId="0" applyFont="1" applyBorder="1" applyAlignment="1"/>
    <xf numFmtId="2" fontId="7" fillId="0" borderId="14" xfId="0" applyNumberFormat="1" applyFont="1" applyBorder="1" applyAlignment="1"/>
    <xf numFmtId="0" fontId="7" fillId="0" borderId="38" xfId="0" applyFont="1" applyBorder="1" applyAlignment="1"/>
    <xf numFmtId="168" fontId="7" fillId="0" borderId="0" xfId="0" applyNumberFormat="1" applyFont="1" applyAlignment="1"/>
    <xf numFmtId="169" fontId="1" fillId="0" borderId="0" xfId="0" applyNumberFormat="1" applyFont="1" applyAlignment="1"/>
    <xf numFmtId="0" fontId="1" fillId="0" borderId="31" xfId="0" applyFont="1" applyBorder="1" applyAlignment="1"/>
    <xf numFmtId="0" fontId="1" fillId="0" borderId="14" xfId="0" applyFont="1" applyBorder="1" applyAlignment="1"/>
    <xf numFmtId="0" fontId="1" fillId="0" borderId="38" xfId="0" applyFont="1" applyBorder="1" applyAlignment="1"/>
    <xf numFmtId="165" fontId="1" fillId="0" borderId="0" xfId="1" applyFont="1" applyAlignment="1" applyProtection="1"/>
    <xf numFmtId="165" fontId="7" fillId="5" borderId="31" xfId="1" applyFont="1" applyFill="1" applyBorder="1" applyAlignment="1" applyProtection="1">
      <alignment horizontal="right"/>
    </xf>
    <xf numFmtId="165" fontId="7" fillId="5" borderId="14" xfId="1" applyFont="1" applyFill="1" applyBorder="1" applyAlignment="1" applyProtection="1"/>
    <xf numFmtId="178" fontId="7" fillId="5" borderId="14" xfId="1" applyNumberFormat="1" applyFont="1" applyFill="1" applyBorder="1" applyAlignment="1" applyProtection="1"/>
    <xf numFmtId="0" fontId="7" fillId="5" borderId="14" xfId="1" applyNumberFormat="1" applyFont="1" applyFill="1" applyBorder="1" applyAlignment="1" applyProtection="1"/>
    <xf numFmtId="165" fontId="27" fillId="5" borderId="38" xfId="1" applyFont="1" applyFill="1" applyBorder="1" applyAlignment="1" applyProtection="1"/>
    <xf numFmtId="165" fontId="28" fillId="0" borderId="0" xfId="0" applyNumberFormat="1" applyFont="1" applyAlignment="1">
      <alignment horizontal="left" vertical="center"/>
    </xf>
    <xf numFmtId="165" fontId="3" fillId="0" borderId="31" xfId="1" applyFont="1" applyBorder="1" applyAlignment="1" applyProtection="1"/>
    <xf numFmtId="179" fontId="7" fillId="0" borderId="14" xfId="1" applyNumberFormat="1" applyFont="1" applyBorder="1" applyAlignment="1" applyProtection="1"/>
    <xf numFmtId="165" fontId="7" fillId="0" borderId="38" xfId="1" applyFont="1" applyBorder="1" applyAlignment="1" applyProtection="1"/>
    <xf numFmtId="4" fontId="13" fillId="0" borderId="61" xfId="0" applyNumberFormat="1" applyFont="1" applyBorder="1" applyAlignment="1"/>
    <xf numFmtId="176" fontId="13" fillId="0" borderId="61" xfId="0" applyNumberFormat="1" applyFont="1" applyBorder="1" applyAlignment="1"/>
    <xf numFmtId="165" fontId="3" fillId="0" borderId="45" xfId="1" applyFont="1" applyBorder="1" applyAlignment="1" applyProtection="1"/>
    <xf numFmtId="0" fontId="1" fillId="0" borderId="46" xfId="0" applyFont="1" applyBorder="1" applyAlignment="1"/>
    <xf numFmtId="165" fontId="7" fillId="0" borderId="46" xfId="1" applyFont="1" applyBorder="1" applyAlignment="1" applyProtection="1"/>
    <xf numFmtId="179" fontId="7" fillId="0" borderId="46" xfId="1" applyNumberFormat="1" applyFont="1" applyBorder="1" applyAlignment="1" applyProtection="1"/>
    <xf numFmtId="2" fontId="1" fillId="5" borderId="52" xfId="0" applyNumberFormat="1" applyFont="1" applyFill="1" applyBorder="1" applyAlignment="1"/>
    <xf numFmtId="168" fontId="1" fillId="0" borderId="0" xfId="0" applyNumberFormat="1" applyFont="1" applyAlignment="1"/>
    <xf numFmtId="4" fontId="29" fillId="0" borderId="0" xfId="0" applyNumberFormat="1" applyFont="1" applyAlignment="1"/>
    <xf numFmtId="175" fontId="1" fillId="0" borderId="0" xfId="0" applyNumberFormat="1" applyFont="1" applyAlignment="1"/>
    <xf numFmtId="165" fontId="29" fillId="0" borderId="0" xfId="1" applyFont="1" applyAlignment="1" applyProtection="1"/>
    <xf numFmtId="0" fontId="30" fillId="0" borderId="0" xfId="0" applyFont="1" applyAlignment="1"/>
    <xf numFmtId="165" fontId="31" fillId="0" borderId="0" xfId="1" applyFont="1" applyAlignment="1" applyProtection="1"/>
    <xf numFmtId="169" fontId="30" fillId="0" borderId="0" xfId="0" applyNumberFormat="1" applyFont="1" applyAlignment="1"/>
    <xf numFmtId="0" fontId="32" fillId="0" borderId="0" xfId="0" applyFont="1" applyAlignment="1"/>
    <xf numFmtId="2" fontId="32" fillId="0" borderId="0" xfId="0" applyNumberFormat="1" applyFont="1" applyAlignment="1"/>
    <xf numFmtId="180" fontId="32" fillId="0" borderId="0" xfId="0" applyNumberFormat="1" applyFont="1" applyAlignment="1"/>
    <xf numFmtId="165" fontId="30" fillId="0" borderId="0" xfId="1" applyFont="1" applyAlignment="1" applyProtection="1"/>
    <xf numFmtId="179" fontId="30" fillId="0" borderId="0" xfId="0" applyNumberFormat="1" applyFont="1" applyAlignment="1"/>
    <xf numFmtId="165" fontId="30" fillId="0" borderId="0" xfId="0" applyNumberFormat="1" applyFont="1" applyAlignment="1"/>
    <xf numFmtId="165" fontId="3" fillId="5" borderId="0" xfId="1" applyFont="1" applyFill="1" applyAlignment="1" applyProtection="1"/>
    <xf numFmtId="0" fontId="33" fillId="0" borderId="0" xfId="0" applyFont="1" applyAlignment="1"/>
    <xf numFmtId="0" fontId="4" fillId="0" borderId="0" xfId="0" applyFont="1" applyAlignment="1"/>
    <xf numFmtId="165" fontId="34" fillId="0" borderId="0" xfId="1" applyFont="1" applyAlignment="1" applyProtection="1"/>
    <xf numFmtId="165" fontId="35" fillId="0" borderId="0" xfId="1" applyFont="1" applyAlignment="1" applyProtection="1"/>
    <xf numFmtId="0" fontId="34" fillId="0" borderId="0" xfId="0" applyFont="1" applyAlignment="1"/>
    <xf numFmtId="43" fontId="34" fillId="0" borderId="0" xfId="0" applyNumberFormat="1" applyFont="1" applyAlignment="1"/>
    <xf numFmtId="0" fontId="4" fillId="0" borderId="0" xfId="0" applyFont="1" applyAlignment="1">
      <alignment horizontal="right"/>
    </xf>
    <xf numFmtId="0" fontId="36" fillId="0" borderId="0" xfId="0" applyFont="1" applyAlignment="1"/>
    <xf numFmtId="4" fontId="12" fillId="0" borderId="0" xfId="0" applyNumberFormat="1" applyFont="1" applyAlignment="1"/>
    <xf numFmtId="0" fontId="6" fillId="0" borderId="0" xfId="0" applyFont="1" applyAlignment="1"/>
    <xf numFmtId="179" fontId="1" fillId="0" borderId="0" xfId="0" applyNumberFormat="1" applyFont="1" applyAlignment="1"/>
    <xf numFmtId="43" fontId="36" fillId="0" borderId="0" xfId="0" applyNumberFormat="1" applyFont="1" applyAlignment="1"/>
    <xf numFmtId="165" fontId="36" fillId="0" borderId="0" xfId="1" applyFont="1" applyAlignment="1" applyProtection="1"/>
    <xf numFmtId="4" fontId="19" fillId="0" borderId="0" xfId="0" applyNumberFormat="1" applyFont="1" applyAlignment="1"/>
    <xf numFmtId="43" fontId="37" fillId="0" borderId="0" xfId="0" applyNumberFormat="1" applyFont="1" applyAlignment="1"/>
    <xf numFmtId="0" fontId="37" fillId="0" borderId="0" xfId="0" applyFont="1" applyAlignment="1"/>
    <xf numFmtId="43" fontId="16" fillId="0" borderId="0" xfId="0" applyNumberFormat="1" applyFont="1" applyAlignment="1"/>
    <xf numFmtId="165" fontId="37" fillId="0" borderId="0" xfId="1" applyFont="1" applyAlignment="1" applyProtection="1"/>
    <xf numFmtId="181" fontId="1" fillId="0" borderId="0" xfId="0" applyNumberFormat="1" applyFont="1" applyAlignment="1"/>
    <xf numFmtId="181" fontId="1" fillId="0" borderId="0" xfId="0" applyNumberFormat="1" applyFont="1" applyAlignment="1">
      <alignment wrapText="1"/>
    </xf>
    <xf numFmtId="165" fontId="1" fillId="0" borderId="17" xfId="1" applyFont="1" applyBorder="1" applyAlignment="1" applyProtection="1"/>
    <xf numFmtId="0" fontId="1" fillId="0" borderId="17" xfId="0" applyFont="1" applyBorder="1" applyAlignment="1"/>
    <xf numFmtId="182" fontId="30" fillId="0" borderId="0" xfId="0" applyNumberFormat="1" applyFont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36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3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7" borderId="24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6" borderId="3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14" fillId="0" borderId="24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14" fontId="20" fillId="5" borderId="25" xfId="0" applyNumberFormat="1" applyFont="1" applyFill="1" applyBorder="1" applyAlignment="1">
      <alignment horizontal="right" wrapText="1"/>
    </xf>
    <xf numFmtId="165" fontId="15" fillId="5" borderId="25" xfId="0" applyNumberFormat="1" applyFont="1" applyFill="1" applyBorder="1" applyAlignment="1">
      <alignment horizontal="center"/>
    </xf>
    <xf numFmtId="165" fontId="15" fillId="5" borderId="26" xfId="0" applyNumberFormat="1" applyFont="1" applyFill="1" applyBorder="1" applyAlignment="1">
      <alignment horizontal="center"/>
    </xf>
    <xf numFmtId="175" fontId="24" fillId="0" borderId="24" xfId="0" applyNumberFormat="1" applyFont="1" applyBorder="1" applyAlignment="1">
      <alignment horizontal="center"/>
    </xf>
    <xf numFmtId="175" fontId="24" fillId="0" borderId="26" xfId="0" applyNumberFormat="1" applyFont="1" applyBorder="1" applyAlignment="1">
      <alignment horizontal="center"/>
    </xf>
    <xf numFmtId="1" fontId="3" fillId="2" borderId="19" xfId="0" applyNumberFormat="1" applyFont="1" applyFill="1" applyBorder="1" applyAlignment="1">
      <alignment horizontal="center" vertical="top" wrapText="1"/>
    </xf>
    <xf numFmtId="1" fontId="3" fillId="2" borderId="23" xfId="0" applyNumberFormat="1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0" borderId="36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2" borderId="11" xfId="0" applyNumberFormat="1" applyFont="1" applyFill="1" applyBorder="1" applyAlignment="1">
      <alignment horizontal="center" vertical="top" wrapText="1"/>
    </xf>
    <xf numFmtId="14" fontId="3" fillId="2" borderId="15" xfId="0" applyNumberFormat="1" applyFont="1" applyFill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0" fontId="19" fillId="3" borderId="0" xfId="0" applyFont="1" applyFill="1" applyAlignment="1">
      <alignment horizontal="center" vertical="center" wrapText="1"/>
    </xf>
    <xf numFmtId="0" fontId="19" fillId="3" borderId="50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19" fillId="3" borderId="42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left" vertical="center" wrapText="1"/>
    </xf>
    <xf numFmtId="0" fontId="3" fillId="5" borderId="36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167" fontId="3" fillId="0" borderId="24" xfId="0" applyNumberFormat="1" applyFont="1" applyBorder="1" applyAlignment="1">
      <alignment horizontal="center" vertical="center" wrapText="1"/>
    </xf>
    <xf numFmtId="167" fontId="3" fillId="0" borderId="25" xfId="0" applyNumberFormat="1" applyFont="1" applyBorder="1" applyAlignment="1">
      <alignment horizontal="center" vertical="center" wrapText="1"/>
    </xf>
    <xf numFmtId="167" fontId="3" fillId="0" borderId="26" xfId="0" applyNumberFormat="1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0" borderId="40" xfId="0" applyFont="1" applyBorder="1" applyAlignment="1">
      <alignment horizontal="left" vertical="top" wrapText="1"/>
    </xf>
    <xf numFmtId="0" fontId="3" fillId="5" borderId="36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14" fontId="4" fillId="0" borderId="25" xfId="0" applyNumberFormat="1" applyFont="1" applyBorder="1" applyAlignment="1">
      <alignment horizontal="center" vertical="top" wrapText="1"/>
    </xf>
    <xf numFmtId="14" fontId="4" fillId="0" borderId="26" xfId="0" applyNumberFormat="1" applyFont="1" applyBorder="1" applyAlignment="1">
      <alignment horizontal="center" vertical="top" wrapText="1"/>
    </xf>
  </cellXfs>
  <cellStyles count="3">
    <cellStyle name="Hipervínculo" xfId="2" xr:uid="{00000000-0005-0000-0000-000002000000}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www.wps.cn/officeDocument/2020/cellImage" Target="NUL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emas/Downloads/38.-%2520SOLER%2520-%2520DIARIO%2520-%2520ABRIL%25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abe4c1509e36c0a/SOLER/38.-%2520SOLER%2520-%2520DIARIO%2520-%2520SEPTIEMBRE%25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emas/Downloads/03.-%2520MARZO/38.-%2520SOLER%2520-%2520DIARIO%2520-%2520MARZO%25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5">
          <cell r="J25">
            <v>4978.1557799999991</v>
          </cell>
        </row>
        <row r="30">
          <cell r="J30">
            <v>2860.0556350000002</v>
          </cell>
        </row>
        <row r="32">
          <cell r="J32">
            <v>-135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L2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>
        <row r="41">
          <cell r="J41">
            <v>274.83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6">
          <cell r="J36">
            <v>-135</v>
          </cell>
        </row>
      </sheetData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43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45778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121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v>2453.4774007817296</v>
      </c>
      <c r="C7" s="24">
        <f>L28+L29</f>
        <v>0</v>
      </c>
      <c r="D7" s="25"/>
      <c r="E7" s="25"/>
      <c r="F7" s="26">
        <f t="shared" ref="F7:F12" si="0">+B7+C7+D7+E7</f>
        <v>2453.4774007817296</v>
      </c>
      <c r="G7" s="27">
        <f>B48-H7</f>
        <v>185.77682403433479</v>
      </c>
      <c r="H7" s="24"/>
      <c r="I7" s="28"/>
      <c r="J7" s="23">
        <f t="shared" ref="J7:J12" si="1">+G7+H7+I7</f>
        <v>185.77682403433479</v>
      </c>
      <c r="K7" s="23">
        <f t="shared" ref="K7:K12" si="2">+F7-J7</f>
        <v>2267.7005767473947</v>
      </c>
      <c r="L7" s="29">
        <v>2453.4774007817296</v>
      </c>
      <c r="M7" s="30">
        <v>2267.7005767473947</v>
      </c>
      <c r="N7" s="26">
        <f t="shared" ref="N7:N12" si="3">+G7</f>
        <v>185.77682403433479</v>
      </c>
      <c r="O7" s="26">
        <f>+C48</f>
        <v>6.99</v>
      </c>
      <c r="P7" s="31">
        <f t="shared" ref="P7:P12" si="4">+N7*O7</f>
        <v>1298.5800000000002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v>1350</v>
      </c>
      <c r="C9" s="24">
        <f>L30</f>
        <v>0</v>
      </c>
      <c r="D9" s="34"/>
      <c r="E9" s="25"/>
      <c r="F9" s="26">
        <f t="shared" si="0"/>
        <v>1350</v>
      </c>
      <c r="G9" s="27">
        <f>+B44-H9</f>
        <v>61.49269841269841</v>
      </c>
      <c r="H9" s="24">
        <f>+E9</f>
        <v>0</v>
      </c>
      <c r="I9" s="28"/>
      <c r="J9" s="23">
        <f t="shared" si="1"/>
        <v>61.49269841269841</v>
      </c>
      <c r="K9" s="23">
        <f t="shared" si="2"/>
        <v>1288.5073015873015</v>
      </c>
      <c r="L9" s="29">
        <v>1350</v>
      </c>
      <c r="M9" s="30">
        <v>1288</v>
      </c>
      <c r="N9" s="26">
        <f t="shared" si="3"/>
        <v>61.49269841269841</v>
      </c>
      <c r="O9" s="26">
        <f>+C44</f>
        <v>15.75</v>
      </c>
      <c r="P9" s="31">
        <f t="shared" si="4"/>
        <v>968.51</v>
      </c>
      <c r="Q9" s="32">
        <f t="shared" si="5"/>
        <v>-0.50730158730152652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v>1095</v>
      </c>
      <c r="C10" s="24">
        <f>L31</f>
        <v>0</v>
      </c>
      <c r="D10" s="34"/>
      <c r="E10" s="25"/>
      <c r="F10" s="26">
        <f t="shared" si="0"/>
        <v>1095</v>
      </c>
      <c r="G10" s="27">
        <f>+B45-H10</f>
        <v>65.442458899213719</v>
      </c>
      <c r="H10" s="24">
        <f>+E10</f>
        <v>0</v>
      </c>
      <c r="I10" s="28"/>
      <c r="J10" s="23">
        <f t="shared" si="1"/>
        <v>65.442458899213719</v>
      </c>
      <c r="K10" s="23">
        <f t="shared" si="2"/>
        <v>1029.5575411007862</v>
      </c>
      <c r="L10" s="29">
        <v>1095</v>
      </c>
      <c r="M10" s="30">
        <v>1029</v>
      </c>
      <c r="N10" s="26">
        <f t="shared" si="3"/>
        <v>65.442458899213719</v>
      </c>
      <c r="O10" s="26">
        <f>+C45</f>
        <v>13.99</v>
      </c>
      <c r="P10" s="31">
        <f t="shared" si="4"/>
        <v>915.54</v>
      </c>
      <c r="Q10" s="32">
        <f t="shared" si="5"/>
        <v>-0.55754110078623853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v>1178</v>
      </c>
      <c r="C12" s="40">
        <f>L33</f>
        <v>0</v>
      </c>
      <c r="D12" s="41"/>
      <c r="E12" s="42"/>
      <c r="F12" s="26">
        <f t="shared" si="0"/>
        <v>1178</v>
      </c>
      <c r="G12" s="43">
        <f>+B47-H12</f>
        <v>134.96640457469618</v>
      </c>
      <c r="H12" s="40">
        <f>+E12</f>
        <v>0</v>
      </c>
      <c r="I12" s="28"/>
      <c r="J12" s="44">
        <f t="shared" si="1"/>
        <v>134.96640457469618</v>
      </c>
      <c r="K12" s="44">
        <f t="shared" si="2"/>
        <v>1043.0335954253037</v>
      </c>
      <c r="L12" s="29">
        <v>1178</v>
      </c>
      <c r="M12" s="30">
        <v>1043</v>
      </c>
      <c r="N12" s="42">
        <f t="shared" si="3"/>
        <v>134.96640457469618</v>
      </c>
      <c r="O12" s="42">
        <f>+C47</f>
        <v>13.99</v>
      </c>
      <c r="P12" s="45">
        <f t="shared" si="4"/>
        <v>1888.1799999999996</v>
      </c>
      <c r="Q12" s="32">
        <f t="shared" si="5"/>
        <v>-3.3595425303701631E-2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6076.4774007817296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6076.4774007817296</v>
      </c>
      <c r="G13" s="23">
        <f t="shared" si="6"/>
        <v>447.67838592094313</v>
      </c>
      <c r="H13" s="23">
        <f t="shared" si="6"/>
        <v>0</v>
      </c>
      <c r="I13" s="23">
        <f t="shared" si="6"/>
        <v>0</v>
      </c>
      <c r="J13" s="23">
        <f t="shared" si="6"/>
        <v>447.67838592094313</v>
      </c>
      <c r="K13" s="23">
        <f t="shared" si="6"/>
        <v>5628.799014860786</v>
      </c>
      <c r="L13" s="29">
        <f t="shared" si="6"/>
        <v>6076.4774007817296</v>
      </c>
      <c r="M13" s="23">
        <f t="shared" si="6"/>
        <v>5627.7005767473947</v>
      </c>
      <c r="N13" s="23">
        <f t="shared" si="6"/>
        <v>447.67838592094313</v>
      </c>
      <c r="O13" s="23"/>
      <c r="P13" s="23">
        <f>SUM(P7:P12)</f>
        <v>5070.8099999999995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447.67838592094313</v>
      </c>
      <c r="P16" s="65">
        <f>+P13</f>
        <v>5070.8099999999995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788.36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383.92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7.9999999999472493E-2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951.55</v>
      </c>
      <c r="M22" s="326" t="s">
        <v>85</v>
      </c>
      <c r="N22" s="316"/>
      <c r="O22" s="317"/>
      <c r="P22" s="76">
        <f>+L22</f>
        <v>951.55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>
        <f>782.42+169.13</f>
        <v>951.55</v>
      </c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2946.9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>
        <f>951.55/13.99</f>
        <v>68.016440314510362</v>
      </c>
      <c r="F26" s="60">
        <v>0</v>
      </c>
      <c r="G26" s="61">
        <f t="shared" si="7"/>
        <v>0</v>
      </c>
      <c r="H26" s="70" t="s">
        <v>77</v>
      </c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56</v>
      </c>
      <c r="P30" s="98">
        <f>12888.69/1050</f>
        <v>12.274942857142857</v>
      </c>
      <c r="Q30" s="95">
        <f>+O9-P30</f>
        <v>3.4750571428571426</v>
      </c>
      <c r="S30" s="48">
        <f t="shared" si="8"/>
        <v>0.50730158730152652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11468.46/990</f>
        <v>11.58430303030303</v>
      </c>
      <c r="Q31" s="95">
        <f>+O10-P31</f>
        <v>2.4056969696969706</v>
      </c>
      <c r="S31" s="48">
        <f t="shared" si="8"/>
        <v>0.55754110078623853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 t="s">
        <v>56</v>
      </c>
      <c r="P33" s="98">
        <f>13530.52/1150</f>
        <v>11.765669565217392</v>
      </c>
      <c r="Q33" s="95">
        <f>+O12-P33</f>
        <v>2.2243304347826083</v>
      </c>
      <c r="R33" s="1" t="s">
        <v>55</v>
      </c>
      <c r="S33" s="48">
        <f t="shared" si="8"/>
        <v>3.3595425303701631E-2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45778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2032.3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556.34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914.6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232.02</v>
      </c>
      <c r="C38" s="134">
        <v>383.92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45778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2032.3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788.36</v>
      </c>
      <c r="C40" s="150">
        <f>SUM(C37:C39)</f>
        <v>383.92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2946.9</v>
      </c>
      <c r="M40" s="158" t="s">
        <v>0</v>
      </c>
      <c r="N40" s="159" t="s">
        <v>29</v>
      </c>
      <c r="O40" s="160">
        <f>+L37</f>
        <v>914.6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1172.28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2946.9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61.49269841269841</v>
      </c>
      <c r="C44" s="181">
        <v>15.75</v>
      </c>
      <c r="D44" s="182">
        <v>968.51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65.442458899213719</v>
      </c>
      <c r="C45" s="181">
        <v>13.99</v>
      </c>
      <c r="D45" s="182">
        <v>915.54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134.96640457469618</v>
      </c>
      <c r="C47" s="181">
        <v>13.99</v>
      </c>
      <c r="D47" s="182">
        <v>1888.1799999999998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185.77682403433479</v>
      </c>
      <c r="C48" s="181">
        <v>6.99</v>
      </c>
      <c r="D48" s="182">
        <v>1298.5800000000002</v>
      </c>
      <c r="E48" s="183"/>
      <c r="F48" s="183"/>
      <c r="G48" s="178"/>
      <c r="H48" s="209">
        <f>(L36+B40+P23+P24+P22+L38)-SUM(D44:D47)+(P20+P21)</f>
        <v>-1.9999999999527063E-2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447.67838592094313</v>
      </c>
      <c r="C49" s="212"/>
      <c r="D49" s="213">
        <f>SUM(D44:D48)</f>
        <v>5070.8099999999995</v>
      </c>
      <c r="E49" s="213">
        <v>5070.8099999999995</v>
      </c>
      <c r="F49" s="183"/>
      <c r="G49" s="178"/>
      <c r="H49" s="214">
        <f>(C38+L37+L39)-D48</f>
        <v>-6.0000000000172804E-2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232">
        <f>SUM(G43:G53)</f>
        <v>0</v>
      </c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222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222"/>
      <c r="H57" s="223"/>
      <c r="I57" s="223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222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222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222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222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222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222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241"/>
      <c r="N64" s="107"/>
      <c r="O64" s="107"/>
      <c r="P64" s="107"/>
      <c r="Q64" s="1"/>
    </row>
    <row r="65" spans="1:20" x14ac:dyDescent="0.3">
      <c r="A65" s="234"/>
      <c r="D65" s="107"/>
      <c r="F65" s="244"/>
      <c r="G65" s="241"/>
      <c r="N65" s="107"/>
      <c r="O65" s="107"/>
      <c r="P65" s="107"/>
      <c r="Q65" s="1"/>
    </row>
    <row r="66" spans="1:20" x14ac:dyDescent="0.3">
      <c r="A66" s="234"/>
      <c r="F66" s="244"/>
      <c r="G66" s="241"/>
      <c r="N66" s="107"/>
      <c r="O66" s="107"/>
      <c r="P66" s="107"/>
      <c r="Q66" s="1"/>
    </row>
    <row r="67" spans="1:20" x14ac:dyDescent="0.3">
      <c r="A67" s="234">
        <v>84</v>
      </c>
      <c r="F67" s="246"/>
      <c r="G67" s="241"/>
      <c r="N67" s="107"/>
      <c r="Q67" s="1"/>
    </row>
    <row r="68" spans="1:20" x14ac:dyDescent="0.3">
      <c r="A68" s="239" t="s">
        <v>1</v>
      </c>
      <c r="F68" s="244"/>
      <c r="G68" s="241"/>
      <c r="N68" s="107"/>
      <c r="Q68" s="1"/>
    </row>
    <row r="69" spans="1:20" x14ac:dyDescent="0.3">
      <c r="A69" s="84"/>
      <c r="F69" s="242"/>
      <c r="G69" s="241"/>
      <c r="N69" s="107"/>
      <c r="Q69" s="1"/>
    </row>
    <row r="70" spans="1:20" x14ac:dyDescent="0.3">
      <c r="A70" s="234">
        <v>95</v>
      </c>
      <c r="F70" s="244"/>
      <c r="G70" s="241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41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84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84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84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9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84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84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84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9"/>
      <c r="N79" s="107"/>
      <c r="O79" s="107"/>
      <c r="P79" s="107"/>
      <c r="Q79" s="107"/>
      <c r="R79" s="197"/>
    </row>
    <row r="80" spans="1:20" x14ac:dyDescent="0.3">
      <c r="A80" s="84"/>
      <c r="F80" s="250"/>
      <c r="G80" s="223"/>
      <c r="N80" s="107"/>
      <c r="O80" s="107"/>
      <c r="P80" s="107"/>
      <c r="Q80" s="107"/>
      <c r="R80" s="197"/>
    </row>
    <row r="81" spans="1:19" x14ac:dyDescent="0.3">
      <c r="A81" s="84"/>
      <c r="F81" s="235"/>
      <c r="G81" s="223"/>
      <c r="N81" s="107"/>
      <c r="O81" s="107"/>
      <c r="P81" s="107"/>
      <c r="Q81" s="107"/>
      <c r="R81" s="197"/>
    </row>
    <row r="82" spans="1:19" x14ac:dyDescent="0.3">
      <c r="A82" s="84"/>
      <c r="F82" s="237"/>
      <c r="G82" s="223"/>
      <c r="N82" s="107"/>
      <c r="O82" s="107"/>
      <c r="P82" s="107"/>
      <c r="Q82" s="107"/>
      <c r="R82" s="197"/>
    </row>
    <row r="83" spans="1:19" x14ac:dyDescent="0.3">
      <c r="A83" s="84"/>
      <c r="F83" s="237"/>
      <c r="G83" s="223"/>
      <c r="N83" s="107"/>
      <c r="O83" s="107"/>
      <c r="P83" s="107"/>
      <c r="Q83" s="107"/>
      <c r="R83" s="197"/>
    </row>
    <row r="84" spans="1:19" x14ac:dyDescent="0.3">
      <c r="A84" s="84"/>
      <c r="F84" s="223"/>
      <c r="G84" s="223"/>
      <c r="N84" s="107"/>
      <c r="O84" s="107"/>
      <c r="P84" s="107"/>
      <c r="Q84" s="107"/>
    </row>
    <row r="85" spans="1:19" x14ac:dyDescent="0.3">
      <c r="N85" s="107"/>
      <c r="O85" s="107"/>
      <c r="P85" s="107"/>
      <c r="Q85" s="107"/>
    </row>
    <row r="86" spans="1:19" x14ac:dyDescent="0.3">
      <c r="N86" s="107"/>
      <c r="O86" s="202"/>
      <c r="P86" s="202"/>
      <c r="Q86" s="107"/>
    </row>
    <row r="87" spans="1:19" x14ac:dyDescent="0.3">
      <c r="N87" s="107"/>
      <c r="O87" s="202"/>
      <c r="P87" s="202"/>
      <c r="Q87" s="107"/>
    </row>
    <row r="88" spans="1:19" x14ac:dyDescent="0.3">
      <c r="N88" s="107"/>
      <c r="O88" s="202"/>
      <c r="P88" s="202"/>
      <c r="Q88" s="107"/>
    </row>
    <row r="89" spans="1:19" x14ac:dyDescent="0.3">
      <c r="N89" s="107"/>
      <c r="O89" s="202"/>
      <c r="P89" s="202"/>
      <c r="Q89" s="107"/>
    </row>
    <row r="90" spans="1:19" x14ac:dyDescent="0.3">
      <c r="N90" s="107"/>
      <c r="O90" s="202"/>
      <c r="P90" s="202"/>
      <c r="Q90" s="107"/>
    </row>
    <row r="91" spans="1:19" x14ac:dyDescent="0.3">
      <c r="N91" s="107"/>
      <c r="O91" s="202"/>
      <c r="P91" s="202"/>
      <c r="Q91" s="107"/>
      <c r="S91" s="251"/>
    </row>
    <row r="92" spans="1:19" x14ac:dyDescent="0.3">
      <c r="Q92" s="1"/>
    </row>
    <row r="93" spans="1:19" x14ac:dyDescent="0.3">
      <c r="Q93" s="1"/>
    </row>
    <row r="94" spans="1:19" x14ac:dyDescent="0.3">
      <c r="Q94" s="1"/>
    </row>
    <row r="95" spans="1:19" s="2" customFormat="1" x14ac:dyDescent="0.3">
      <c r="H95" s="1"/>
      <c r="I95" s="1"/>
      <c r="J95" s="1"/>
      <c r="K95" s="1"/>
      <c r="L95" s="1"/>
      <c r="M95" s="1"/>
    </row>
    <row r="96" spans="1:19" s="2" customFormat="1" x14ac:dyDescent="0.3">
      <c r="H96" s="1"/>
      <c r="I96" s="1"/>
      <c r="J96" s="1"/>
      <c r="K96" s="1"/>
      <c r="L96" s="1"/>
      <c r="M96" s="1"/>
    </row>
    <row r="97" spans="8:19" s="2" customFormat="1" x14ac:dyDescent="0.3">
      <c r="H97" s="1"/>
      <c r="I97" s="1"/>
      <c r="J97" s="1"/>
      <c r="K97" s="1"/>
      <c r="L97" s="1"/>
      <c r="M97" s="1"/>
    </row>
    <row r="98" spans="8:19" s="2" customFormat="1" x14ac:dyDescent="0.3"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8:19" s="2" customFormat="1" x14ac:dyDescent="0.3"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8:19" s="2" customFormat="1" x14ac:dyDescent="0.3"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8:19" s="2" customFormat="1" x14ac:dyDescent="0.3"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8:19" s="2" customFormat="1" x14ac:dyDescent="0.3"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8:19" x14ac:dyDescent="0.3">
      <c r="N103" s="107"/>
      <c r="O103" s="202"/>
      <c r="P103" s="202"/>
      <c r="Q103" s="107"/>
    </row>
    <row r="104" spans="8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8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8:19" x14ac:dyDescent="0.3">
      <c r="H106" s="2"/>
      <c r="I106" s="2"/>
      <c r="J106" s="2"/>
      <c r="K106" s="2"/>
      <c r="L106" s="2"/>
      <c r="M106" s="2"/>
      <c r="N106" s="107"/>
      <c r="O106" s="202"/>
      <c r="Q106" s="107"/>
    </row>
    <row r="107" spans="8:19" x14ac:dyDescent="0.3">
      <c r="H107" s="2"/>
      <c r="I107" s="2"/>
      <c r="J107" s="2"/>
      <c r="K107" s="2"/>
      <c r="L107" s="2"/>
      <c r="M107" s="2"/>
      <c r="N107" s="107"/>
      <c r="O107" s="202"/>
      <c r="Q107" s="107"/>
    </row>
    <row r="108" spans="8:19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8:19" x14ac:dyDescent="0.3"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8:19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8:19" x14ac:dyDescent="0.3">
      <c r="H111" s="2"/>
      <c r="I111" s="2"/>
      <c r="J111" s="2"/>
      <c r="K111" s="2"/>
      <c r="L111" s="2"/>
      <c r="M111" s="2"/>
      <c r="N111" s="107"/>
      <c r="O111" s="202"/>
      <c r="Q111" s="107"/>
    </row>
    <row r="112" spans="8:19" x14ac:dyDescent="0.3">
      <c r="H112" s="2"/>
      <c r="I112" s="2"/>
      <c r="J112" s="2"/>
      <c r="K112" s="2"/>
      <c r="L112" s="2"/>
      <c r="M112" s="2"/>
      <c r="N112" s="107"/>
      <c r="O112" s="202"/>
      <c r="Q112" s="107"/>
    </row>
    <row r="113" spans="8:17" x14ac:dyDescent="0.3">
      <c r="H113" s="2"/>
      <c r="I113" s="2"/>
      <c r="J113" s="2"/>
      <c r="K113" s="2"/>
      <c r="L113" s="2"/>
      <c r="M113" s="2"/>
      <c r="N113" s="107"/>
      <c r="O113" s="202"/>
      <c r="Q113" s="107"/>
    </row>
    <row r="114" spans="8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8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8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8:17" x14ac:dyDescent="0.3">
      <c r="H117" s="2"/>
      <c r="I117" s="2"/>
      <c r="J117" s="2"/>
      <c r="K117" s="2"/>
      <c r="L117" s="2"/>
      <c r="M117" s="2"/>
      <c r="N117" s="107"/>
      <c r="O117" s="202"/>
    </row>
    <row r="118" spans="8:17" x14ac:dyDescent="0.3">
      <c r="H118" s="2"/>
      <c r="I118" s="2"/>
      <c r="J118" s="2"/>
      <c r="K118" s="2"/>
      <c r="L118" s="2"/>
      <c r="M118" s="2"/>
      <c r="N118" s="107"/>
      <c r="O118" s="202"/>
    </row>
    <row r="119" spans="8:17" x14ac:dyDescent="0.3">
      <c r="N119" s="107"/>
      <c r="O119" s="202"/>
    </row>
    <row r="120" spans="8:17" x14ac:dyDescent="0.3">
      <c r="N120" s="107"/>
      <c r="O120" s="202"/>
    </row>
    <row r="121" spans="8:17" x14ac:dyDescent="0.3">
      <c r="N121" s="107"/>
      <c r="O121" s="202"/>
    </row>
    <row r="122" spans="8:17" x14ac:dyDescent="0.3">
      <c r="N122" s="107"/>
    </row>
    <row r="123" spans="8:17" x14ac:dyDescent="0.3">
      <c r="N123" s="107"/>
    </row>
    <row r="124" spans="8:17" x14ac:dyDescent="0.3">
      <c r="N124" s="107"/>
    </row>
    <row r="125" spans="8:17" x14ac:dyDescent="0.3">
      <c r="N125" s="107"/>
    </row>
    <row r="126" spans="8:17" x14ac:dyDescent="0.3">
      <c r="N126" s="107"/>
    </row>
    <row r="127" spans="8:17" x14ac:dyDescent="0.3">
      <c r="N127" s="107"/>
    </row>
    <row r="128" spans="8:17" x14ac:dyDescent="0.3">
      <c r="N128" s="107"/>
      <c r="O128" s="254"/>
      <c r="P128" s="254"/>
    </row>
    <row r="129" spans="8:16" s="2" customFormat="1" x14ac:dyDescent="0.3">
      <c r="H129" s="1"/>
      <c r="I129" s="1"/>
      <c r="J129" s="1"/>
      <c r="K129" s="1"/>
      <c r="L129" s="1"/>
      <c r="M129" s="1"/>
      <c r="N129" s="107"/>
      <c r="O129" s="1"/>
      <c r="P129" s="1"/>
    </row>
    <row r="130" spans="8:16" s="2" customFormat="1" x14ac:dyDescent="0.3">
      <c r="H130" s="1"/>
      <c r="I130" s="1"/>
      <c r="J130" s="1"/>
      <c r="K130" s="1"/>
      <c r="L130" s="1"/>
      <c r="M130" s="1"/>
      <c r="N130" s="107"/>
      <c r="O130" s="1"/>
      <c r="P130" s="1"/>
    </row>
    <row r="131" spans="8:16" s="2" customFormat="1" x14ac:dyDescent="0.3">
      <c r="H131" s="1"/>
      <c r="I131" s="1"/>
      <c r="J131" s="1"/>
      <c r="K131" s="1"/>
      <c r="L131" s="1"/>
      <c r="M131" s="1"/>
      <c r="N131" s="107"/>
      <c r="O131" s="1"/>
      <c r="P131" s="1"/>
    </row>
    <row r="132" spans="8:16" s="2" customFormat="1" x14ac:dyDescent="0.3">
      <c r="H132" s="1"/>
      <c r="I132" s="1"/>
      <c r="J132" s="1"/>
      <c r="K132" s="1"/>
      <c r="L132" s="1"/>
      <c r="M132" s="1"/>
      <c r="N132" s="107"/>
      <c r="O132" s="1"/>
      <c r="P132" s="1"/>
    </row>
    <row r="133" spans="8:16" s="2" customFormat="1" x14ac:dyDescent="0.3">
      <c r="H133" s="1"/>
      <c r="I133" s="1"/>
      <c r="J133" s="1"/>
      <c r="K133" s="1"/>
      <c r="L133" s="1"/>
      <c r="M133" s="1"/>
      <c r="N133" s="107"/>
      <c r="O133" s="1"/>
      <c r="P133" s="1"/>
    </row>
    <row r="134" spans="8:16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8:16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8:16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8:16" s="2" customFormat="1" x14ac:dyDescent="0.3">
      <c r="H137" s="1"/>
      <c r="I137" s="1"/>
      <c r="J137" s="1"/>
      <c r="K137" s="1"/>
      <c r="L137" s="1"/>
      <c r="M137" s="1"/>
      <c r="N137" s="107"/>
      <c r="O137" s="1"/>
      <c r="P137" s="1"/>
    </row>
    <row r="138" spans="8:16" s="2" customFormat="1" x14ac:dyDescent="0.3">
      <c r="H138" s="1"/>
      <c r="I138" s="1"/>
      <c r="J138" s="1"/>
      <c r="K138" s="1"/>
      <c r="L138" s="1"/>
      <c r="M138" s="1"/>
      <c r="N138" s="107"/>
      <c r="O138" s="1"/>
      <c r="P138" s="1"/>
    </row>
    <row r="139" spans="8:16" s="2" customFormat="1" x14ac:dyDescent="0.3">
      <c r="H139" s="1"/>
      <c r="I139" s="1"/>
      <c r="J139" s="1"/>
      <c r="K139" s="1"/>
      <c r="L139" s="1"/>
      <c r="M139" s="1"/>
      <c r="N139" s="107"/>
      <c r="O139" s="1"/>
      <c r="P139" s="1"/>
    </row>
    <row r="140" spans="8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8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8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8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</sheetData>
  <autoFilter ref="A6:P6" xr:uid="{00000000-0009-0000-0000-000000000000}"/>
  <mergeCells count="64">
    <mergeCell ref="A14:H14"/>
    <mergeCell ref="A24:B24"/>
    <mergeCell ref="I3:J3"/>
    <mergeCell ref="A19:B19"/>
    <mergeCell ref="A1:H3"/>
    <mergeCell ref="I17:J17"/>
    <mergeCell ref="A15:B15"/>
    <mergeCell ref="I2:J2"/>
    <mergeCell ref="C5:F5"/>
    <mergeCell ref="M24:O24"/>
    <mergeCell ref="M22:O22"/>
    <mergeCell ref="M25:N25"/>
    <mergeCell ref="M23:O23"/>
    <mergeCell ref="I1:J1"/>
    <mergeCell ref="I14:L14"/>
    <mergeCell ref="N5:P5"/>
    <mergeCell ref="M17:N17"/>
    <mergeCell ref="O4:P4"/>
    <mergeCell ref="M19:O19"/>
    <mergeCell ref="L5:M5"/>
    <mergeCell ref="O3:P3"/>
    <mergeCell ref="K1:M1"/>
    <mergeCell ref="K2:M2"/>
    <mergeCell ref="O1:P1"/>
    <mergeCell ref="M15:N15"/>
    <mergeCell ref="K3:M3"/>
    <mergeCell ref="M14:P14"/>
    <mergeCell ref="O2:P2"/>
    <mergeCell ref="A35:C35"/>
    <mergeCell ref="I16:J16"/>
    <mergeCell ref="I31:J31"/>
    <mergeCell ref="A22:B22"/>
    <mergeCell ref="I19:J19"/>
    <mergeCell ref="A28:B28"/>
    <mergeCell ref="A33:B33"/>
    <mergeCell ref="A34:H34"/>
    <mergeCell ref="I18:L18"/>
    <mergeCell ref="I26:J26"/>
    <mergeCell ref="I20:J20"/>
    <mergeCell ref="A20:B20"/>
    <mergeCell ref="A27:B27"/>
    <mergeCell ref="A16:B16"/>
    <mergeCell ref="A23:B23"/>
    <mergeCell ref="A17:B17"/>
    <mergeCell ref="A25:B25"/>
    <mergeCell ref="A26:B26"/>
    <mergeCell ref="A18:B18"/>
    <mergeCell ref="A21:B21"/>
    <mergeCell ref="H43:L43"/>
    <mergeCell ref="M21:O21"/>
    <mergeCell ref="K26:P26"/>
    <mergeCell ref="K20:L20"/>
    <mergeCell ref="G5:J5"/>
    <mergeCell ref="M38:N38"/>
    <mergeCell ref="M41:N41"/>
    <mergeCell ref="O41:P41"/>
    <mergeCell ref="K19:L19"/>
    <mergeCell ref="M16:N16"/>
    <mergeCell ref="M18:N18"/>
    <mergeCell ref="I15:J15"/>
    <mergeCell ref="M20:O20"/>
    <mergeCell ref="M35:P35"/>
    <mergeCell ref="M36:P37"/>
    <mergeCell ref="I37:J3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45787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130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+'09'!K7</f>
        <v>2727.4523747616854</v>
      </c>
      <c r="C7" s="24">
        <f>L28+L29</f>
        <v>0</v>
      </c>
      <c r="D7" s="25"/>
      <c r="E7" s="25"/>
      <c r="F7" s="26">
        <f t="shared" ref="F7:F12" si="0">+B7+C7+D7+E7</f>
        <v>2727.4523747616854</v>
      </c>
      <c r="G7" s="27">
        <f>B48-H7</f>
        <v>230.50071530758225</v>
      </c>
      <c r="H7" s="24"/>
      <c r="I7" s="28"/>
      <c r="J7" s="23">
        <f t="shared" ref="J7:J12" si="1">+G7+H7+I7</f>
        <v>230.50071530758225</v>
      </c>
      <c r="K7" s="23">
        <f t="shared" ref="K7:K12" si="2">+F7-J7</f>
        <v>2496.9516594541033</v>
      </c>
      <c r="L7" s="29">
        <f>+'09'!M7</f>
        <v>2727.4523747616854</v>
      </c>
      <c r="M7" s="30">
        <v>2496.9516594541033</v>
      </c>
      <c r="N7" s="26">
        <f t="shared" ref="N7:N12" si="3">+G7</f>
        <v>230.50071530758225</v>
      </c>
      <c r="O7" s="26">
        <f>+C48</f>
        <v>6.99</v>
      </c>
      <c r="P7" s="31">
        <f t="shared" ref="P7:P12" si="4">+N7*O7</f>
        <v>1611.2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+'09'!K8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+'09'!M8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+'09'!K9</f>
        <v>1588.0793650793653</v>
      </c>
      <c r="C9" s="24">
        <f>L30</f>
        <v>0</v>
      </c>
      <c r="D9" s="34"/>
      <c r="E9" s="25"/>
      <c r="F9" s="26">
        <f t="shared" si="0"/>
        <v>1588.0793650793653</v>
      </c>
      <c r="G9" s="27">
        <f>+B44-H9</f>
        <v>45.331428571428575</v>
      </c>
      <c r="H9" s="24">
        <f>+E9</f>
        <v>0</v>
      </c>
      <c r="I9" s="28"/>
      <c r="J9" s="23">
        <f t="shared" si="1"/>
        <v>45.331428571428575</v>
      </c>
      <c r="K9" s="23">
        <f t="shared" si="2"/>
        <v>1542.7479365079366</v>
      </c>
      <c r="L9" s="29">
        <f>+'09'!M9</f>
        <v>1580</v>
      </c>
      <c r="M9" s="30">
        <v>1538</v>
      </c>
      <c r="N9" s="26">
        <f t="shared" si="3"/>
        <v>45.331428571428575</v>
      </c>
      <c r="O9" s="26">
        <f>+C44</f>
        <v>15.75</v>
      </c>
      <c r="P9" s="31">
        <f t="shared" si="4"/>
        <v>713.97</v>
      </c>
      <c r="Q9" s="32">
        <f t="shared" si="5"/>
        <v>-4.7479365079366289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+'09'!K10</f>
        <v>1220.6068620443175</v>
      </c>
      <c r="C10" s="24">
        <f>L31</f>
        <v>0</v>
      </c>
      <c r="D10" s="34"/>
      <c r="E10" s="25"/>
      <c r="F10" s="26">
        <f t="shared" si="0"/>
        <v>1220.6068620443175</v>
      </c>
      <c r="G10" s="27">
        <f>+B45-H10</f>
        <v>76.844889206576127</v>
      </c>
      <c r="H10" s="24">
        <f>+E10</f>
        <v>0</v>
      </c>
      <c r="I10" s="28"/>
      <c r="J10" s="23">
        <f t="shared" si="1"/>
        <v>76.844889206576127</v>
      </c>
      <c r="K10" s="23">
        <f t="shared" si="2"/>
        <v>1143.7619728377413</v>
      </c>
      <c r="L10" s="29">
        <f>+'09'!M10</f>
        <v>1210</v>
      </c>
      <c r="M10" s="30">
        <v>1135</v>
      </c>
      <c r="N10" s="26">
        <f t="shared" si="3"/>
        <v>76.844889206576127</v>
      </c>
      <c r="O10" s="26">
        <f>+C45</f>
        <v>13.99</v>
      </c>
      <c r="P10" s="31">
        <f t="shared" si="4"/>
        <v>1075.06</v>
      </c>
      <c r="Q10" s="32">
        <f t="shared" si="5"/>
        <v>-8.7619728377412684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+'09'!K11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+'09'!M11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+'09'!K12</f>
        <v>1630.6204431736955</v>
      </c>
      <c r="C12" s="40">
        <f>L33</f>
        <v>0</v>
      </c>
      <c r="D12" s="41"/>
      <c r="E12" s="42"/>
      <c r="F12" s="26">
        <f t="shared" si="0"/>
        <v>1630.6204431736955</v>
      </c>
      <c r="G12" s="43">
        <f>+B47-H12</f>
        <v>102.50321658327377</v>
      </c>
      <c r="H12" s="40">
        <f>+E12</f>
        <v>0</v>
      </c>
      <c r="I12" s="28"/>
      <c r="J12" s="44">
        <f t="shared" si="1"/>
        <v>102.50321658327377</v>
      </c>
      <c r="K12" s="44">
        <f t="shared" si="2"/>
        <v>1528.1172265904218</v>
      </c>
      <c r="L12" s="29">
        <f>+'09'!M12</f>
        <v>1630</v>
      </c>
      <c r="M12" s="30">
        <v>1530</v>
      </c>
      <c r="N12" s="42">
        <f t="shared" si="3"/>
        <v>102.50321658327377</v>
      </c>
      <c r="O12" s="42">
        <f>+C47</f>
        <v>13.99</v>
      </c>
      <c r="P12" s="45">
        <f t="shared" si="4"/>
        <v>1434.02</v>
      </c>
      <c r="Q12" s="32">
        <f t="shared" si="5"/>
        <v>1.8827734095782489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7166.7590450590633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7166.7590450590633</v>
      </c>
      <c r="G13" s="23">
        <f t="shared" si="6"/>
        <v>455.18024966886071</v>
      </c>
      <c r="H13" s="23">
        <f t="shared" si="6"/>
        <v>0</v>
      </c>
      <c r="I13" s="23">
        <f t="shared" si="6"/>
        <v>0</v>
      </c>
      <c r="J13" s="23">
        <f t="shared" si="6"/>
        <v>455.18024966886071</v>
      </c>
      <c r="K13" s="23">
        <f t="shared" si="6"/>
        <v>6711.5787953902027</v>
      </c>
      <c r="L13" s="29">
        <f t="shared" si="6"/>
        <v>7147.4523747616859</v>
      </c>
      <c r="M13" s="23">
        <f t="shared" si="6"/>
        <v>6699.9516594541037</v>
      </c>
      <c r="N13" s="23">
        <f t="shared" si="6"/>
        <v>455.18024966886071</v>
      </c>
      <c r="O13" s="23"/>
      <c r="P13" s="23">
        <f>SUM(P7:P12)</f>
        <v>4834.25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455.18024966886071</v>
      </c>
      <c r="P16" s="65">
        <f>+P13</f>
        <v>4834.25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871.03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328.52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2.5899999999996908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223.01</v>
      </c>
      <c r="M22" s="326" t="s">
        <v>85</v>
      </c>
      <c r="N22" s="316"/>
      <c r="O22" s="317"/>
      <c r="P22" s="76">
        <f>+L22</f>
        <v>223.01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>
        <v>223.01</v>
      </c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3409.1000000000004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>
        <f>223.01/13.99</f>
        <v>15.940671908506076</v>
      </c>
      <c r="F26" s="60">
        <v>0</v>
      </c>
      <c r="G26" s="61">
        <f t="shared" si="7"/>
        <v>0</v>
      </c>
      <c r="H26" s="70" t="s">
        <v>158</v>
      </c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4.7479365079366289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8.7619728377412684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-1.8827734095782489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45787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2129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746.02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1280.0999999999999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125.01</v>
      </c>
      <c r="C38" s="134">
        <v>328.52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45787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2129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871.03</v>
      </c>
      <c r="C40" s="150">
        <f>SUM(C37:C39)</f>
        <v>328.52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3409.1</v>
      </c>
      <c r="M40" s="158" t="s">
        <v>0</v>
      </c>
      <c r="N40" s="159" t="s">
        <v>29</v>
      </c>
      <c r="O40" s="160">
        <f>+L37</f>
        <v>1280.0999999999999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1199.55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3409.1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45.331428571428575</v>
      </c>
      <c r="C44" s="181">
        <v>15.75</v>
      </c>
      <c r="D44" s="182">
        <v>713.97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76.844889206576127</v>
      </c>
      <c r="C45" s="181">
        <v>13.99</v>
      </c>
      <c r="D45" s="182">
        <v>1075.06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102.50321658327377</v>
      </c>
      <c r="C47" s="181">
        <v>13.99</v>
      </c>
      <c r="D47" s="182">
        <v>1434.02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230.50071530758225</v>
      </c>
      <c r="C48" s="181">
        <v>6.99</v>
      </c>
      <c r="D48" s="182">
        <v>1611.2</v>
      </c>
      <c r="E48" s="183"/>
      <c r="F48" s="183"/>
      <c r="G48" s="178"/>
      <c r="H48" s="209">
        <f>(L36+B40+P23+P24+P22+L38)-SUM(D44:D47)+(P20+P21)</f>
        <v>-1.0000000000218279E-2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455.18024966886071</v>
      </c>
      <c r="C49" s="212"/>
      <c r="D49" s="213">
        <f>SUM(D44:D48)</f>
        <v>4834.25</v>
      </c>
      <c r="E49" s="213">
        <v>4834.25</v>
      </c>
      <c r="F49" s="183"/>
      <c r="G49" s="178"/>
      <c r="H49" s="214">
        <f>(C38+L37+L39)-D48</f>
        <v>-2.5800000000001546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09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45788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131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+'10'!K7</f>
        <v>2496.9516594541033</v>
      </c>
      <c r="C7" s="24">
        <f>L28+L29</f>
        <v>0</v>
      </c>
      <c r="D7" s="25"/>
      <c r="E7" s="25"/>
      <c r="F7" s="26">
        <f t="shared" ref="F7:F12" si="0">+B7+C7+D7+E7</f>
        <v>2496.9516594541033</v>
      </c>
      <c r="G7" s="27">
        <f>B48-H7</f>
        <v>151.33333333333334</v>
      </c>
      <c r="H7" s="24"/>
      <c r="I7" s="28"/>
      <c r="J7" s="23">
        <f t="shared" ref="J7:J12" si="1">+G7+H7+I7</f>
        <v>151.33333333333334</v>
      </c>
      <c r="K7" s="23">
        <f t="shared" ref="K7:K12" si="2">+F7-J7</f>
        <v>2345.6183261207698</v>
      </c>
      <c r="L7" s="29">
        <f>+'10'!M7</f>
        <v>2496.9516594541033</v>
      </c>
      <c r="M7" s="30">
        <v>2345.6183261207698</v>
      </c>
      <c r="N7" s="26">
        <f t="shared" ref="N7:N12" si="3">+G7</f>
        <v>151.33333333333334</v>
      </c>
      <c r="O7" s="26">
        <f>+C48</f>
        <v>6.99</v>
      </c>
      <c r="P7" s="31">
        <f t="shared" ref="P7:P12" si="4">+N7*O7</f>
        <v>1057.8200000000002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+'10'!K8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+'10'!M8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+'10'!K9</f>
        <v>1542.7479365079366</v>
      </c>
      <c r="C9" s="24">
        <f>L30</f>
        <v>0</v>
      </c>
      <c r="D9" s="34"/>
      <c r="E9" s="25"/>
      <c r="F9" s="26">
        <f t="shared" si="0"/>
        <v>1542.7479365079366</v>
      </c>
      <c r="G9" s="27">
        <f>+B44-H9</f>
        <v>56.266666666666673</v>
      </c>
      <c r="H9" s="24">
        <f>+E9</f>
        <v>0</v>
      </c>
      <c r="I9" s="28"/>
      <c r="J9" s="23">
        <f t="shared" si="1"/>
        <v>56.266666666666673</v>
      </c>
      <c r="K9" s="23">
        <f t="shared" si="2"/>
        <v>1486.48126984127</v>
      </c>
      <c r="L9" s="29">
        <f>+'10'!M9</f>
        <v>1538</v>
      </c>
      <c r="M9" s="30">
        <v>1480</v>
      </c>
      <c r="N9" s="26">
        <f t="shared" si="3"/>
        <v>56.266666666666673</v>
      </c>
      <c r="O9" s="26">
        <f>+C44</f>
        <v>15.75</v>
      </c>
      <c r="P9" s="31">
        <f t="shared" si="4"/>
        <v>886.2</v>
      </c>
      <c r="Q9" s="32">
        <f t="shared" si="5"/>
        <v>-6.4812698412699774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+'10'!K10</f>
        <v>1143.7619728377413</v>
      </c>
      <c r="C10" s="24">
        <f>L31</f>
        <v>0</v>
      </c>
      <c r="D10" s="34"/>
      <c r="E10" s="25"/>
      <c r="F10" s="26">
        <f t="shared" si="0"/>
        <v>1143.7619728377413</v>
      </c>
      <c r="G10" s="27">
        <f>+B45-H10</f>
        <v>65.933523945675475</v>
      </c>
      <c r="H10" s="24">
        <f>+E10</f>
        <v>0</v>
      </c>
      <c r="I10" s="28"/>
      <c r="J10" s="23">
        <f t="shared" si="1"/>
        <v>65.933523945675475</v>
      </c>
      <c r="K10" s="23">
        <f t="shared" si="2"/>
        <v>1077.8284488920658</v>
      </c>
      <c r="L10" s="29">
        <f>+'10'!M10</f>
        <v>1135</v>
      </c>
      <c r="M10" s="30">
        <v>1070</v>
      </c>
      <c r="N10" s="26">
        <f t="shared" si="3"/>
        <v>65.933523945675475</v>
      </c>
      <c r="O10" s="26">
        <f>+C45</f>
        <v>13.99</v>
      </c>
      <c r="P10" s="31">
        <f t="shared" si="4"/>
        <v>922.40999999999985</v>
      </c>
      <c r="Q10" s="32">
        <f t="shared" si="5"/>
        <v>-7.8284488920658077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+'10'!K11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+'10'!M11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+'10'!K12</f>
        <v>1528.1172265904218</v>
      </c>
      <c r="C12" s="40">
        <f>L33</f>
        <v>0</v>
      </c>
      <c r="D12" s="41"/>
      <c r="E12" s="42"/>
      <c r="F12" s="26">
        <f t="shared" si="0"/>
        <v>1528.1172265904218</v>
      </c>
      <c r="G12" s="43">
        <f>+B47-H12</f>
        <v>24.981415296640456</v>
      </c>
      <c r="H12" s="40">
        <f>+E12</f>
        <v>0</v>
      </c>
      <c r="I12" s="28"/>
      <c r="J12" s="44">
        <f t="shared" si="1"/>
        <v>24.981415296640456</v>
      </c>
      <c r="K12" s="44">
        <f t="shared" si="2"/>
        <v>1503.1358112937812</v>
      </c>
      <c r="L12" s="29">
        <f>+'10'!M12</f>
        <v>1530</v>
      </c>
      <c r="M12" s="30">
        <v>1505</v>
      </c>
      <c r="N12" s="42">
        <f t="shared" si="3"/>
        <v>24.981415296640456</v>
      </c>
      <c r="O12" s="42">
        <f>+C47</f>
        <v>13.99</v>
      </c>
      <c r="P12" s="45">
        <f t="shared" si="4"/>
        <v>349.49</v>
      </c>
      <c r="Q12" s="32">
        <f t="shared" si="5"/>
        <v>1.8641887062187834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6711.5787953902027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6711.5787953902027</v>
      </c>
      <c r="G13" s="23">
        <f t="shared" si="6"/>
        <v>298.51493924231596</v>
      </c>
      <c r="H13" s="23">
        <f t="shared" si="6"/>
        <v>0</v>
      </c>
      <c r="I13" s="23">
        <f t="shared" si="6"/>
        <v>0</v>
      </c>
      <c r="J13" s="23">
        <f t="shared" si="6"/>
        <v>298.51493924231596</v>
      </c>
      <c r="K13" s="23">
        <f t="shared" si="6"/>
        <v>6413.0638561478863</v>
      </c>
      <c r="L13" s="29">
        <f t="shared" si="6"/>
        <v>6699.9516594541037</v>
      </c>
      <c r="M13" s="23">
        <f t="shared" si="6"/>
        <v>6400.6183261207698</v>
      </c>
      <c r="N13" s="23">
        <f t="shared" si="6"/>
        <v>298.51493924231596</v>
      </c>
      <c r="O13" s="23"/>
      <c r="P13" s="23">
        <f>SUM(P7:P12)</f>
        <v>3215.92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298.51493924231596</v>
      </c>
      <c r="P16" s="65">
        <f>+P13</f>
        <v>3215.92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940.48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195.84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0.20000000000027285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2079.3999999999996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6.4812698412699774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7.8284488920658077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-1.8641887062187834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45788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1217.5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650.48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861.90000000000009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290</v>
      </c>
      <c r="C38" s="134">
        <v>195.84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45788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1217.5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940.48</v>
      </c>
      <c r="C40" s="150">
        <f>SUM(C37:C39)</f>
        <v>195.84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2079.4</v>
      </c>
      <c r="M40" s="158" t="s">
        <v>0</v>
      </c>
      <c r="N40" s="159" t="s">
        <v>29</v>
      </c>
      <c r="O40" s="160">
        <f>+L37</f>
        <v>861.90000000000009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1136.32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2079.4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56.266666666666673</v>
      </c>
      <c r="C44" s="181">
        <v>15.75</v>
      </c>
      <c r="D44" s="182">
        <v>886.2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65.933523945675475</v>
      </c>
      <c r="C45" s="181">
        <v>13.99</v>
      </c>
      <c r="D45" s="182">
        <v>922.41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24.981415296640456</v>
      </c>
      <c r="C47" s="181">
        <v>13.99</v>
      </c>
      <c r="D47" s="182">
        <v>349.49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151.33333333333334</v>
      </c>
      <c r="C48" s="181">
        <v>6.99</v>
      </c>
      <c r="D48" s="182">
        <v>1057.8200000000002</v>
      </c>
      <c r="E48" s="183"/>
      <c r="F48" s="183"/>
      <c r="G48" s="178"/>
      <c r="H48" s="209">
        <f>(L36+B40+P23+P24+P22+L38)-SUM(D44:D47)+(P20+P21)</f>
        <v>-0.12000000000034561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298.5149392423159</v>
      </c>
      <c r="C49" s="212"/>
      <c r="D49" s="213">
        <f>SUM(D44:D48)</f>
        <v>3215.9200000000005</v>
      </c>
      <c r="E49" s="213">
        <v>3215.9200000000005</v>
      </c>
      <c r="F49" s="183"/>
      <c r="G49" s="178"/>
      <c r="H49" s="214">
        <f>(C38+L37+L39)-D48</f>
        <v>-8.0000000000154614E-2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0A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45789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132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+'11'!K7</f>
        <v>2345.6183261207698</v>
      </c>
      <c r="C7" s="24">
        <f>L28+L29</f>
        <v>0</v>
      </c>
      <c r="D7" s="25"/>
      <c r="E7" s="25"/>
      <c r="F7" s="26">
        <f t="shared" ref="F7:F12" si="0">+B7+C7+D7+E7</f>
        <v>2345.6183261207698</v>
      </c>
      <c r="G7" s="27">
        <f>B48-H7</f>
        <v>132.55507868383404</v>
      </c>
      <c r="H7" s="24"/>
      <c r="I7" s="28"/>
      <c r="J7" s="23">
        <f t="shared" ref="J7:J12" si="1">+G7+H7+I7</f>
        <v>132.55507868383404</v>
      </c>
      <c r="K7" s="23">
        <f t="shared" ref="K7:K12" si="2">+F7-J7</f>
        <v>2213.0632474369359</v>
      </c>
      <c r="L7" s="29">
        <f>+'11'!M7</f>
        <v>2345.6183261207698</v>
      </c>
      <c r="M7" s="30">
        <v>2213.0632474369359</v>
      </c>
      <c r="N7" s="26">
        <f t="shared" ref="N7:N12" si="3">+G7</f>
        <v>132.55507868383404</v>
      </c>
      <c r="O7" s="26">
        <f>+C48</f>
        <v>6.99</v>
      </c>
      <c r="P7" s="31">
        <f t="shared" ref="P7:P12" si="4">+N7*O7</f>
        <v>926.56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+'11'!K8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+'11'!M8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+'11'!K9</f>
        <v>1486.48126984127</v>
      </c>
      <c r="C9" s="24">
        <f>L30</f>
        <v>0</v>
      </c>
      <c r="D9" s="34"/>
      <c r="E9" s="25"/>
      <c r="F9" s="26">
        <f t="shared" si="0"/>
        <v>1486.48126984127</v>
      </c>
      <c r="G9" s="27">
        <f>+B44-H9</f>
        <v>94.150476190476184</v>
      </c>
      <c r="H9" s="24">
        <f>+E9</f>
        <v>0</v>
      </c>
      <c r="I9" s="28"/>
      <c r="J9" s="23">
        <f t="shared" si="1"/>
        <v>94.150476190476184</v>
      </c>
      <c r="K9" s="23">
        <f t="shared" si="2"/>
        <v>1392.3307936507938</v>
      </c>
      <c r="L9" s="29">
        <f>+'11'!M9</f>
        <v>1480</v>
      </c>
      <c r="M9" s="30">
        <v>1385</v>
      </c>
      <c r="N9" s="26">
        <f t="shared" si="3"/>
        <v>94.150476190476184</v>
      </c>
      <c r="O9" s="26">
        <f>+C44</f>
        <v>15.75</v>
      </c>
      <c r="P9" s="31">
        <f t="shared" si="4"/>
        <v>1482.87</v>
      </c>
      <c r="Q9" s="32">
        <f t="shared" si="5"/>
        <v>-7.3307936507937939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+'11'!K10</f>
        <v>1077.8284488920658</v>
      </c>
      <c r="C10" s="24">
        <f>L31</f>
        <v>0</v>
      </c>
      <c r="D10" s="34"/>
      <c r="E10" s="25"/>
      <c r="F10" s="26">
        <f t="shared" si="0"/>
        <v>1077.8284488920658</v>
      </c>
      <c r="G10" s="27">
        <f>+B45-H10</f>
        <v>112.53538241601144</v>
      </c>
      <c r="H10" s="24">
        <f>+E10</f>
        <v>0</v>
      </c>
      <c r="I10" s="28"/>
      <c r="J10" s="23">
        <f t="shared" si="1"/>
        <v>112.53538241601144</v>
      </c>
      <c r="K10" s="23">
        <f t="shared" si="2"/>
        <v>965.29306647605438</v>
      </c>
      <c r="L10" s="29">
        <f>+'11'!M10</f>
        <v>1070</v>
      </c>
      <c r="M10" s="30">
        <v>955</v>
      </c>
      <c r="N10" s="26">
        <f t="shared" si="3"/>
        <v>112.53538241601144</v>
      </c>
      <c r="O10" s="26">
        <f>+C45</f>
        <v>13.99</v>
      </c>
      <c r="P10" s="31">
        <f t="shared" si="4"/>
        <v>1574.3700000000001</v>
      </c>
      <c r="Q10" s="32">
        <f t="shared" si="5"/>
        <v>-10.293066476054378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+'11'!K11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+'11'!M11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+'11'!K12</f>
        <v>1503.1358112937812</v>
      </c>
      <c r="C12" s="40">
        <f>L33</f>
        <v>0</v>
      </c>
      <c r="D12" s="41"/>
      <c r="E12" s="42"/>
      <c r="F12" s="26">
        <f t="shared" si="0"/>
        <v>1503.1358112937812</v>
      </c>
      <c r="G12" s="43">
        <f>+B47-H12</f>
        <v>138.10221586847749</v>
      </c>
      <c r="H12" s="40">
        <f>+E12</f>
        <v>0</v>
      </c>
      <c r="I12" s="28"/>
      <c r="J12" s="44">
        <f t="shared" si="1"/>
        <v>138.10221586847749</v>
      </c>
      <c r="K12" s="44">
        <f t="shared" si="2"/>
        <v>1365.0335954253037</v>
      </c>
      <c r="L12" s="29">
        <f>+'11'!M12</f>
        <v>1505</v>
      </c>
      <c r="M12" s="30">
        <v>1365</v>
      </c>
      <c r="N12" s="42">
        <f t="shared" si="3"/>
        <v>138.10221586847749</v>
      </c>
      <c r="O12" s="42">
        <f>+C47</f>
        <v>13.99</v>
      </c>
      <c r="P12" s="45">
        <f t="shared" si="4"/>
        <v>1932.05</v>
      </c>
      <c r="Q12" s="32">
        <f t="shared" si="5"/>
        <v>-3.3595425303701631E-2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6413.0638561478863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6413.0638561478863</v>
      </c>
      <c r="G13" s="23">
        <f t="shared" si="6"/>
        <v>477.34315315879917</v>
      </c>
      <c r="H13" s="23">
        <f t="shared" si="6"/>
        <v>0</v>
      </c>
      <c r="I13" s="23">
        <f t="shared" si="6"/>
        <v>0</v>
      </c>
      <c r="J13" s="23">
        <f t="shared" si="6"/>
        <v>477.34315315879917</v>
      </c>
      <c r="K13" s="23">
        <f t="shared" si="6"/>
        <v>5935.7207029890869</v>
      </c>
      <c r="L13" s="29">
        <f t="shared" si="6"/>
        <v>6400.6183261207698</v>
      </c>
      <c r="M13" s="23">
        <f t="shared" si="6"/>
        <v>5918.0632474369359</v>
      </c>
      <c r="N13" s="23">
        <f t="shared" si="6"/>
        <v>477.34315315879917</v>
      </c>
      <c r="O13" s="23"/>
      <c r="P13" s="23">
        <f>SUM(P7:P12)</f>
        <v>5915.85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477.34315315879917</v>
      </c>
      <c r="P16" s="65">
        <f>+P13</f>
        <v>5915.85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1894.24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270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0.35846000000037748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>
        <f>16.904*13.99+7.5*6.99+14.842*13.99</f>
        <v>496.55154000000005</v>
      </c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10.8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548.15154000000007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>
        <v>54</v>
      </c>
      <c r="F25" s="60">
        <v>0.2</v>
      </c>
      <c r="G25" s="61">
        <f t="shared" si="7"/>
        <v>10.8</v>
      </c>
      <c r="H25" s="70" t="s">
        <v>159</v>
      </c>
      <c r="I25" s="78" t="s">
        <v>27</v>
      </c>
      <c r="J25" s="79">
        <f>+J21+J22-J24</f>
        <v>5474.7073199999995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3192.3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7.3307936507937939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10.293066476054378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10.8</v>
      </c>
      <c r="H33" s="102"/>
      <c r="I33" s="73" t="s">
        <v>57</v>
      </c>
      <c r="J33" s="103">
        <v>51.6</v>
      </c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3.3595425303701631E-2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45789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-186.6</v>
      </c>
      <c r="K36" s="116" t="s">
        <v>32</v>
      </c>
      <c r="L36" s="123">
        <v>2535.9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1569.24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656.4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325</v>
      </c>
      <c r="C38" s="134">
        <v>270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45789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2535.9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1894.24</v>
      </c>
      <c r="C40" s="150">
        <f>SUM(C37:C39)</f>
        <v>270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3192.3</v>
      </c>
      <c r="M40" s="158" t="s">
        <v>0</v>
      </c>
      <c r="N40" s="159" t="s">
        <v>29</v>
      </c>
      <c r="O40" s="160">
        <f>+L37</f>
        <v>656.4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2164.2399999999998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3192.3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94.150476190476184</v>
      </c>
      <c r="C44" s="181">
        <v>15.75</v>
      </c>
      <c r="D44" s="182">
        <v>1482.87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112.53538241601144</v>
      </c>
      <c r="C45" s="181">
        <v>13.99</v>
      </c>
      <c r="D45" s="182">
        <v>1574.3700000000001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138.10221586847749</v>
      </c>
      <c r="C47" s="181">
        <v>13.99</v>
      </c>
      <c r="D47" s="182">
        <v>1932.0500000000002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132.55507868383404</v>
      </c>
      <c r="C48" s="181">
        <v>6.99</v>
      </c>
      <c r="D48" s="182">
        <v>926.56</v>
      </c>
      <c r="E48" s="183"/>
      <c r="F48" s="183"/>
      <c r="G48" s="178"/>
      <c r="H48" s="209">
        <f>(L36+B40+P23+P24+P22+L38)-SUM(D44:D47)+(P20+P21)</f>
        <v>-0.1984599999996135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477.34315315879917</v>
      </c>
      <c r="C49" s="212"/>
      <c r="D49" s="213">
        <f>SUM(D44:D48)</f>
        <v>5915.85</v>
      </c>
      <c r="E49" s="213">
        <v>5915.85</v>
      </c>
      <c r="F49" s="183"/>
      <c r="G49" s="178"/>
      <c r="H49" s="214">
        <f>(C38+L37+L39)-D48</f>
        <v>-0.15999999999996817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0B000000}"/>
  <mergeCells count="64">
    <mergeCell ref="O1:P1"/>
    <mergeCell ref="I2:J2"/>
    <mergeCell ref="K2:M2"/>
    <mergeCell ref="O2:P2"/>
    <mergeCell ref="O3:P3"/>
    <mergeCell ref="I16:J16"/>
    <mergeCell ref="C5:F5"/>
    <mergeCell ref="I17:J17"/>
    <mergeCell ref="G5:J5"/>
    <mergeCell ref="M14:P14"/>
    <mergeCell ref="A14:H14"/>
    <mergeCell ref="N5:P5"/>
    <mergeCell ref="I3:J3"/>
    <mergeCell ref="M15:N15"/>
    <mergeCell ref="A15:B15"/>
    <mergeCell ref="O4:P4"/>
    <mergeCell ref="K3:M3"/>
    <mergeCell ref="A1:H3"/>
    <mergeCell ref="I1:J1"/>
    <mergeCell ref="K1:M1"/>
    <mergeCell ref="H43:L43"/>
    <mergeCell ref="A17:B17"/>
    <mergeCell ref="A21:B21"/>
    <mergeCell ref="M35:P35"/>
    <mergeCell ref="A34:H34"/>
    <mergeCell ref="A27:B27"/>
    <mergeCell ref="I31:J31"/>
    <mergeCell ref="A28:B28"/>
    <mergeCell ref="A25:B25"/>
    <mergeCell ref="K19:L19"/>
    <mergeCell ref="M24:O24"/>
    <mergeCell ref="O41:P41"/>
    <mergeCell ref="M38:N38"/>
    <mergeCell ref="A20:B20"/>
    <mergeCell ref="M19:O19"/>
    <mergeCell ref="L5:M5"/>
    <mergeCell ref="A16:B16"/>
    <mergeCell ref="I18:L18"/>
    <mergeCell ref="M17:N17"/>
    <mergeCell ref="A33:B33"/>
    <mergeCell ref="K20:L20"/>
    <mergeCell ref="M25:N25"/>
    <mergeCell ref="I14:L14"/>
    <mergeCell ref="A18:B18"/>
    <mergeCell ref="I19:J19"/>
    <mergeCell ref="M18:N18"/>
    <mergeCell ref="A26:B26"/>
    <mergeCell ref="M22:O22"/>
    <mergeCell ref="A22:B22"/>
    <mergeCell ref="M23:O23"/>
    <mergeCell ref="I15:J15"/>
    <mergeCell ref="M41:N41"/>
    <mergeCell ref="M16:N16"/>
    <mergeCell ref="A19:B19"/>
    <mergeCell ref="I20:J20"/>
    <mergeCell ref="M21:O21"/>
    <mergeCell ref="M20:O20"/>
    <mergeCell ref="A24:B24"/>
    <mergeCell ref="I26:J26"/>
    <mergeCell ref="A23:B23"/>
    <mergeCell ref="K26:P26"/>
    <mergeCell ref="M36:P37"/>
    <mergeCell ref="I37:J37"/>
    <mergeCell ref="A35:C3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45790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133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+'12'!K7</f>
        <v>2213.0632474369359</v>
      </c>
      <c r="C7" s="24">
        <f>L28+L29</f>
        <v>0</v>
      </c>
      <c r="D7" s="25"/>
      <c r="E7" s="25"/>
      <c r="F7" s="26">
        <f t="shared" ref="F7:F12" si="0">+B7+C7+D7+E7</f>
        <v>2213.0632474369359</v>
      </c>
      <c r="G7" s="27">
        <f>B48-H7</f>
        <v>191.5178826895565</v>
      </c>
      <c r="H7" s="24"/>
      <c r="I7" s="28"/>
      <c r="J7" s="23">
        <f t="shared" ref="J7:J12" si="1">+G7+H7+I7</f>
        <v>191.5178826895565</v>
      </c>
      <c r="K7" s="23">
        <f t="shared" ref="K7:K12" si="2">+F7-J7</f>
        <v>2021.5453647473794</v>
      </c>
      <c r="L7" s="29">
        <f>+'12'!M7</f>
        <v>2213.0632474369359</v>
      </c>
      <c r="M7" s="30">
        <v>2021.5453647473794</v>
      </c>
      <c r="N7" s="26">
        <f t="shared" ref="N7:N12" si="3">+G7</f>
        <v>191.5178826895565</v>
      </c>
      <c r="O7" s="26">
        <f>+C48</f>
        <v>6.99</v>
      </c>
      <c r="P7" s="31">
        <f t="shared" ref="P7:P12" si="4">+N7*O7</f>
        <v>1338.71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+'12'!K8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+'12'!M8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+'12'!K9</f>
        <v>1392.3307936507938</v>
      </c>
      <c r="C9" s="24">
        <f>L30</f>
        <v>0</v>
      </c>
      <c r="D9" s="34"/>
      <c r="E9" s="25"/>
      <c r="F9" s="26">
        <f t="shared" si="0"/>
        <v>1392.3307936507938</v>
      </c>
      <c r="G9" s="27">
        <f>+B44-H9</f>
        <v>70.880634920634918</v>
      </c>
      <c r="H9" s="24">
        <f>+E9</f>
        <v>0</v>
      </c>
      <c r="I9" s="28"/>
      <c r="J9" s="23">
        <f t="shared" si="1"/>
        <v>70.880634920634918</v>
      </c>
      <c r="K9" s="23">
        <f t="shared" si="2"/>
        <v>1321.4501587301588</v>
      </c>
      <c r="L9" s="29">
        <f>+'12'!M9</f>
        <v>1385</v>
      </c>
      <c r="M9" s="30">
        <v>1315</v>
      </c>
      <c r="N9" s="26">
        <f t="shared" si="3"/>
        <v>70.880634920634918</v>
      </c>
      <c r="O9" s="26">
        <f>+C44</f>
        <v>15.75</v>
      </c>
      <c r="P9" s="31">
        <f t="shared" si="4"/>
        <v>1116.3699999999999</v>
      </c>
      <c r="Q9" s="32">
        <f t="shared" si="5"/>
        <v>-6.4501587301588188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+'12'!K10</f>
        <v>965.29306647605438</v>
      </c>
      <c r="C10" s="24">
        <f>L31</f>
        <v>0</v>
      </c>
      <c r="D10" s="34"/>
      <c r="E10" s="25"/>
      <c r="F10" s="26">
        <f t="shared" si="0"/>
        <v>965.29306647605438</v>
      </c>
      <c r="G10" s="27">
        <f>+B45-H10</f>
        <v>101.28162973552536</v>
      </c>
      <c r="H10" s="24">
        <f>+E10</f>
        <v>0</v>
      </c>
      <c r="I10" s="28"/>
      <c r="J10" s="23">
        <f t="shared" si="1"/>
        <v>101.28162973552536</v>
      </c>
      <c r="K10" s="23">
        <f t="shared" si="2"/>
        <v>864.01143674052901</v>
      </c>
      <c r="L10" s="29">
        <f>+'12'!M10</f>
        <v>955</v>
      </c>
      <c r="M10" s="30">
        <v>855</v>
      </c>
      <c r="N10" s="26">
        <f t="shared" si="3"/>
        <v>101.28162973552536</v>
      </c>
      <c r="O10" s="26">
        <f>+C45</f>
        <v>13.99</v>
      </c>
      <c r="P10" s="31">
        <f t="shared" si="4"/>
        <v>1416.9299999999998</v>
      </c>
      <c r="Q10" s="32">
        <f t="shared" si="5"/>
        <v>-9.0114367405290068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+'12'!K11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+'12'!M11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+'12'!K12</f>
        <v>1365.0335954253037</v>
      </c>
      <c r="C12" s="40">
        <f>L33</f>
        <v>0</v>
      </c>
      <c r="D12" s="41"/>
      <c r="E12" s="42"/>
      <c r="F12" s="26">
        <f t="shared" si="0"/>
        <v>1365.0335954253037</v>
      </c>
      <c r="G12" s="43">
        <f>+B47-H12</f>
        <v>94.014295925661187</v>
      </c>
      <c r="H12" s="40">
        <f>+E12</f>
        <v>0</v>
      </c>
      <c r="I12" s="28"/>
      <c r="J12" s="44">
        <f t="shared" si="1"/>
        <v>94.014295925661187</v>
      </c>
      <c r="K12" s="44">
        <f t="shared" si="2"/>
        <v>1271.0192994996426</v>
      </c>
      <c r="L12" s="29">
        <f>+'12'!M12</f>
        <v>1365</v>
      </c>
      <c r="M12" s="30">
        <v>1272</v>
      </c>
      <c r="N12" s="42">
        <f t="shared" si="3"/>
        <v>94.014295925661187</v>
      </c>
      <c r="O12" s="42">
        <f>+C47</f>
        <v>13.99</v>
      </c>
      <c r="P12" s="45">
        <f t="shared" si="4"/>
        <v>1315.26</v>
      </c>
      <c r="Q12" s="32">
        <f t="shared" si="5"/>
        <v>0.98070050035744316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5935.7207029890869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5935.7207029890869</v>
      </c>
      <c r="G13" s="23">
        <f t="shared" si="6"/>
        <v>457.69444327137802</v>
      </c>
      <c r="H13" s="23">
        <f t="shared" si="6"/>
        <v>0</v>
      </c>
      <c r="I13" s="23">
        <f t="shared" si="6"/>
        <v>0</v>
      </c>
      <c r="J13" s="23">
        <f t="shared" si="6"/>
        <v>457.69444327137802</v>
      </c>
      <c r="K13" s="23">
        <f t="shared" si="6"/>
        <v>5478.0262597177089</v>
      </c>
      <c r="L13" s="29">
        <f t="shared" si="6"/>
        <v>5918.0632474369359</v>
      </c>
      <c r="M13" s="23">
        <f t="shared" si="6"/>
        <v>5463.5453647473796</v>
      </c>
      <c r="N13" s="23">
        <f t="shared" si="6"/>
        <v>457.69444327137802</v>
      </c>
      <c r="O13" s="23"/>
      <c r="P13" s="23">
        <f>SUM(P7:P12)</f>
        <v>5187.2699999999995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457.69444327137802</v>
      </c>
      <c r="P16" s="65">
        <f>+P13</f>
        <v>5187.2699999999995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933.56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534.85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0.83975000000009459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>
        <f>9.207*15.75</f>
        <v>145.01025000000001</v>
      </c>
      <c r="K22" s="75" t="s">
        <v>34</v>
      </c>
      <c r="L22" s="72">
        <f>+E26*(O12-F26)+E27*(O9-F27)+E28*(O10-F28)+E29*(O7-F29)</f>
        <v>214.01</v>
      </c>
      <c r="M22" s="326" t="s">
        <v>85</v>
      </c>
      <c r="N22" s="316"/>
      <c r="O22" s="317"/>
      <c r="P22" s="76">
        <f>+L22</f>
        <v>214.01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>
        <v>214.01</v>
      </c>
      <c r="M24" s="326" t="s">
        <v>80</v>
      </c>
      <c r="N24" s="316"/>
      <c r="O24" s="317"/>
      <c r="P24" s="76">
        <f>+J39+J22+J28+J33+J34</f>
        <v>145.01025000000001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5123.1660299999994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3358.9999999999995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>
        <f>41/13.99</f>
        <v>2.930664760543245</v>
      </c>
      <c r="F26" s="60">
        <v>0</v>
      </c>
      <c r="G26" s="61">
        <f t="shared" si="7"/>
        <v>0</v>
      </c>
      <c r="H26" s="70" t="s">
        <v>160</v>
      </c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>
        <f>173.01/15.75</f>
        <v>10.984761904761903</v>
      </c>
      <c r="F27" s="60">
        <v>0</v>
      </c>
      <c r="G27" s="61">
        <f t="shared" si="7"/>
        <v>0</v>
      </c>
      <c r="H27" s="70" t="s">
        <v>161</v>
      </c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6.4501587301588188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9.0114367405290068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-0.98070050035744316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45790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2555.1999999999998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555.25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803.79999999999984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378.31</v>
      </c>
      <c r="C38" s="134">
        <v>534.85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45790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2555.1999999999998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933.56</v>
      </c>
      <c r="C40" s="150">
        <f>SUM(C37:C39)</f>
        <v>534.85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3358.9999999999995</v>
      </c>
      <c r="M40" s="158" t="s">
        <v>0</v>
      </c>
      <c r="N40" s="159" t="s">
        <v>29</v>
      </c>
      <c r="O40" s="160">
        <f>+L37</f>
        <v>803.79999999999984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1468.4099999999999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3358.9999999999995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70.880634920634918</v>
      </c>
      <c r="C44" s="181">
        <v>15.75</v>
      </c>
      <c r="D44" s="182">
        <v>1116.3699999999999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101.28162973552536</v>
      </c>
      <c r="C45" s="181">
        <v>13.99</v>
      </c>
      <c r="D45" s="182">
        <v>1416.9299999999998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94.014295925661187</v>
      </c>
      <c r="C47" s="181">
        <v>13.99</v>
      </c>
      <c r="D47" s="182">
        <v>1315.26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191.5178826895565</v>
      </c>
      <c r="C48" s="181">
        <v>6.99</v>
      </c>
      <c r="D48" s="182">
        <v>1338.71</v>
      </c>
      <c r="E48" s="183"/>
      <c r="F48" s="183"/>
      <c r="G48" s="178"/>
      <c r="H48" s="209">
        <f>(L36+B40+P23+P24+P22+L38)-SUM(D44:D47)+(P20+P21)</f>
        <v>-0.77974999999969441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457.69444327137796</v>
      </c>
      <c r="C49" s="212"/>
      <c r="D49" s="213">
        <f>SUM(D44:D48)</f>
        <v>5187.2699999999995</v>
      </c>
      <c r="E49" s="213">
        <v>5187.2699999999995</v>
      </c>
      <c r="F49" s="183"/>
      <c r="G49" s="178"/>
      <c r="H49" s="214">
        <f>(C38+L37+L39)-D48</f>
        <v>-6.0000000000172804E-2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0C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45791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134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+'13'!K7</f>
        <v>2021.5453647473794</v>
      </c>
      <c r="C7" s="24">
        <f>L28+L29</f>
        <v>0</v>
      </c>
      <c r="D7" s="25"/>
      <c r="E7" s="25"/>
      <c r="F7" s="26">
        <f t="shared" ref="F7:F12" si="0">+B7+C7+D7+E7</f>
        <v>2021.5453647473794</v>
      </c>
      <c r="G7" s="27">
        <f>B48-H7</f>
        <v>236.03433476394849</v>
      </c>
      <c r="H7" s="24"/>
      <c r="I7" s="28"/>
      <c r="J7" s="23">
        <f t="shared" ref="J7:J12" si="1">+G7+H7+I7</f>
        <v>236.03433476394849</v>
      </c>
      <c r="K7" s="23">
        <f t="shared" ref="K7:K12" si="2">+F7-J7</f>
        <v>1785.5110299834309</v>
      </c>
      <c r="L7" s="29">
        <f>+'13'!M7</f>
        <v>2021.5453647473794</v>
      </c>
      <c r="M7" s="30">
        <v>1785.5110299834309</v>
      </c>
      <c r="N7" s="26">
        <f t="shared" ref="N7:N12" si="3">+G7</f>
        <v>236.03433476394849</v>
      </c>
      <c r="O7" s="26">
        <f>+C48</f>
        <v>6.99</v>
      </c>
      <c r="P7" s="31">
        <f t="shared" ref="P7:P12" si="4">+N7*O7</f>
        <v>1649.88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+'13'!K8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+'13'!M8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+'13'!K9</f>
        <v>1321.4501587301588</v>
      </c>
      <c r="C9" s="24">
        <f>L30</f>
        <v>0</v>
      </c>
      <c r="D9" s="34"/>
      <c r="E9" s="25"/>
      <c r="F9" s="26">
        <f t="shared" si="0"/>
        <v>1321.4501587301588</v>
      </c>
      <c r="G9" s="27">
        <f>+B44-H9</f>
        <v>48.867301587301576</v>
      </c>
      <c r="H9" s="24">
        <f>+E9</f>
        <v>0</v>
      </c>
      <c r="I9" s="28"/>
      <c r="J9" s="23">
        <f t="shared" si="1"/>
        <v>48.867301587301576</v>
      </c>
      <c r="K9" s="23">
        <f t="shared" si="2"/>
        <v>1272.5828571428572</v>
      </c>
      <c r="L9" s="29">
        <f>+'13'!M9</f>
        <v>1315</v>
      </c>
      <c r="M9" s="30">
        <v>1265</v>
      </c>
      <c r="N9" s="26">
        <f t="shared" si="3"/>
        <v>48.867301587301576</v>
      </c>
      <c r="O9" s="26">
        <f>+C44</f>
        <v>15.75</v>
      </c>
      <c r="P9" s="31">
        <f t="shared" si="4"/>
        <v>769.65999999999985</v>
      </c>
      <c r="Q9" s="32">
        <f t="shared" si="5"/>
        <v>-7.5828571428571649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+'13'!K10</f>
        <v>864.01143674052901</v>
      </c>
      <c r="C10" s="24">
        <f>L31</f>
        <v>0</v>
      </c>
      <c r="D10" s="34"/>
      <c r="E10" s="25"/>
      <c r="F10" s="26">
        <f t="shared" si="0"/>
        <v>864.01143674052901</v>
      </c>
      <c r="G10" s="27">
        <f>+B45-H10</f>
        <v>92.670478913509655</v>
      </c>
      <c r="H10" s="24">
        <f>+E10</f>
        <v>0</v>
      </c>
      <c r="I10" s="28"/>
      <c r="J10" s="23">
        <f t="shared" si="1"/>
        <v>92.670478913509655</v>
      </c>
      <c r="K10" s="23">
        <f t="shared" si="2"/>
        <v>771.34095782701934</v>
      </c>
      <c r="L10" s="29">
        <f>+'13'!M10</f>
        <v>855</v>
      </c>
      <c r="M10" s="30">
        <v>760</v>
      </c>
      <c r="N10" s="26">
        <f t="shared" si="3"/>
        <v>92.670478913509655</v>
      </c>
      <c r="O10" s="26">
        <f>+C45</f>
        <v>13.99</v>
      </c>
      <c r="P10" s="31">
        <f t="shared" si="4"/>
        <v>1296.46</v>
      </c>
      <c r="Q10" s="32">
        <f t="shared" si="5"/>
        <v>-11.340957827019338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+'13'!K11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+'13'!M11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+'13'!K12</f>
        <v>1271.0192994996426</v>
      </c>
      <c r="C12" s="40">
        <f>L33</f>
        <v>0</v>
      </c>
      <c r="D12" s="41"/>
      <c r="E12" s="42"/>
      <c r="F12" s="26">
        <f t="shared" si="0"/>
        <v>1271.0192994996426</v>
      </c>
      <c r="G12" s="43">
        <f>+B47-H12</f>
        <v>28.928520371694066</v>
      </c>
      <c r="H12" s="40">
        <f>+E12</f>
        <v>0</v>
      </c>
      <c r="I12" s="28"/>
      <c r="J12" s="44">
        <f t="shared" si="1"/>
        <v>28.928520371694066</v>
      </c>
      <c r="K12" s="44">
        <f t="shared" si="2"/>
        <v>1242.0907791279485</v>
      </c>
      <c r="L12" s="29">
        <f>+'13'!M12</f>
        <v>1272</v>
      </c>
      <c r="M12" s="30">
        <v>1245</v>
      </c>
      <c r="N12" s="42">
        <f t="shared" si="3"/>
        <v>28.928520371694066</v>
      </c>
      <c r="O12" s="42">
        <f>+C47</f>
        <v>13.99</v>
      </c>
      <c r="P12" s="45">
        <f t="shared" si="4"/>
        <v>404.71</v>
      </c>
      <c r="Q12" s="32">
        <f t="shared" si="5"/>
        <v>2.9092208720514918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5478.0262597177089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5478.0262597177089</v>
      </c>
      <c r="G13" s="23">
        <f t="shared" si="6"/>
        <v>406.50063563645381</v>
      </c>
      <c r="H13" s="23">
        <f t="shared" si="6"/>
        <v>0</v>
      </c>
      <c r="I13" s="23">
        <f t="shared" si="6"/>
        <v>0</v>
      </c>
      <c r="J13" s="23">
        <f t="shared" si="6"/>
        <v>406.50063563645381</v>
      </c>
      <c r="K13" s="23">
        <f t="shared" si="6"/>
        <v>5071.525624081256</v>
      </c>
      <c r="L13" s="29">
        <f t="shared" si="6"/>
        <v>5463.5453647473796</v>
      </c>
      <c r="M13" s="23">
        <f t="shared" si="6"/>
        <v>5055.5110299834305</v>
      </c>
      <c r="N13" s="23">
        <f t="shared" si="6"/>
        <v>406.50063563645381</v>
      </c>
      <c r="O13" s="23"/>
      <c r="P13" s="23">
        <f>SUM(P7:P12)</f>
        <v>4120.71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406.50063563645381</v>
      </c>
      <c r="P16" s="65">
        <f>+P13</f>
        <v>4120.71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817.43999999999994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522.87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2.0999999999999091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2778.3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7.5828571428571649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11.340957827019338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-2.9092208720514918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45791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1652.3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570.92999999999995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1126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246.51</v>
      </c>
      <c r="C38" s="134">
        <v>522.87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45791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1652.3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817.43999999999994</v>
      </c>
      <c r="C40" s="150">
        <f>SUM(C37:C39)</f>
        <v>522.87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2778.3</v>
      </c>
      <c r="M40" s="158" t="s">
        <v>0</v>
      </c>
      <c r="N40" s="159" t="s">
        <v>29</v>
      </c>
      <c r="O40" s="160">
        <f>+L37</f>
        <v>1126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1340.31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2778.3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48.867301587301576</v>
      </c>
      <c r="C44" s="181">
        <v>15.75</v>
      </c>
      <c r="D44" s="182">
        <v>769.65999999999985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92.670478913509655</v>
      </c>
      <c r="C45" s="181">
        <v>13.99</v>
      </c>
      <c r="D45" s="182">
        <v>1296.46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28.928520371694066</v>
      </c>
      <c r="C47" s="181">
        <v>13.99</v>
      </c>
      <c r="D47" s="182">
        <v>404.71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236.03433476394849</v>
      </c>
      <c r="C48" s="181">
        <v>6.99</v>
      </c>
      <c r="D48" s="182">
        <v>1649.88</v>
      </c>
      <c r="E48" s="183"/>
      <c r="F48" s="183"/>
      <c r="G48" s="178"/>
      <c r="H48" s="209">
        <f>(L36+B40+P23+P24+P22+L38)-SUM(D44:D47)+(P20+P21)</f>
        <v>-1.0900000000001455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406.50063563645381</v>
      </c>
      <c r="C49" s="212"/>
      <c r="D49" s="213">
        <f>SUM(D44:D48)</f>
        <v>4120.71</v>
      </c>
      <c r="E49" s="213">
        <v>4120.71</v>
      </c>
      <c r="F49" s="183"/>
      <c r="G49" s="178"/>
      <c r="H49" s="214">
        <f>(C38+L37+L39)-D48</f>
        <v>-1.0100000000002183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0D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45792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135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+'14'!K7</f>
        <v>1785.5110299834309</v>
      </c>
      <c r="C7" s="24">
        <f>L28+L29</f>
        <v>0</v>
      </c>
      <c r="D7" s="25"/>
      <c r="E7" s="25"/>
      <c r="F7" s="26">
        <f t="shared" ref="F7:F12" si="0">+B7+C7+D7+E7</f>
        <v>1785.5110299834309</v>
      </c>
      <c r="G7" s="27">
        <f>B48-H7</f>
        <v>304.53218884120173</v>
      </c>
      <c r="H7" s="24"/>
      <c r="I7" s="28"/>
      <c r="J7" s="23">
        <f t="shared" ref="J7:J12" si="1">+G7+H7+I7</f>
        <v>304.53218884120173</v>
      </c>
      <c r="K7" s="23">
        <f t="shared" ref="K7:K12" si="2">+F7-J7</f>
        <v>1480.9788411422292</v>
      </c>
      <c r="L7" s="29">
        <f>+'14'!M7</f>
        <v>1785.5110299834309</v>
      </c>
      <c r="M7" s="30">
        <v>1480.9788411422292</v>
      </c>
      <c r="N7" s="26">
        <f t="shared" ref="N7:N12" si="3">+G7</f>
        <v>304.53218884120173</v>
      </c>
      <c r="O7" s="26">
        <f>+C48</f>
        <v>6.99</v>
      </c>
      <c r="P7" s="31">
        <f t="shared" ref="P7:P12" si="4">+N7*O7</f>
        <v>2128.6800000000003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+'14'!K8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+'14'!M8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+'14'!K9</f>
        <v>1272.5828571428572</v>
      </c>
      <c r="C9" s="24">
        <f>L30</f>
        <v>0</v>
      </c>
      <c r="D9" s="34"/>
      <c r="E9" s="25"/>
      <c r="F9" s="26">
        <f t="shared" si="0"/>
        <v>1272.5828571428572</v>
      </c>
      <c r="G9" s="27">
        <f>+B44-H9</f>
        <v>64.324444444444438</v>
      </c>
      <c r="H9" s="24">
        <f>+E9</f>
        <v>0</v>
      </c>
      <c r="I9" s="28"/>
      <c r="J9" s="23">
        <f t="shared" si="1"/>
        <v>64.324444444444438</v>
      </c>
      <c r="K9" s="23">
        <f t="shared" si="2"/>
        <v>1208.2584126984127</v>
      </c>
      <c r="L9" s="29">
        <f>+'14'!M9</f>
        <v>1265</v>
      </c>
      <c r="M9" s="30">
        <v>1200</v>
      </c>
      <c r="N9" s="26">
        <f t="shared" si="3"/>
        <v>64.324444444444438</v>
      </c>
      <c r="O9" s="26">
        <f>+C44</f>
        <v>15.75</v>
      </c>
      <c r="P9" s="31">
        <f t="shared" si="4"/>
        <v>1013.1099999999999</v>
      </c>
      <c r="Q9" s="32">
        <f t="shared" si="5"/>
        <v>-8.2584126984127124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+'14'!K10</f>
        <v>771.34095782701934</v>
      </c>
      <c r="C10" s="24">
        <f>L31</f>
        <v>0</v>
      </c>
      <c r="D10" s="34"/>
      <c r="E10" s="25"/>
      <c r="F10" s="26">
        <f t="shared" si="0"/>
        <v>771.34095782701934</v>
      </c>
      <c r="G10" s="27">
        <f>+B45-H10</f>
        <v>106.00929235167978</v>
      </c>
      <c r="H10" s="24">
        <f>+E10</f>
        <v>0</v>
      </c>
      <c r="I10" s="28"/>
      <c r="J10" s="23">
        <f t="shared" si="1"/>
        <v>106.00929235167978</v>
      </c>
      <c r="K10" s="23">
        <f t="shared" si="2"/>
        <v>665.33166547533961</v>
      </c>
      <c r="L10" s="29">
        <f>+'14'!M10</f>
        <v>760</v>
      </c>
      <c r="M10" s="30">
        <v>655</v>
      </c>
      <c r="N10" s="26">
        <f t="shared" si="3"/>
        <v>106.00929235167978</v>
      </c>
      <c r="O10" s="26">
        <f>+C45</f>
        <v>13.99</v>
      </c>
      <c r="P10" s="31">
        <f t="shared" si="4"/>
        <v>1483.0700000000002</v>
      </c>
      <c r="Q10" s="32">
        <f t="shared" si="5"/>
        <v>-10.331665475339605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+'14'!K11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+'14'!M11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+'14'!K12</f>
        <v>1242.0907791279485</v>
      </c>
      <c r="C12" s="40">
        <f>L33</f>
        <v>0</v>
      </c>
      <c r="D12" s="41"/>
      <c r="E12" s="42"/>
      <c r="F12" s="26">
        <f t="shared" si="0"/>
        <v>1242.0907791279485</v>
      </c>
      <c r="G12" s="43">
        <f>+B47-H12</f>
        <v>124.79127948534666</v>
      </c>
      <c r="H12" s="40">
        <f>+E12</f>
        <v>0</v>
      </c>
      <c r="I12" s="28"/>
      <c r="J12" s="44">
        <f t="shared" si="1"/>
        <v>124.79127948534666</v>
      </c>
      <c r="K12" s="44">
        <f t="shared" si="2"/>
        <v>1117.2994996426019</v>
      </c>
      <c r="L12" s="29">
        <f>+'14'!M12</f>
        <v>1245</v>
      </c>
      <c r="M12" s="30">
        <v>1120</v>
      </c>
      <c r="N12" s="42">
        <f t="shared" si="3"/>
        <v>124.79127948534666</v>
      </c>
      <c r="O12" s="42">
        <f>+C47</f>
        <v>13.99</v>
      </c>
      <c r="P12" s="45">
        <f t="shared" si="4"/>
        <v>1745.83</v>
      </c>
      <c r="Q12" s="32">
        <f t="shared" si="5"/>
        <v>2.7005003573981412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5071.525624081256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5071.525624081256</v>
      </c>
      <c r="G13" s="23">
        <f t="shared" si="6"/>
        <v>599.65720512267262</v>
      </c>
      <c r="H13" s="23">
        <f t="shared" si="6"/>
        <v>0</v>
      </c>
      <c r="I13" s="23">
        <f t="shared" si="6"/>
        <v>0</v>
      </c>
      <c r="J13" s="23">
        <f t="shared" si="6"/>
        <v>599.65720512267262</v>
      </c>
      <c r="K13" s="23">
        <f t="shared" si="6"/>
        <v>4471.8684189585838</v>
      </c>
      <c r="L13" s="29">
        <f t="shared" si="6"/>
        <v>5055.5110299834305</v>
      </c>
      <c r="M13" s="23">
        <f t="shared" si="6"/>
        <v>4455.9788411422287</v>
      </c>
      <c r="N13" s="23">
        <f t="shared" si="6"/>
        <v>599.65720512267262</v>
      </c>
      <c r="O13" s="23"/>
      <c r="P13" s="23">
        <f>SUM(P7:P12)</f>
        <v>6370.6900000000005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599.65720512267262</v>
      </c>
      <c r="P16" s="65">
        <f>+P13</f>
        <v>6370.6900000000005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1597.67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858.3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0.64260000000012951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8.5774000000000008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>
        <v>42.887</v>
      </c>
      <c r="F25" s="60">
        <v>0.2</v>
      </c>
      <c r="G25" s="61">
        <f t="shared" si="7"/>
        <v>8.5774000000000008</v>
      </c>
      <c r="H25" s="70" t="s">
        <v>162</v>
      </c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3905.5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8.2584126984127124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10.331665475339605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8.5774000000000008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-2.7005003573981412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45792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2635.2000000000003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739.67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1270.3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858</v>
      </c>
      <c r="C38" s="134">
        <v>858.3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45792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2635.2000000000003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1597.67</v>
      </c>
      <c r="C40" s="150">
        <f>SUM(C37:C39)</f>
        <v>858.3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3905.5</v>
      </c>
      <c r="M40" s="158" t="s">
        <v>0</v>
      </c>
      <c r="N40" s="159" t="s">
        <v>29</v>
      </c>
      <c r="O40" s="160">
        <f>+L37</f>
        <v>1270.3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2455.9700000000003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3905.5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64.324444444444438</v>
      </c>
      <c r="C44" s="181">
        <v>15.75</v>
      </c>
      <c r="D44" s="182">
        <v>1013.11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106.00929235167978</v>
      </c>
      <c r="C45" s="181">
        <v>13.99</v>
      </c>
      <c r="D45" s="182">
        <v>1483.0700000000002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124.79127948534666</v>
      </c>
      <c r="C47" s="181">
        <v>13.99</v>
      </c>
      <c r="D47" s="182">
        <v>1745.83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304.53218884120173</v>
      </c>
      <c r="C48" s="181">
        <v>6.99</v>
      </c>
      <c r="D48" s="182">
        <v>2128.6800000000003</v>
      </c>
      <c r="E48" s="183"/>
      <c r="F48" s="183"/>
      <c r="G48" s="178"/>
      <c r="H48" s="209">
        <f>(L36+B40+P23+P24+P22+L38)-SUM(D44:D47)+(P20+P21)</f>
        <v>-0.56259999999929278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599.65720512267262</v>
      </c>
      <c r="C49" s="212"/>
      <c r="D49" s="213">
        <f>SUM(D44:D48)</f>
        <v>6370.6900000000005</v>
      </c>
      <c r="E49" s="213">
        <v>6370.6900000000005</v>
      </c>
      <c r="F49" s="183"/>
      <c r="G49" s="178"/>
      <c r="H49" s="214">
        <f>(C38+L37+L39)-D48</f>
        <v>-8.0000000000381988E-2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0E000000}"/>
  <mergeCells count="64">
    <mergeCell ref="O1:P1"/>
    <mergeCell ref="I2:J2"/>
    <mergeCell ref="K2:M2"/>
    <mergeCell ref="O2:P2"/>
    <mergeCell ref="O3:P3"/>
    <mergeCell ref="I16:J16"/>
    <mergeCell ref="C5:F5"/>
    <mergeCell ref="I17:J17"/>
    <mergeCell ref="G5:J5"/>
    <mergeCell ref="M14:P14"/>
    <mergeCell ref="A14:H14"/>
    <mergeCell ref="N5:P5"/>
    <mergeCell ref="I3:J3"/>
    <mergeCell ref="M15:N15"/>
    <mergeCell ref="A15:B15"/>
    <mergeCell ref="O4:P4"/>
    <mergeCell ref="K3:M3"/>
    <mergeCell ref="A1:H3"/>
    <mergeCell ref="I1:J1"/>
    <mergeCell ref="K1:M1"/>
    <mergeCell ref="H43:L43"/>
    <mergeCell ref="A17:B17"/>
    <mergeCell ref="A21:B21"/>
    <mergeCell ref="M35:P35"/>
    <mergeCell ref="A34:H34"/>
    <mergeCell ref="A27:B27"/>
    <mergeCell ref="I31:J31"/>
    <mergeCell ref="A28:B28"/>
    <mergeCell ref="A25:B25"/>
    <mergeCell ref="K19:L19"/>
    <mergeCell ref="M24:O24"/>
    <mergeCell ref="O41:P41"/>
    <mergeCell ref="M38:N38"/>
    <mergeCell ref="A20:B20"/>
    <mergeCell ref="M19:O19"/>
    <mergeCell ref="L5:M5"/>
    <mergeCell ref="A16:B16"/>
    <mergeCell ref="I18:L18"/>
    <mergeCell ref="M17:N17"/>
    <mergeCell ref="A33:B33"/>
    <mergeCell ref="K20:L20"/>
    <mergeCell ref="M25:N25"/>
    <mergeCell ref="I14:L14"/>
    <mergeCell ref="A18:B18"/>
    <mergeCell ref="I19:J19"/>
    <mergeCell ref="M18:N18"/>
    <mergeCell ref="A26:B26"/>
    <mergeCell ref="M22:O22"/>
    <mergeCell ref="A22:B22"/>
    <mergeCell ref="M23:O23"/>
    <mergeCell ref="I15:J15"/>
    <mergeCell ref="M41:N41"/>
    <mergeCell ref="M16:N16"/>
    <mergeCell ref="A19:B19"/>
    <mergeCell ref="I20:J20"/>
    <mergeCell ref="M21:O21"/>
    <mergeCell ref="M20:O20"/>
    <mergeCell ref="A24:B24"/>
    <mergeCell ref="I26:J26"/>
    <mergeCell ref="A23:B23"/>
    <mergeCell ref="K26:P26"/>
    <mergeCell ref="M36:P37"/>
    <mergeCell ref="I37:J37"/>
    <mergeCell ref="A35:C3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45793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136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+'15'!K7</f>
        <v>1480.9788411422292</v>
      </c>
      <c r="C7" s="24">
        <f>L28+L29</f>
        <v>1887.5402526628684</v>
      </c>
      <c r="D7" s="25"/>
      <c r="E7" s="25"/>
      <c r="F7" s="26">
        <f t="shared" ref="F7:F12" si="0">+B7+C7+D7+E7</f>
        <v>3368.5190938050973</v>
      </c>
      <c r="G7" s="27">
        <f>B48-H7</f>
        <v>292.95994277539342</v>
      </c>
      <c r="H7" s="24"/>
      <c r="I7" s="28"/>
      <c r="J7" s="23">
        <f t="shared" ref="J7:J12" si="1">+G7+H7+I7</f>
        <v>292.95994277539342</v>
      </c>
      <c r="K7" s="23">
        <f t="shared" ref="K7:K12" si="2">+F7-J7</f>
        <v>3075.559151029704</v>
      </c>
      <c r="L7" s="29">
        <f>+'15'!M7</f>
        <v>1480.9788411422292</v>
      </c>
      <c r="M7" s="30">
        <v>3075.559151029704</v>
      </c>
      <c r="N7" s="26">
        <f t="shared" ref="N7:N12" si="3">+G7</f>
        <v>292.95994277539342</v>
      </c>
      <c r="O7" s="26">
        <f>+C48</f>
        <v>6.99</v>
      </c>
      <c r="P7" s="31">
        <f t="shared" ref="P7:P12" si="4">+N7*O7</f>
        <v>2047.79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+'15'!K8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+'15'!M8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+'15'!K9</f>
        <v>1208.2584126984127</v>
      </c>
      <c r="C9" s="24">
        <f>L30</f>
        <v>0</v>
      </c>
      <c r="D9" s="34"/>
      <c r="E9" s="25"/>
      <c r="F9" s="26">
        <f t="shared" si="0"/>
        <v>1208.2584126984127</v>
      </c>
      <c r="G9" s="27">
        <f>+B44-H9</f>
        <v>107.25142857142858</v>
      </c>
      <c r="H9" s="24">
        <f>+E9</f>
        <v>0</v>
      </c>
      <c r="I9" s="28"/>
      <c r="J9" s="23">
        <f t="shared" si="1"/>
        <v>107.25142857142858</v>
      </c>
      <c r="K9" s="23">
        <f t="shared" si="2"/>
        <v>1101.0069841269842</v>
      </c>
      <c r="L9" s="29">
        <f>+'15'!M9</f>
        <v>1200</v>
      </c>
      <c r="M9" s="30">
        <v>1095</v>
      </c>
      <c r="N9" s="26">
        <f t="shared" si="3"/>
        <v>107.25142857142858</v>
      </c>
      <c r="O9" s="26">
        <f>+C44</f>
        <v>15.75</v>
      </c>
      <c r="P9" s="31">
        <f t="shared" si="4"/>
        <v>1689.21</v>
      </c>
      <c r="Q9" s="32">
        <f t="shared" si="5"/>
        <v>-6.0069841269842073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+'15'!K10</f>
        <v>665.33166547533961</v>
      </c>
      <c r="C10" s="24">
        <f>L31</f>
        <v>0</v>
      </c>
      <c r="D10" s="34"/>
      <c r="E10" s="25"/>
      <c r="F10" s="26">
        <f t="shared" si="0"/>
        <v>665.33166547533961</v>
      </c>
      <c r="G10" s="27">
        <f>+B45-H10</f>
        <v>111.89706933523946</v>
      </c>
      <c r="H10" s="24">
        <f>+E10</f>
        <v>0</v>
      </c>
      <c r="I10" s="28"/>
      <c r="J10" s="23">
        <f t="shared" si="1"/>
        <v>111.89706933523946</v>
      </c>
      <c r="K10" s="23">
        <f t="shared" si="2"/>
        <v>553.4345961401001</v>
      </c>
      <c r="L10" s="29">
        <f>+'15'!M10</f>
        <v>655</v>
      </c>
      <c r="M10" s="30">
        <v>545</v>
      </c>
      <c r="N10" s="26">
        <f t="shared" si="3"/>
        <v>111.89706933523946</v>
      </c>
      <c r="O10" s="26">
        <f>+C45</f>
        <v>13.99</v>
      </c>
      <c r="P10" s="31">
        <f t="shared" si="4"/>
        <v>1565.44</v>
      </c>
      <c r="Q10" s="32">
        <f t="shared" si="5"/>
        <v>-8.4345961401000977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+'15'!K11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+'15'!M11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+'15'!K12</f>
        <v>1117.2994996426019</v>
      </c>
      <c r="C12" s="40">
        <f>L33</f>
        <v>0</v>
      </c>
      <c r="D12" s="41"/>
      <c r="E12" s="42"/>
      <c r="F12" s="26">
        <f t="shared" si="0"/>
        <v>1117.2994996426019</v>
      </c>
      <c r="G12" s="43">
        <f>+B47-H12</f>
        <v>83.204431736954959</v>
      </c>
      <c r="H12" s="40">
        <f>+E12</f>
        <v>0</v>
      </c>
      <c r="I12" s="28"/>
      <c r="J12" s="44">
        <f t="shared" si="1"/>
        <v>83.204431736954959</v>
      </c>
      <c r="K12" s="44">
        <f t="shared" si="2"/>
        <v>1034.0950679056468</v>
      </c>
      <c r="L12" s="29">
        <f>+'15'!M12</f>
        <v>1120</v>
      </c>
      <c r="M12" s="30">
        <v>1035</v>
      </c>
      <c r="N12" s="42">
        <f t="shared" si="3"/>
        <v>83.204431736954959</v>
      </c>
      <c r="O12" s="42">
        <f>+C47</f>
        <v>13.99</v>
      </c>
      <c r="P12" s="45">
        <f t="shared" si="4"/>
        <v>1164.03</v>
      </c>
      <c r="Q12" s="32">
        <f t="shared" si="5"/>
        <v>0.90493209435317112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4471.8684189585838</v>
      </c>
      <c r="C13" s="23">
        <f t="shared" si="6"/>
        <v>1887.5402526628684</v>
      </c>
      <c r="D13" s="23">
        <f t="shared" si="6"/>
        <v>0</v>
      </c>
      <c r="E13" s="23">
        <f t="shared" si="6"/>
        <v>0</v>
      </c>
      <c r="F13" s="23">
        <f t="shared" si="6"/>
        <v>6359.4086716214515</v>
      </c>
      <c r="G13" s="23">
        <f t="shared" si="6"/>
        <v>595.31287241901634</v>
      </c>
      <c r="H13" s="23">
        <f t="shared" si="6"/>
        <v>0</v>
      </c>
      <c r="I13" s="23">
        <f t="shared" si="6"/>
        <v>0</v>
      </c>
      <c r="J13" s="23">
        <f t="shared" si="6"/>
        <v>595.31287241901634</v>
      </c>
      <c r="K13" s="23">
        <f t="shared" si="6"/>
        <v>5764.095799202436</v>
      </c>
      <c r="L13" s="29">
        <f t="shared" si="6"/>
        <v>4455.9788411422287</v>
      </c>
      <c r="M13" s="23">
        <f t="shared" si="6"/>
        <v>5750.5591510297036</v>
      </c>
      <c r="N13" s="23">
        <f t="shared" si="6"/>
        <v>595.31287241901634</v>
      </c>
      <c r="O13" s="23"/>
      <c r="P13" s="23">
        <f>SUM(P7:P12)</f>
        <v>6466.47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595.31287241901634</v>
      </c>
      <c r="P16" s="65">
        <f>+P13</f>
        <v>6466.47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1152.56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545.54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0.25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128.02000000000001</v>
      </c>
      <c r="M22" s="326" t="s">
        <v>85</v>
      </c>
      <c r="N22" s="316"/>
      <c r="O22" s="317"/>
      <c r="P22" s="76">
        <f>+L22</f>
        <v>128.02000000000001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>
        <v>128.02000000000001</v>
      </c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4640.1000000000004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>
        <f>128.02/13.99</f>
        <v>9.1508220157255185</v>
      </c>
      <c r="F26" s="60">
        <v>0</v>
      </c>
      <c r="G26" s="61">
        <f t="shared" si="7"/>
        <v>0</v>
      </c>
      <c r="H26" s="70" t="s">
        <v>164</v>
      </c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1887.5402526628684</v>
      </c>
      <c r="M28" s="92"/>
      <c r="N28" s="92" t="s">
        <v>147</v>
      </c>
      <c r="O28" s="93" t="s">
        <v>148</v>
      </c>
      <c r="P28" s="94" t="str">
        <f>+I44&amp;"   "&amp;"kg"</f>
        <v>3810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6.0069841269842073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8.4345961401000977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-0.90493209435317112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45793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3138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846.06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1502.1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306.5</v>
      </c>
      <c r="C38" s="134">
        <v>545.54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45793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3138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1152.56</v>
      </c>
      <c r="C40" s="150">
        <f>SUM(C37:C39)</f>
        <v>545.54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4640.1000000000004</v>
      </c>
      <c r="M40" s="158" t="s">
        <v>0</v>
      </c>
      <c r="N40" s="159" t="s">
        <v>29</v>
      </c>
      <c r="O40" s="160">
        <f>+L37</f>
        <v>1502.1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1698.1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4640.1000000000004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107.25142857142858</v>
      </c>
      <c r="C44" s="181">
        <v>15.75</v>
      </c>
      <c r="D44" s="182">
        <v>1689.21</v>
      </c>
      <c r="E44" s="183"/>
      <c r="F44" s="183"/>
      <c r="G44" s="178"/>
      <c r="H44" s="184" t="s">
        <v>18</v>
      </c>
      <c r="I44" s="185" t="s">
        <v>163</v>
      </c>
      <c r="J44" s="186">
        <v>2.0185</v>
      </c>
      <c r="K44" s="187">
        <f>+I44/J44</f>
        <v>1887.5402526628684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111.89706933523946</v>
      </c>
      <c r="C45" s="181">
        <v>13.99</v>
      </c>
      <c r="D45" s="182">
        <v>1565.44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83.204431736954959</v>
      </c>
      <c r="C47" s="181">
        <v>13.99</v>
      </c>
      <c r="D47" s="182">
        <v>1164.03</v>
      </c>
      <c r="E47" s="183"/>
      <c r="F47" s="178"/>
      <c r="G47" s="178"/>
      <c r="H47" s="203" t="s">
        <v>11</v>
      </c>
      <c r="I47" s="204">
        <f>+K47/J47</f>
        <v>1.7334178131838767</v>
      </c>
      <c r="J47" s="205">
        <f>+J45</f>
        <v>3.7854000000000001</v>
      </c>
      <c r="K47" s="206">
        <f>+L47/I44</f>
        <v>6.5616797900262469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292.95994277539342</v>
      </c>
      <c r="C48" s="181">
        <v>6.99</v>
      </c>
      <c r="D48" s="182">
        <v>2047.79</v>
      </c>
      <c r="E48" s="183"/>
      <c r="F48" s="183"/>
      <c r="G48" s="178"/>
      <c r="H48" s="209">
        <f>(L36+B40+P23+P24+P22+L38)-SUM(D44:D47)+(P20+P21)</f>
        <v>-0.1000000000003638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595.31287241901646</v>
      </c>
      <c r="C49" s="212"/>
      <c r="D49" s="213">
        <f>SUM(D44:D48)</f>
        <v>6466.47</v>
      </c>
      <c r="E49" s="213">
        <v>6466.47</v>
      </c>
      <c r="F49" s="183"/>
      <c r="G49" s="178"/>
      <c r="H49" s="214">
        <f>(C38+L37+L39)-D48</f>
        <v>-0.15000000000009095</v>
      </c>
      <c r="I49" s="215" t="s">
        <v>4</v>
      </c>
      <c r="J49" s="216" t="s">
        <v>3</v>
      </c>
      <c r="K49" s="217">
        <v>2.0185</v>
      </c>
      <c r="L49" s="218">
        <f>+K47-K45</f>
        <v>-0.42832020997375331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0F000000}"/>
  <mergeCells count="64">
    <mergeCell ref="O1:P1"/>
    <mergeCell ref="I2:J2"/>
    <mergeCell ref="K2:M2"/>
    <mergeCell ref="O2:P2"/>
    <mergeCell ref="O3:P3"/>
    <mergeCell ref="I16:J16"/>
    <mergeCell ref="C5:F5"/>
    <mergeCell ref="I17:J17"/>
    <mergeCell ref="G5:J5"/>
    <mergeCell ref="M14:P14"/>
    <mergeCell ref="A14:H14"/>
    <mergeCell ref="N5:P5"/>
    <mergeCell ref="I3:J3"/>
    <mergeCell ref="M15:N15"/>
    <mergeCell ref="A15:B15"/>
    <mergeCell ref="O4:P4"/>
    <mergeCell ref="K3:M3"/>
    <mergeCell ref="A1:H3"/>
    <mergeCell ref="I1:J1"/>
    <mergeCell ref="K1:M1"/>
    <mergeCell ref="H43:L43"/>
    <mergeCell ref="A17:B17"/>
    <mergeCell ref="A21:B21"/>
    <mergeCell ref="M35:P35"/>
    <mergeCell ref="A34:H34"/>
    <mergeCell ref="A27:B27"/>
    <mergeCell ref="I31:J31"/>
    <mergeCell ref="A28:B28"/>
    <mergeCell ref="A25:B25"/>
    <mergeCell ref="K19:L19"/>
    <mergeCell ref="M24:O24"/>
    <mergeCell ref="O41:P41"/>
    <mergeCell ref="M38:N38"/>
    <mergeCell ref="A20:B20"/>
    <mergeCell ref="M19:O19"/>
    <mergeCell ref="L5:M5"/>
    <mergeCell ref="A16:B16"/>
    <mergeCell ref="I18:L18"/>
    <mergeCell ref="M17:N17"/>
    <mergeCell ref="A33:B33"/>
    <mergeCell ref="K20:L20"/>
    <mergeCell ref="M25:N25"/>
    <mergeCell ref="I14:L14"/>
    <mergeCell ref="A18:B18"/>
    <mergeCell ref="I19:J19"/>
    <mergeCell ref="M18:N18"/>
    <mergeCell ref="A26:B26"/>
    <mergeCell ref="M22:O22"/>
    <mergeCell ref="A22:B22"/>
    <mergeCell ref="M23:O23"/>
    <mergeCell ref="I15:J15"/>
    <mergeCell ref="M41:N41"/>
    <mergeCell ref="M16:N16"/>
    <mergeCell ref="A19:B19"/>
    <mergeCell ref="I20:J20"/>
    <mergeCell ref="M21:O21"/>
    <mergeCell ref="M20:O20"/>
    <mergeCell ref="A24:B24"/>
    <mergeCell ref="I26:J26"/>
    <mergeCell ref="A23:B23"/>
    <mergeCell ref="K26:P26"/>
    <mergeCell ref="M36:P37"/>
    <mergeCell ref="I37:J37"/>
    <mergeCell ref="A35:C3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45794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137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+'16'!K7</f>
        <v>3075.559151029704</v>
      </c>
      <c r="C7" s="24">
        <f>L28+L29</f>
        <v>0</v>
      </c>
      <c r="D7" s="25"/>
      <c r="E7" s="25"/>
      <c r="F7" s="26">
        <f t="shared" ref="F7:F12" si="0">+B7+C7+D7+E7</f>
        <v>3075.559151029704</v>
      </c>
      <c r="G7" s="27">
        <f>B48-H7</f>
        <v>343.44349070100145</v>
      </c>
      <c r="H7" s="24"/>
      <c r="I7" s="28"/>
      <c r="J7" s="23">
        <f t="shared" ref="J7:J12" si="1">+G7+H7+I7</f>
        <v>343.44349070100145</v>
      </c>
      <c r="K7" s="23">
        <f t="shared" ref="K7:K12" si="2">+F7-J7</f>
        <v>2732.1156603287027</v>
      </c>
      <c r="L7" s="29">
        <f>+'16'!M7</f>
        <v>3075.559151029704</v>
      </c>
      <c r="M7" s="30">
        <v>2732.1156603287027</v>
      </c>
      <c r="N7" s="26">
        <f t="shared" ref="N7:N12" si="3">+G7</f>
        <v>343.44349070100145</v>
      </c>
      <c r="O7" s="26">
        <f>+C48</f>
        <v>6.99</v>
      </c>
      <c r="P7" s="31">
        <f t="shared" ref="P7:P12" si="4">+N7*O7</f>
        <v>2400.67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+'16'!K8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+'16'!M8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+'16'!K9</f>
        <v>1101.0069841269842</v>
      </c>
      <c r="C9" s="24">
        <f>L30</f>
        <v>0</v>
      </c>
      <c r="D9" s="34"/>
      <c r="E9" s="25"/>
      <c r="F9" s="26">
        <f t="shared" si="0"/>
        <v>1101.0069841269842</v>
      </c>
      <c r="G9" s="27">
        <f>+B44-H9</f>
        <v>104.18539682539684</v>
      </c>
      <c r="H9" s="24">
        <f>+E9</f>
        <v>0</v>
      </c>
      <c r="I9" s="28"/>
      <c r="J9" s="23">
        <f t="shared" si="1"/>
        <v>104.18539682539684</v>
      </c>
      <c r="K9" s="23">
        <f t="shared" si="2"/>
        <v>996.82158730158733</v>
      </c>
      <c r="L9" s="29">
        <f>+'16'!M9</f>
        <v>1095</v>
      </c>
      <c r="M9" s="30">
        <v>990</v>
      </c>
      <c r="N9" s="26">
        <f t="shared" si="3"/>
        <v>104.18539682539684</v>
      </c>
      <c r="O9" s="26">
        <f>+C44</f>
        <v>15.75</v>
      </c>
      <c r="P9" s="31">
        <f t="shared" si="4"/>
        <v>1640.92</v>
      </c>
      <c r="Q9" s="32">
        <f t="shared" si="5"/>
        <v>-6.8215873015873285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+'16'!K10</f>
        <v>553.4345961401001</v>
      </c>
      <c r="C10" s="24">
        <f>L31</f>
        <v>0</v>
      </c>
      <c r="D10" s="34"/>
      <c r="E10" s="25"/>
      <c r="F10" s="26">
        <f t="shared" si="0"/>
        <v>553.4345961401001</v>
      </c>
      <c r="G10" s="27">
        <f>+B45-H10</f>
        <v>107.62401715511079</v>
      </c>
      <c r="H10" s="24">
        <f>+E10</f>
        <v>0</v>
      </c>
      <c r="I10" s="28"/>
      <c r="J10" s="23">
        <f t="shared" si="1"/>
        <v>107.62401715511079</v>
      </c>
      <c r="K10" s="23">
        <f t="shared" si="2"/>
        <v>445.81057898498932</v>
      </c>
      <c r="L10" s="29">
        <f>+'16'!M10</f>
        <v>545</v>
      </c>
      <c r="M10" s="30">
        <v>430</v>
      </c>
      <c r="N10" s="26">
        <f t="shared" si="3"/>
        <v>107.62401715511079</v>
      </c>
      <c r="O10" s="26">
        <f>+C45</f>
        <v>13.99</v>
      </c>
      <c r="P10" s="31">
        <f t="shared" si="4"/>
        <v>1505.66</v>
      </c>
      <c r="Q10" s="32">
        <f t="shared" si="5"/>
        <v>-15.81057898498932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+'16'!K11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+'16'!M11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+'16'!K12</f>
        <v>1034.0950679056468</v>
      </c>
      <c r="C12" s="40">
        <f>L33</f>
        <v>0</v>
      </c>
      <c r="D12" s="41"/>
      <c r="E12" s="42"/>
      <c r="F12" s="26">
        <f t="shared" si="0"/>
        <v>1034.0950679056468</v>
      </c>
      <c r="G12" s="43">
        <f>+B47-H12</f>
        <v>91.852751965689777</v>
      </c>
      <c r="H12" s="40">
        <f>+E12</f>
        <v>0</v>
      </c>
      <c r="I12" s="28"/>
      <c r="J12" s="44">
        <f t="shared" si="1"/>
        <v>91.852751965689777</v>
      </c>
      <c r="K12" s="44">
        <f t="shared" si="2"/>
        <v>942.24231593995705</v>
      </c>
      <c r="L12" s="29">
        <f>+'16'!M12</f>
        <v>1035</v>
      </c>
      <c r="M12" s="30">
        <v>945</v>
      </c>
      <c r="N12" s="42">
        <f t="shared" si="3"/>
        <v>91.852751965689777</v>
      </c>
      <c r="O12" s="42">
        <f>+C47</f>
        <v>13.99</v>
      </c>
      <c r="P12" s="45">
        <f t="shared" si="4"/>
        <v>1285.02</v>
      </c>
      <c r="Q12" s="32">
        <f t="shared" si="5"/>
        <v>2.7576840600429477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5764.095799202436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5764.095799202436</v>
      </c>
      <c r="G13" s="23">
        <f t="shared" si="6"/>
        <v>647.10565664719888</v>
      </c>
      <c r="H13" s="23">
        <f t="shared" si="6"/>
        <v>0</v>
      </c>
      <c r="I13" s="23">
        <f t="shared" si="6"/>
        <v>0</v>
      </c>
      <c r="J13" s="23">
        <f t="shared" si="6"/>
        <v>647.10565664719888</v>
      </c>
      <c r="K13" s="23">
        <f t="shared" si="6"/>
        <v>5116.9901425552362</v>
      </c>
      <c r="L13" s="29">
        <f t="shared" si="6"/>
        <v>5750.5591510297036</v>
      </c>
      <c r="M13" s="23">
        <f t="shared" si="6"/>
        <v>5097.1156603287027</v>
      </c>
      <c r="N13" s="23">
        <f t="shared" si="6"/>
        <v>647.10565664719888</v>
      </c>
      <c r="O13" s="23"/>
      <c r="P13" s="23">
        <f>SUM(P7:P12)</f>
        <v>6832.27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647.10565664719888</v>
      </c>
      <c r="P16" s="65">
        <f>+P13</f>
        <v>6832.27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1528.48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532.87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0.31999999999970896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4770.6000000000004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6.8215873015873285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15.81057898498932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-2.7576840600429477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45794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2903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1344.46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1867.6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184.02</v>
      </c>
      <c r="C38" s="134">
        <v>532.87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45794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2903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1528.48</v>
      </c>
      <c r="C40" s="150">
        <f>SUM(C37:C39)</f>
        <v>532.87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4770.6000000000004</v>
      </c>
      <c r="M40" s="158" t="s">
        <v>0</v>
      </c>
      <c r="N40" s="159" t="s">
        <v>29</v>
      </c>
      <c r="O40" s="160">
        <f>+L37</f>
        <v>1867.6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2061.35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4770.6000000000004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104.18539682539684</v>
      </c>
      <c r="C44" s="181">
        <v>15.75</v>
      </c>
      <c r="D44" s="182">
        <v>1640.92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107.62401715511079</v>
      </c>
      <c r="C45" s="181">
        <v>13.99</v>
      </c>
      <c r="D45" s="182">
        <v>1505.66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91.852751965689777</v>
      </c>
      <c r="C47" s="181">
        <v>13.99</v>
      </c>
      <c r="D47" s="182">
        <v>1285.02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343.44349070100145</v>
      </c>
      <c r="C48" s="181">
        <v>6.99</v>
      </c>
      <c r="D48" s="182">
        <v>2400.67</v>
      </c>
      <c r="E48" s="183"/>
      <c r="F48" s="183"/>
      <c r="G48" s="178"/>
      <c r="H48" s="209">
        <f>(L36+B40+P23+P24+P22+L38)-SUM(D44:D47)+(P20+P21)</f>
        <v>-0.12000000000080036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647.10565664719888</v>
      </c>
      <c r="C49" s="212"/>
      <c r="D49" s="213">
        <f>SUM(D44:D48)</f>
        <v>6832.27</v>
      </c>
      <c r="E49" s="213">
        <v>6832.27</v>
      </c>
      <c r="F49" s="183"/>
      <c r="G49" s="178"/>
      <c r="H49" s="214">
        <f>(C38+L37+L39)-D48</f>
        <v>-0.20000000000027285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10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45795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138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+'17'!K7</f>
        <v>2732.1156603287027</v>
      </c>
      <c r="C7" s="24">
        <f>L28+L29</f>
        <v>0</v>
      </c>
      <c r="D7" s="25"/>
      <c r="E7" s="25"/>
      <c r="F7" s="26">
        <f t="shared" ref="F7:F12" si="0">+B7+C7+D7+E7</f>
        <v>2732.1156603287027</v>
      </c>
      <c r="G7" s="27">
        <f>B48-H7</f>
        <v>320.91988555078683</v>
      </c>
      <c r="H7" s="24"/>
      <c r="I7" s="28"/>
      <c r="J7" s="23">
        <f t="shared" ref="J7:J12" si="1">+G7+H7+I7</f>
        <v>320.91988555078683</v>
      </c>
      <c r="K7" s="23">
        <f t="shared" ref="K7:K12" si="2">+F7-J7</f>
        <v>2411.1957747779161</v>
      </c>
      <c r="L7" s="29">
        <f>+'17'!M7</f>
        <v>2732.1156603287027</v>
      </c>
      <c r="M7" s="30">
        <v>2411.1957747779161</v>
      </c>
      <c r="N7" s="26">
        <f t="shared" ref="N7:N12" si="3">+G7</f>
        <v>320.91988555078683</v>
      </c>
      <c r="O7" s="26">
        <f>+C48</f>
        <v>6.99</v>
      </c>
      <c r="P7" s="31">
        <f t="shared" ref="P7:P12" si="4">+N7*O7</f>
        <v>2243.23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+'17'!K8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+'17'!M8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+'17'!K9</f>
        <v>996.82158730158733</v>
      </c>
      <c r="C9" s="24">
        <f>L30</f>
        <v>0</v>
      </c>
      <c r="D9" s="34"/>
      <c r="E9" s="25"/>
      <c r="F9" s="26">
        <f t="shared" si="0"/>
        <v>996.82158730158733</v>
      </c>
      <c r="G9" s="27">
        <f>+B44-H9</f>
        <v>59.316190476190478</v>
      </c>
      <c r="H9" s="24">
        <f>+E9</f>
        <v>0</v>
      </c>
      <c r="I9" s="28"/>
      <c r="J9" s="23">
        <f t="shared" si="1"/>
        <v>59.316190476190478</v>
      </c>
      <c r="K9" s="23">
        <f t="shared" si="2"/>
        <v>937.50539682539682</v>
      </c>
      <c r="L9" s="29">
        <f>+'17'!M9</f>
        <v>990</v>
      </c>
      <c r="M9" s="30">
        <v>930</v>
      </c>
      <c r="N9" s="26">
        <f t="shared" si="3"/>
        <v>59.316190476190478</v>
      </c>
      <c r="O9" s="26">
        <f>+C44</f>
        <v>15.75</v>
      </c>
      <c r="P9" s="31">
        <f t="shared" si="4"/>
        <v>934.23</v>
      </c>
      <c r="Q9" s="32">
        <f t="shared" si="5"/>
        <v>-7.5053968253968151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+'17'!K10</f>
        <v>445.81057898498932</v>
      </c>
      <c r="C10" s="24">
        <f>L31</f>
        <v>0</v>
      </c>
      <c r="D10" s="34"/>
      <c r="E10" s="25"/>
      <c r="F10" s="26">
        <f t="shared" si="0"/>
        <v>445.81057898498932</v>
      </c>
      <c r="G10" s="27">
        <f>+B45-H10</f>
        <v>25.098641887062186</v>
      </c>
      <c r="H10" s="24">
        <f>+E10</f>
        <v>0</v>
      </c>
      <c r="I10" s="28"/>
      <c r="J10" s="23">
        <f t="shared" si="1"/>
        <v>25.098641887062186</v>
      </c>
      <c r="K10" s="23">
        <f t="shared" si="2"/>
        <v>420.71193709792715</v>
      </c>
      <c r="L10" s="29">
        <f>+'17'!M10</f>
        <v>430</v>
      </c>
      <c r="M10" s="30">
        <v>400</v>
      </c>
      <c r="N10" s="26">
        <f t="shared" si="3"/>
        <v>25.098641887062186</v>
      </c>
      <c r="O10" s="26">
        <f>+C45</f>
        <v>13.99</v>
      </c>
      <c r="P10" s="31">
        <f t="shared" si="4"/>
        <v>351.13</v>
      </c>
      <c r="Q10" s="32">
        <f t="shared" si="5"/>
        <v>-20.711937097927148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+'17'!K11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+'17'!M11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+'17'!K12</f>
        <v>942.24231593995705</v>
      </c>
      <c r="C12" s="40">
        <f>L33</f>
        <v>0</v>
      </c>
      <c r="D12" s="41"/>
      <c r="E12" s="42"/>
      <c r="F12" s="26">
        <f t="shared" si="0"/>
        <v>942.24231593995705</v>
      </c>
      <c r="G12" s="43">
        <f>+B47-H12</f>
        <v>52.827019299499639</v>
      </c>
      <c r="H12" s="40">
        <f>+E12</f>
        <v>0</v>
      </c>
      <c r="I12" s="28"/>
      <c r="J12" s="44">
        <f t="shared" si="1"/>
        <v>52.827019299499639</v>
      </c>
      <c r="K12" s="44">
        <f t="shared" si="2"/>
        <v>889.41529664045743</v>
      </c>
      <c r="L12" s="29">
        <f>+'17'!M12</f>
        <v>945</v>
      </c>
      <c r="M12" s="30">
        <v>890</v>
      </c>
      <c r="N12" s="42">
        <f t="shared" si="3"/>
        <v>52.827019299499639</v>
      </c>
      <c r="O12" s="42">
        <f>+C47</f>
        <v>13.99</v>
      </c>
      <c r="P12" s="45">
        <f t="shared" si="4"/>
        <v>739.05</v>
      </c>
      <c r="Q12" s="32">
        <f t="shared" si="5"/>
        <v>0.5847033595425728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5116.9901425552362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5116.9901425552362</v>
      </c>
      <c r="G13" s="23">
        <f t="shared" si="6"/>
        <v>458.16173721353908</v>
      </c>
      <c r="H13" s="23">
        <f t="shared" si="6"/>
        <v>0</v>
      </c>
      <c r="I13" s="23">
        <f t="shared" si="6"/>
        <v>0</v>
      </c>
      <c r="J13" s="23">
        <f t="shared" si="6"/>
        <v>458.16173721353908</v>
      </c>
      <c r="K13" s="23">
        <f t="shared" si="6"/>
        <v>4658.8284053416974</v>
      </c>
      <c r="L13" s="29">
        <f t="shared" si="6"/>
        <v>5097.1156603287027</v>
      </c>
      <c r="M13" s="23">
        <f t="shared" si="6"/>
        <v>4631.1957747779161</v>
      </c>
      <c r="N13" s="23">
        <f t="shared" si="6"/>
        <v>458.16173721353908</v>
      </c>
      <c r="O13" s="23"/>
      <c r="P13" s="23">
        <f>SUM(P7:P12)</f>
        <v>4267.6400000000003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458.16173721353908</v>
      </c>
      <c r="P16" s="65">
        <f>+P13</f>
        <v>4267.6400000000003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843.16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747.97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0.21000000000003638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2676.3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7.5053968253968151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20.711937097927148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-0.5847033595425728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45795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1181.2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696.03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1495.1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147.13</v>
      </c>
      <c r="C38" s="134">
        <v>747.97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45795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1181.2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843.16</v>
      </c>
      <c r="C40" s="150">
        <f>SUM(C37:C39)</f>
        <v>747.97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2676.3</v>
      </c>
      <c r="M40" s="158" t="s">
        <v>0</v>
      </c>
      <c r="N40" s="159" t="s">
        <v>29</v>
      </c>
      <c r="O40" s="160">
        <f>+L37</f>
        <v>1495.1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1591.13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2676.3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59.316190476190478</v>
      </c>
      <c r="C44" s="181">
        <v>15.75</v>
      </c>
      <c r="D44" s="182">
        <v>934.23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25.098641887062186</v>
      </c>
      <c r="C45" s="181">
        <v>13.99</v>
      </c>
      <c r="D45" s="182">
        <v>351.13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52.827019299499639</v>
      </c>
      <c r="C47" s="181">
        <v>13.99</v>
      </c>
      <c r="D47" s="182">
        <v>739.05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320.91988555078683</v>
      </c>
      <c r="C48" s="181">
        <v>6.99</v>
      </c>
      <c r="D48" s="182">
        <v>2243.23</v>
      </c>
      <c r="E48" s="183"/>
      <c r="F48" s="183"/>
      <c r="G48" s="178"/>
      <c r="H48" s="209">
        <f>(L36+B40+P23+P24+P22+L38)-SUM(D44:D47)+(P20+P21)</f>
        <v>-4.9999999999954525E-2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458.16173721353914</v>
      </c>
      <c r="C49" s="212"/>
      <c r="D49" s="213">
        <f>SUM(D44:D48)</f>
        <v>4267.6400000000003</v>
      </c>
      <c r="E49" s="213">
        <v>4267.6400000000003</v>
      </c>
      <c r="F49" s="183"/>
      <c r="G49" s="178"/>
      <c r="H49" s="214">
        <f>(C38+L37+L39)-D48</f>
        <v>-0.16000000000030923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11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45796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139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+'18'!K7</f>
        <v>2411.1957747779161</v>
      </c>
      <c r="C7" s="24">
        <f>L28+L29</f>
        <v>1842.9526876393361</v>
      </c>
      <c r="D7" s="25"/>
      <c r="E7" s="25"/>
      <c r="F7" s="26">
        <f t="shared" ref="F7:F12" si="0">+B7+C7+D7+E7</f>
        <v>4254.1484624172517</v>
      </c>
      <c r="G7" s="27">
        <f>B48-H7</f>
        <v>220.15021459227466</v>
      </c>
      <c r="H7" s="24"/>
      <c r="I7" s="28"/>
      <c r="J7" s="23">
        <f t="shared" ref="J7:J12" si="1">+G7+H7+I7</f>
        <v>220.15021459227466</v>
      </c>
      <c r="K7" s="23">
        <f t="shared" ref="K7:K12" si="2">+F7-J7</f>
        <v>4033.9982478249772</v>
      </c>
      <c r="L7" s="29">
        <f>+'18'!M7</f>
        <v>2411.1957747779161</v>
      </c>
      <c r="M7" s="30">
        <v>4033.9982478249772</v>
      </c>
      <c r="N7" s="26">
        <f t="shared" ref="N7:N12" si="3">+G7</f>
        <v>220.15021459227466</v>
      </c>
      <c r="O7" s="26">
        <f>+C48</f>
        <v>6.99</v>
      </c>
      <c r="P7" s="31">
        <f t="shared" ref="P7:P12" si="4">+N7*O7</f>
        <v>1538.85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+'18'!K8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+'18'!M8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+'18'!K9</f>
        <v>937.50539682539682</v>
      </c>
      <c r="C9" s="24">
        <f>L30</f>
        <v>0</v>
      </c>
      <c r="D9" s="34"/>
      <c r="E9" s="25"/>
      <c r="F9" s="26">
        <f t="shared" si="0"/>
        <v>937.50539682539682</v>
      </c>
      <c r="G9" s="27">
        <f>+B44-H9</f>
        <v>139.21904761904764</v>
      </c>
      <c r="H9" s="24">
        <f>+E9</f>
        <v>0</v>
      </c>
      <c r="I9" s="28"/>
      <c r="J9" s="23">
        <f t="shared" si="1"/>
        <v>139.21904761904764</v>
      </c>
      <c r="K9" s="23">
        <f t="shared" si="2"/>
        <v>798.2863492063492</v>
      </c>
      <c r="L9" s="29">
        <f>+'18'!M9</f>
        <v>930</v>
      </c>
      <c r="M9" s="30">
        <v>790</v>
      </c>
      <c r="N9" s="26">
        <f t="shared" si="3"/>
        <v>139.21904761904764</v>
      </c>
      <c r="O9" s="26">
        <f>+C44</f>
        <v>15.75</v>
      </c>
      <c r="P9" s="31">
        <f t="shared" si="4"/>
        <v>2192.7000000000003</v>
      </c>
      <c r="Q9" s="32">
        <f t="shared" si="5"/>
        <v>-8.2863492063492004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+'18'!K10</f>
        <v>420.71193709792715</v>
      </c>
      <c r="C10" s="24">
        <f>L31</f>
        <v>0</v>
      </c>
      <c r="D10" s="34"/>
      <c r="E10" s="25"/>
      <c r="F10" s="26">
        <f t="shared" si="0"/>
        <v>420.71193709792715</v>
      </c>
      <c r="G10" s="27">
        <f>+B45-H10</f>
        <v>0</v>
      </c>
      <c r="H10" s="24">
        <f>+E10</f>
        <v>0</v>
      </c>
      <c r="I10" s="28"/>
      <c r="J10" s="23">
        <f t="shared" si="1"/>
        <v>0</v>
      </c>
      <c r="K10" s="23">
        <f t="shared" si="2"/>
        <v>420.71193709792715</v>
      </c>
      <c r="L10" s="29">
        <f>+'18'!M10</f>
        <v>400</v>
      </c>
      <c r="M10" s="30">
        <v>398</v>
      </c>
      <c r="N10" s="26">
        <f t="shared" si="3"/>
        <v>0</v>
      </c>
      <c r="O10" s="26">
        <f>+C45</f>
        <v>13.99</v>
      </c>
      <c r="P10" s="31">
        <f t="shared" si="4"/>
        <v>0</v>
      </c>
      <c r="Q10" s="32">
        <f t="shared" si="5"/>
        <v>-22.711937097927148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+'18'!K11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+'18'!M11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+'18'!K12</f>
        <v>889.41529664045743</v>
      </c>
      <c r="C12" s="40">
        <f>L33</f>
        <v>0</v>
      </c>
      <c r="D12" s="41"/>
      <c r="E12" s="42"/>
      <c r="F12" s="26">
        <f t="shared" si="0"/>
        <v>889.41529664045743</v>
      </c>
      <c r="G12" s="43">
        <f>+B47-H12</f>
        <v>115.6361686919228</v>
      </c>
      <c r="H12" s="40">
        <f>+E12</f>
        <v>0</v>
      </c>
      <c r="I12" s="28"/>
      <c r="J12" s="44">
        <f t="shared" si="1"/>
        <v>115.6361686919228</v>
      </c>
      <c r="K12" s="44">
        <f t="shared" si="2"/>
        <v>773.77912794853466</v>
      </c>
      <c r="L12" s="29">
        <f>+'18'!M12</f>
        <v>890</v>
      </c>
      <c r="M12" s="30">
        <v>775</v>
      </c>
      <c r="N12" s="42">
        <f t="shared" si="3"/>
        <v>115.6361686919228</v>
      </c>
      <c r="O12" s="42">
        <f>+C47</f>
        <v>13.99</v>
      </c>
      <c r="P12" s="45">
        <f t="shared" si="4"/>
        <v>1617.75</v>
      </c>
      <c r="Q12" s="32">
        <f t="shared" si="5"/>
        <v>1.2208720514653351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4658.8284053416974</v>
      </c>
      <c r="C13" s="23">
        <f t="shared" si="6"/>
        <v>1842.9526876393361</v>
      </c>
      <c r="D13" s="23">
        <f t="shared" si="6"/>
        <v>0</v>
      </c>
      <c r="E13" s="23">
        <f t="shared" si="6"/>
        <v>0</v>
      </c>
      <c r="F13" s="23">
        <f t="shared" si="6"/>
        <v>6501.781092981033</v>
      </c>
      <c r="G13" s="23">
        <f t="shared" si="6"/>
        <v>475.0054309032451</v>
      </c>
      <c r="H13" s="23">
        <f t="shared" si="6"/>
        <v>0</v>
      </c>
      <c r="I13" s="23">
        <f t="shared" si="6"/>
        <v>0</v>
      </c>
      <c r="J13" s="23">
        <f t="shared" si="6"/>
        <v>475.0054309032451</v>
      </c>
      <c r="K13" s="23">
        <f t="shared" si="6"/>
        <v>6026.7756620777882</v>
      </c>
      <c r="L13" s="29">
        <f t="shared" si="6"/>
        <v>4631.1957747779161</v>
      </c>
      <c r="M13" s="23">
        <f t="shared" si="6"/>
        <v>5996.9982478249767</v>
      </c>
      <c r="N13" s="23">
        <f t="shared" si="6"/>
        <v>475.0054309032451</v>
      </c>
      <c r="O13" s="23"/>
      <c r="P13" s="23">
        <f>SUM(P7:P12)</f>
        <v>5349.3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475.0054309032451</v>
      </c>
      <c r="P16" s="65">
        <f>+P13</f>
        <v>5349.3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1637.5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307.25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0.36002000000007683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>
        <f>8.046*14.13</f>
        <v>113.68997999999999</v>
      </c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113.68997999999999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5091.8457599999992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3290.5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1842.9526876393361</v>
      </c>
      <c r="M28" s="92" t="s">
        <v>166</v>
      </c>
      <c r="N28" s="92" t="s">
        <v>167</v>
      </c>
      <c r="O28" s="93" t="s">
        <v>148</v>
      </c>
      <c r="P28" s="94" t="str">
        <f>+I44&amp;"   "&amp;"kg"</f>
        <v>3720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8.2863492063492004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22.711937097927148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-1.2208720514653351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45796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2058.9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835.5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1231.5999999999999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802</v>
      </c>
      <c r="C38" s="134">
        <v>307.25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45796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2058.9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1637.5</v>
      </c>
      <c r="C40" s="150">
        <f>SUM(C37:C39)</f>
        <v>307.25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3290.5</v>
      </c>
      <c r="M40" s="158" t="s">
        <v>0</v>
      </c>
      <c r="N40" s="159" t="s">
        <v>29</v>
      </c>
      <c r="O40" s="160">
        <f>+L37</f>
        <v>1231.5999999999999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1944.75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3290.5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139.21904761904764</v>
      </c>
      <c r="C44" s="181">
        <v>15.75</v>
      </c>
      <c r="D44" s="182">
        <v>2192.7000000000003</v>
      </c>
      <c r="E44" s="183"/>
      <c r="F44" s="183"/>
      <c r="G44" s="178"/>
      <c r="H44" s="184" t="s">
        <v>18</v>
      </c>
      <c r="I44" s="185" t="s">
        <v>165</v>
      </c>
      <c r="J44" s="186">
        <v>2.0185</v>
      </c>
      <c r="K44" s="187">
        <f>+I44/J44</f>
        <v>1842.9526876393361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0</v>
      </c>
      <c r="C45" s="181">
        <v>13.99</v>
      </c>
      <c r="D45" s="182">
        <v>0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115.6361686919228</v>
      </c>
      <c r="C47" s="181">
        <v>13.99</v>
      </c>
      <c r="D47" s="182">
        <v>1617.75</v>
      </c>
      <c r="E47" s="183"/>
      <c r="F47" s="178"/>
      <c r="G47" s="178"/>
      <c r="H47" s="203" t="s">
        <v>11</v>
      </c>
      <c r="I47" s="204">
        <f>+K47/J47</f>
        <v>1.7753553409221963</v>
      </c>
      <c r="J47" s="205">
        <f>+J45</f>
        <v>3.7854000000000001</v>
      </c>
      <c r="K47" s="206">
        <f>+L47/I44</f>
        <v>6.720430107526882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220.15021459227466</v>
      </c>
      <c r="C48" s="181">
        <v>6.99</v>
      </c>
      <c r="D48" s="182">
        <v>1538.85</v>
      </c>
      <c r="E48" s="183"/>
      <c r="F48" s="183"/>
      <c r="G48" s="178"/>
      <c r="H48" s="209">
        <f>(L36+B40+P23+P24+P22+L38)-SUM(D44:D47)+(P20+P21)</f>
        <v>-0.36002000000007683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475.0054309032451</v>
      </c>
      <c r="C49" s="212"/>
      <c r="D49" s="213">
        <f>SUM(D44:D48)</f>
        <v>5349.3</v>
      </c>
      <c r="E49" s="213">
        <v>5349.3</v>
      </c>
      <c r="F49" s="183"/>
      <c r="G49" s="178"/>
      <c r="H49" s="214">
        <f>(C38+L37+L39)-D48</f>
        <v>0</v>
      </c>
      <c r="I49" s="215" t="s">
        <v>4</v>
      </c>
      <c r="J49" s="216" t="s">
        <v>3</v>
      </c>
      <c r="K49" s="217">
        <v>2.0185</v>
      </c>
      <c r="L49" s="218">
        <f>+K47-K45</f>
        <v>-0.26956989247311824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12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43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45779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122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+'01'!K7</f>
        <v>2267.7005767473947</v>
      </c>
      <c r="C7" s="24">
        <f>L28+L29</f>
        <v>0</v>
      </c>
      <c r="D7" s="25"/>
      <c r="E7" s="25"/>
      <c r="F7" s="26">
        <f t="shared" ref="F7:F12" si="0">+B7+C7+D7+E7</f>
        <v>2267.7005767473947</v>
      </c>
      <c r="G7" s="27">
        <f>B48-H7</f>
        <v>236.01859799713876</v>
      </c>
      <c r="H7" s="24"/>
      <c r="I7" s="28"/>
      <c r="J7" s="23">
        <f t="shared" ref="J7:J12" si="1">+G7+H7+I7</f>
        <v>236.01859799713876</v>
      </c>
      <c r="K7" s="23">
        <f t="shared" ref="K7:K12" si="2">+F7-J7</f>
        <v>2031.6819787502559</v>
      </c>
      <c r="L7" s="29">
        <f>+'01'!M7</f>
        <v>2267.7005767473947</v>
      </c>
      <c r="M7" s="30">
        <v>2031.6819787502559</v>
      </c>
      <c r="N7" s="26">
        <f t="shared" ref="N7:N12" si="3">+G7</f>
        <v>236.01859799713876</v>
      </c>
      <c r="O7" s="26">
        <f>+C48</f>
        <v>6.99</v>
      </c>
      <c r="P7" s="31">
        <f t="shared" ref="P7:P12" si="4">+N7*O7</f>
        <v>1649.77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+'01'!K8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+'01'!M8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+'01'!K9</f>
        <v>1288.5073015873015</v>
      </c>
      <c r="C9" s="24">
        <f>L30</f>
        <v>0</v>
      </c>
      <c r="D9" s="34"/>
      <c r="E9" s="25"/>
      <c r="F9" s="26">
        <f t="shared" si="0"/>
        <v>1288.5073015873015</v>
      </c>
      <c r="G9" s="27">
        <f>+B44-H9</f>
        <v>85.150476190476184</v>
      </c>
      <c r="H9" s="24">
        <f>+E9</f>
        <v>0</v>
      </c>
      <c r="I9" s="28"/>
      <c r="J9" s="23">
        <f t="shared" si="1"/>
        <v>85.150476190476184</v>
      </c>
      <c r="K9" s="23">
        <f t="shared" si="2"/>
        <v>1203.3568253968253</v>
      </c>
      <c r="L9" s="29">
        <f>+'01'!M9</f>
        <v>1288</v>
      </c>
      <c r="M9" s="30">
        <v>1200</v>
      </c>
      <c r="N9" s="26">
        <f t="shared" si="3"/>
        <v>85.150476190476184</v>
      </c>
      <c r="O9" s="26">
        <f>+C44</f>
        <v>15.75</v>
      </c>
      <c r="P9" s="31">
        <f t="shared" si="4"/>
        <v>1341.12</v>
      </c>
      <c r="Q9" s="32">
        <f t="shared" si="5"/>
        <v>-3.356825396825343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+'01'!K10</f>
        <v>1029.5575411007862</v>
      </c>
      <c r="C10" s="24">
        <f>L31</f>
        <v>0</v>
      </c>
      <c r="D10" s="34"/>
      <c r="E10" s="25"/>
      <c r="F10" s="26">
        <f t="shared" si="0"/>
        <v>1029.5575411007862</v>
      </c>
      <c r="G10" s="27">
        <f>+B45-H10</f>
        <v>132.80486061472482</v>
      </c>
      <c r="H10" s="24">
        <f>+E10</f>
        <v>0</v>
      </c>
      <c r="I10" s="28"/>
      <c r="J10" s="23">
        <f t="shared" si="1"/>
        <v>132.80486061472482</v>
      </c>
      <c r="K10" s="23">
        <f t="shared" si="2"/>
        <v>896.75268048606142</v>
      </c>
      <c r="L10" s="29">
        <f>+'01'!M10</f>
        <v>1029</v>
      </c>
      <c r="M10" s="30">
        <v>895</v>
      </c>
      <c r="N10" s="26">
        <f t="shared" si="3"/>
        <v>132.80486061472482</v>
      </c>
      <c r="O10" s="26">
        <f>+C45</f>
        <v>13.99</v>
      </c>
      <c r="P10" s="31">
        <f t="shared" si="4"/>
        <v>1857.9400000000003</v>
      </c>
      <c r="Q10" s="32">
        <f t="shared" si="5"/>
        <v>-1.752680486061422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+'01'!K11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+'01'!M11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+'01'!K12</f>
        <v>1043.0335954253037</v>
      </c>
      <c r="C12" s="40">
        <f>L33</f>
        <v>0</v>
      </c>
      <c r="D12" s="41"/>
      <c r="E12" s="42"/>
      <c r="F12" s="26">
        <f t="shared" si="0"/>
        <v>1043.0335954253037</v>
      </c>
      <c r="G12" s="43">
        <f>+B47-H12</f>
        <v>251.49177984274482</v>
      </c>
      <c r="H12" s="40">
        <f>+E12</f>
        <v>0</v>
      </c>
      <c r="I12" s="28"/>
      <c r="J12" s="44">
        <f t="shared" si="1"/>
        <v>251.49177984274482</v>
      </c>
      <c r="K12" s="44">
        <f t="shared" si="2"/>
        <v>791.54181558255891</v>
      </c>
      <c r="L12" s="29">
        <f>+'01'!M12</f>
        <v>1043</v>
      </c>
      <c r="M12" s="30">
        <v>790</v>
      </c>
      <c r="N12" s="42">
        <f t="shared" si="3"/>
        <v>251.49177984274482</v>
      </c>
      <c r="O12" s="42">
        <f>+C47</f>
        <v>13.99</v>
      </c>
      <c r="P12" s="45">
        <f t="shared" si="4"/>
        <v>3518.37</v>
      </c>
      <c r="Q12" s="32">
        <f t="shared" si="5"/>
        <v>-1.541815582558911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5628.799014860786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5628.799014860786</v>
      </c>
      <c r="G13" s="23">
        <f t="shared" si="6"/>
        <v>705.46571464508452</v>
      </c>
      <c r="H13" s="23">
        <f t="shared" si="6"/>
        <v>0</v>
      </c>
      <c r="I13" s="23">
        <f t="shared" si="6"/>
        <v>0</v>
      </c>
      <c r="J13" s="23">
        <f t="shared" si="6"/>
        <v>705.46571464508452</v>
      </c>
      <c r="K13" s="23">
        <f t="shared" si="6"/>
        <v>4923.3333002157024</v>
      </c>
      <c r="L13" s="29">
        <f t="shared" si="6"/>
        <v>5627.7005767473947</v>
      </c>
      <c r="M13" s="23">
        <f t="shared" si="6"/>
        <v>4916.6819787502554</v>
      </c>
      <c r="N13" s="23">
        <f t="shared" si="6"/>
        <v>705.46571464508452</v>
      </c>
      <c r="O13" s="23"/>
      <c r="P13" s="23">
        <f>SUM(P7:P12)</f>
        <v>8367.2000000000007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705.46571464508452</v>
      </c>
      <c r="P16" s="65">
        <f>+P13</f>
        <v>8367.2000000000007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1127.01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306.82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0.33975000000100408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>
        <v>116.976</v>
      </c>
      <c r="F20" s="60">
        <v>0.2</v>
      </c>
      <c r="G20" s="61">
        <f t="shared" si="7"/>
        <v>23.395200000000003</v>
      </c>
      <c r="H20" s="70" t="s">
        <v>140</v>
      </c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>
        <f>17.877*13.99+11.618*13.99</f>
        <v>412.63504999999998</v>
      </c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23.395200000000003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452.63504999999998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5390.790829999999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6457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56</v>
      </c>
      <c r="P30" s="98">
        <f>12888.69/1050</f>
        <v>12.274942857142857</v>
      </c>
      <c r="Q30" s="95">
        <f>+O9-P30</f>
        <v>3.4750571428571426</v>
      </c>
      <c r="S30" s="48">
        <f t="shared" si="8"/>
        <v>3.356825396825343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11468.46/990</f>
        <v>11.58430303030303</v>
      </c>
      <c r="Q31" s="95">
        <f>+O10-P31</f>
        <v>2.4056969696969706</v>
      </c>
      <c r="S31" s="48">
        <f t="shared" si="8"/>
        <v>1.752680486061422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23.395200000000003</v>
      </c>
      <c r="H33" s="102"/>
      <c r="I33" s="73" t="s">
        <v>57</v>
      </c>
      <c r="J33" s="103">
        <v>40</v>
      </c>
      <c r="K33" s="104" t="s">
        <v>35</v>
      </c>
      <c r="L33" s="91"/>
      <c r="M33" s="92"/>
      <c r="N33" s="92"/>
      <c r="O33" s="93" t="s">
        <v>56</v>
      </c>
      <c r="P33" s="98">
        <f>13530.52/1150</f>
        <v>11.765669565217392</v>
      </c>
      <c r="Q33" s="95">
        <f>+O12-P33</f>
        <v>2.2243304347826083</v>
      </c>
      <c r="R33" s="1" t="s">
        <v>55</v>
      </c>
      <c r="S33" s="48">
        <f t="shared" si="8"/>
        <v>1.541815582558911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45779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-175</v>
      </c>
      <c r="K36" s="116" t="s">
        <v>32</v>
      </c>
      <c r="L36" s="123">
        <v>5114.1000000000004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1044.01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1342.9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83</v>
      </c>
      <c r="C38" s="134">
        <v>306.82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45779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5114.1000000000004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1127.01</v>
      </c>
      <c r="C40" s="150">
        <f>SUM(C37:C39)</f>
        <v>306.82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6457</v>
      </c>
      <c r="M40" s="158" t="s">
        <v>0</v>
      </c>
      <c r="N40" s="159" t="s">
        <v>29</v>
      </c>
      <c r="O40" s="160">
        <f>+L37</f>
        <v>1342.9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1433.83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6457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85.150476190476184</v>
      </c>
      <c r="C44" s="181">
        <v>15.75</v>
      </c>
      <c r="D44" s="182">
        <v>1341.12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132.80486061472482</v>
      </c>
      <c r="C45" s="181">
        <v>13.99</v>
      </c>
      <c r="D45" s="182">
        <v>1857.94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251.49177984274482</v>
      </c>
      <c r="C47" s="181">
        <v>13.99</v>
      </c>
      <c r="D47" s="182">
        <v>3518.37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236.01859799713876</v>
      </c>
      <c r="C48" s="181">
        <v>6.99</v>
      </c>
      <c r="D48" s="182">
        <v>1649.77</v>
      </c>
      <c r="E48" s="183"/>
      <c r="F48" s="183"/>
      <c r="G48" s="178"/>
      <c r="H48" s="209">
        <f>(L36+B40+P23+P24+P22+L38)-SUM(D44:D47)+(P20+P21)</f>
        <v>-0.28974999999991269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705.46571464508452</v>
      </c>
      <c r="C49" s="212"/>
      <c r="D49" s="213">
        <f>SUM(D44:D48)</f>
        <v>8367.2000000000007</v>
      </c>
      <c r="E49" s="213">
        <v>8367.2000000000007</v>
      </c>
      <c r="F49" s="183"/>
      <c r="G49" s="178"/>
      <c r="H49" s="214">
        <f>(C38+L37+L39)-D48</f>
        <v>-4.9999999999954525E-2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232">
        <f>SUM(G43:G53)</f>
        <v>0</v>
      </c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222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222"/>
      <c r="H57" s="223"/>
      <c r="I57" s="223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222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222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222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222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222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222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241"/>
      <c r="N64" s="107"/>
      <c r="O64" s="107"/>
      <c r="P64" s="107"/>
      <c r="Q64" s="1"/>
    </row>
    <row r="65" spans="1:20" x14ac:dyDescent="0.3">
      <c r="A65" s="234"/>
      <c r="D65" s="107"/>
      <c r="F65" s="244"/>
      <c r="G65" s="241"/>
      <c r="N65" s="107"/>
      <c r="O65" s="107"/>
      <c r="P65" s="107"/>
      <c r="Q65" s="1"/>
    </row>
    <row r="66" spans="1:20" x14ac:dyDescent="0.3">
      <c r="A66" s="234"/>
      <c r="F66" s="244"/>
      <c r="G66" s="241"/>
      <c r="N66" s="107"/>
      <c r="O66" s="107"/>
      <c r="P66" s="107"/>
      <c r="Q66" s="1"/>
    </row>
    <row r="67" spans="1:20" x14ac:dyDescent="0.3">
      <c r="A67" s="234">
        <v>84</v>
      </c>
      <c r="F67" s="246"/>
      <c r="G67" s="241"/>
      <c r="N67" s="107"/>
      <c r="Q67" s="1"/>
    </row>
    <row r="68" spans="1:20" x14ac:dyDescent="0.3">
      <c r="A68" s="239" t="s">
        <v>1</v>
      </c>
      <c r="F68" s="244"/>
      <c r="G68" s="241"/>
      <c r="N68" s="107"/>
      <c r="Q68" s="1"/>
    </row>
    <row r="69" spans="1:20" x14ac:dyDescent="0.3">
      <c r="A69" s="84"/>
      <c r="F69" s="242"/>
      <c r="G69" s="241"/>
      <c r="N69" s="107"/>
      <c r="Q69" s="1"/>
    </row>
    <row r="70" spans="1:20" x14ac:dyDescent="0.3">
      <c r="A70" s="234">
        <v>95</v>
      </c>
      <c r="F70" s="244"/>
      <c r="G70" s="241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41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84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84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84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9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84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84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84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9"/>
      <c r="N79" s="107"/>
      <c r="O79" s="107"/>
      <c r="P79" s="107"/>
      <c r="Q79" s="107"/>
      <c r="R79" s="197"/>
    </row>
    <row r="80" spans="1:20" x14ac:dyDescent="0.3">
      <c r="A80" s="84"/>
      <c r="F80" s="250"/>
      <c r="G80" s="223"/>
      <c r="N80" s="107"/>
      <c r="O80" s="107"/>
      <c r="P80" s="107"/>
      <c r="Q80" s="107"/>
      <c r="R80" s="197"/>
    </row>
    <row r="81" spans="1:19" x14ac:dyDescent="0.3">
      <c r="A81" s="84"/>
      <c r="F81" s="235"/>
      <c r="G81" s="223"/>
      <c r="N81" s="107"/>
      <c r="O81" s="107"/>
      <c r="P81" s="107"/>
      <c r="Q81" s="107"/>
      <c r="R81" s="197"/>
    </row>
    <row r="82" spans="1:19" x14ac:dyDescent="0.3">
      <c r="A82" s="84"/>
      <c r="F82" s="237"/>
      <c r="G82" s="223"/>
      <c r="N82" s="107"/>
      <c r="O82" s="107"/>
      <c r="P82" s="107"/>
      <c r="Q82" s="107"/>
      <c r="R82" s="197"/>
    </row>
    <row r="83" spans="1:19" x14ac:dyDescent="0.3">
      <c r="A83" s="84"/>
      <c r="F83" s="237"/>
      <c r="G83" s="223"/>
      <c r="N83" s="107"/>
      <c r="O83" s="107"/>
      <c r="P83" s="107"/>
      <c r="Q83" s="107"/>
      <c r="R83" s="197"/>
    </row>
    <row r="84" spans="1:19" x14ac:dyDescent="0.3">
      <c r="A84" s="84"/>
      <c r="F84" s="223"/>
      <c r="G84" s="223"/>
      <c r="N84" s="107"/>
      <c r="O84" s="107"/>
      <c r="P84" s="107"/>
      <c r="Q84" s="107"/>
    </row>
    <row r="85" spans="1:19" x14ac:dyDescent="0.3">
      <c r="N85" s="107"/>
      <c r="O85" s="107"/>
      <c r="P85" s="107"/>
      <c r="Q85" s="107"/>
    </row>
    <row r="86" spans="1:19" x14ac:dyDescent="0.3">
      <c r="N86" s="107"/>
      <c r="O86" s="202"/>
      <c r="P86" s="202"/>
      <c r="Q86" s="107"/>
    </row>
    <row r="87" spans="1:19" x14ac:dyDescent="0.3">
      <c r="N87" s="107"/>
      <c r="O87" s="202"/>
      <c r="P87" s="202"/>
      <c r="Q87" s="107"/>
    </row>
    <row r="88" spans="1:19" x14ac:dyDescent="0.3">
      <c r="N88" s="107"/>
      <c r="O88" s="202"/>
      <c r="P88" s="202"/>
      <c r="Q88" s="107"/>
    </row>
    <row r="89" spans="1:19" x14ac:dyDescent="0.3">
      <c r="N89" s="107"/>
      <c r="O89" s="202"/>
      <c r="P89" s="202"/>
      <c r="Q89" s="107"/>
    </row>
    <row r="90" spans="1:19" x14ac:dyDescent="0.3">
      <c r="N90" s="107"/>
      <c r="O90" s="202"/>
      <c r="P90" s="202"/>
      <c r="Q90" s="107"/>
    </row>
    <row r="91" spans="1:19" x14ac:dyDescent="0.3">
      <c r="N91" s="107"/>
      <c r="O91" s="202"/>
      <c r="P91" s="202"/>
      <c r="Q91" s="107"/>
      <c r="S91" s="251"/>
    </row>
    <row r="92" spans="1:19" x14ac:dyDescent="0.3">
      <c r="Q92" s="1"/>
    </row>
    <row r="93" spans="1:19" x14ac:dyDescent="0.3">
      <c r="Q93" s="1"/>
    </row>
    <row r="94" spans="1:19" x14ac:dyDescent="0.3">
      <c r="Q94" s="1"/>
    </row>
    <row r="95" spans="1:19" s="2" customFormat="1" x14ac:dyDescent="0.3">
      <c r="H95" s="1"/>
      <c r="I95" s="1"/>
      <c r="J95" s="1"/>
      <c r="K95" s="1"/>
      <c r="L95" s="1"/>
      <c r="M95" s="1"/>
    </row>
    <row r="96" spans="1:19" s="2" customFormat="1" x14ac:dyDescent="0.3">
      <c r="H96" s="1"/>
      <c r="I96" s="1"/>
      <c r="J96" s="1"/>
      <c r="K96" s="1"/>
      <c r="L96" s="1"/>
      <c r="M96" s="1"/>
    </row>
    <row r="97" spans="8:19" s="2" customFormat="1" x14ac:dyDescent="0.3">
      <c r="H97" s="1"/>
      <c r="I97" s="1"/>
      <c r="J97" s="1"/>
      <c r="K97" s="1"/>
      <c r="L97" s="1"/>
      <c r="M97" s="1"/>
    </row>
    <row r="98" spans="8:19" s="2" customFormat="1" x14ac:dyDescent="0.3"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8:19" s="2" customFormat="1" x14ac:dyDescent="0.3"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8:19" s="2" customFormat="1" x14ac:dyDescent="0.3"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8:19" s="2" customFormat="1" x14ac:dyDescent="0.3"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8:19" s="2" customFormat="1" x14ac:dyDescent="0.3"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8:19" x14ac:dyDescent="0.3">
      <c r="N103" s="107"/>
      <c r="O103" s="202"/>
      <c r="P103" s="202"/>
      <c r="Q103" s="107"/>
    </row>
    <row r="104" spans="8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8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8:19" x14ac:dyDescent="0.3">
      <c r="H106" s="2"/>
      <c r="I106" s="2"/>
      <c r="J106" s="2"/>
      <c r="K106" s="2"/>
      <c r="L106" s="2"/>
      <c r="M106" s="2"/>
      <c r="N106" s="107"/>
      <c r="O106" s="202"/>
      <c r="Q106" s="107"/>
    </row>
    <row r="107" spans="8:19" x14ac:dyDescent="0.3">
      <c r="H107" s="2"/>
      <c r="I107" s="2"/>
      <c r="J107" s="2"/>
      <c r="K107" s="2"/>
      <c r="L107" s="2"/>
      <c r="M107" s="2"/>
      <c r="N107" s="107"/>
      <c r="O107" s="202"/>
      <c r="Q107" s="107"/>
    </row>
    <row r="108" spans="8:19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8:19" x14ac:dyDescent="0.3"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8:19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8:19" x14ac:dyDescent="0.3">
      <c r="H111" s="2"/>
      <c r="I111" s="2"/>
      <c r="J111" s="2"/>
      <c r="K111" s="2"/>
      <c r="L111" s="2"/>
      <c r="M111" s="2"/>
      <c r="N111" s="107"/>
      <c r="O111" s="202"/>
      <c r="Q111" s="107"/>
    </row>
    <row r="112" spans="8:19" x14ac:dyDescent="0.3">
      <c r="H112" s="2"/>
      <c r="I112" s="2"/>
      <c r="J112" s="2"/>
      <c r="K112" s="2"/>
      <c r="L112" s="2"/>
      <c r="M112" s="2"/>
      <c r="N112" s="107"/>
      <c r="O112" s="202"/>
      <c r="Q112" s="107"/>
    </row>
    <row r="113" spans="8:17" x14ac:dyDescent="0.3">
      <c r="H113" s="2"/>
      <c r="I113" s="2"/>
      <c r="J113" s="2"/>
      <c r="K113" s="2"/>
      <c r="L113" s="2"/>
      <c r="M113" s="2"/>
      <c r="N113" s="107"/>
      <c r="O113" s="202"/>
      <c r="Q113" s="107"/>
    </row>
    <row r="114" spans="8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8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8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8:17" x14ac:dyDescent="0.3">
      <c r="H117" s="2"/>
      <c r="I117" s="2"/>
      <c r="J117" s="2"/>
      <c r="K117" s="2"/>
      <c r="L117" s="2"/>
      <c r="M117" s="2"/>
      <c r="N117" s="107"/>
      <c r="O117" s="202"/>
    </row>
    <row r="118" spans="8:17" x14ac:dyDescent="0.3">
      <c r="H118" s="2"/>
      <c r="I118" s="2"/>
      <c r="J118" s="2"/>
      <c r="K118" s="2"/>
      <c r="L118" s="2"/>
      <c r="M118" s="2"/>
      <c r="N118" s="107"/>
      <c r="O118" s="202"/>
    </row>
    <row r="119" spans="8:17" x14ac:dyDescent="0.3">
      <c r="N119" s="107"/>
      <c r="O119" s="202"/>
    </row>
    <row r="120" spans="8:17" x14ac:dyDescent="0.3">
      <c r="N120" s="107"/>
      <c r="O120" s="202"/>
    </row>
    <row r="121" spans="8:17" x14ac:dyDescent="0.3">
      <c r="N121" s="107"/>
      <c r="O121" s="202"/>
    </row>
    <row r="122" spans="8:17" x14ac:dyDescent="0.3">
      <c r="N122" s="107"/>
    </row>
    <row r="123" spans="8:17" x14ac:dyDescent="0.3">
      <c r="N123" s="107"/>
    </row>
    <row r="124" spans="8:17" x14ac:dyDescent="0.3">
      <c r="N124" s="107"/>
    </row>
    <row r="125" spans="8:17" x14ac:dyDescent="0.3">
      <c r="N125" s="107"/>
    </row>
    <row r="126" spans="8:17" x14ac:dyDescent="0.3">
      <c r="N126" s="107"/>
    </row>
    <row r="127" spans="8:17" x14ac:dyDescent="0.3">
      <c r="N127" s="107"/>
    </row>
    <row r="128" spans="8:17" x14ac:dyDescent="0.3">
      <c r="N128" s="107"/>
      <c r="O128" s="254"/>
      <c r="P128" s="254"/>
    </row>
    <row r="129" spans="8:16" s="2" customFormat="1" x14ac:dyDescent="0.3">
      <c r="H129" s="1"/>
      <c r="I129" s="1"/>
      <c r="J129" s="1"/>
      <c r="K129" s="1"/>
      <c r="L129" s="1"/>
      <c r="M129" s="1"/>
      <c r="N129" s="107"/>
      <c r="O129" s="1"/>
      <c r="P129" s="1"/>
    </row>
    <row r="130" spans="8:16" s="2" customFormat="1" x14ac:dyDescent="0.3">
      <c r="H130" s="1"/>
      <c r="I130" s="1"/>
      <c r="J130" s="1"/>
      <c r="K130" s="1"/>
      <c r="L130" s="1"/>
      <c r="M130" s="1"/>
      <c r="N130" s="107"/>
      <c r="O130" s="1"/>
      <c r="P130" s="1"/>
    </row>
    <row r="131" spans="8:16" s="2" customFormat="1" x14ac:dyDescent="0.3">
      <c r="H131" s="1"/>
      <c r="I131" s="1"/>
      <c r="J131" s="1"/>
      <c r="K131" s="1"/>
      <c r="L131" s="1"/>
      <c r="M131" s="1"/>
      <c r="N131" s="107"/>
      <c r="O131" s="1"/>
      <c r="P131" s="1"/>
    </row>
    <row r="132" spans="8:16" s="2" customFormat="1" x14ac:dyDescent="0.3">
      <c r="H132" s="1"/>
      <c r="I132" s="1"/>
      <c r="J132" s="1"/>
      <c r="K132" s="1"/>
      <c r="L132" s="1"/>
      <c r="M132" s="1"/>
      <c r="N132" s="107"/>
      <c r="O132" s="1"/>
      <c r="P132" s="1"/>
    </row>
    <row r="133" spans="8:16" s="2" customFormat="1" x14ac:dyDescent="0.3">
      <c r="H133" s="1"/>
      <c r="I133" s="1"/>
      <c r="J133" s="1"/>
      <c r="K133" s="1"/>
      <c r="L133" s="1"/>
      <c r="M133" s="1"/>
      <c r="N133" s="107"/>
      <c r="O133" s="1"/>
      <c r="P133" s="1"/>
    </row>
    <row r="134" spans="8:16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8:16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8:16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8:16" s="2" customFormat="1" x14ac:dyDescent="0.3">
      <c r="H137" s="1"/>
      <c r="I137" s="1"/>
      <c r="J137" s="1"/>
      <c r="K137" s="1"/>
      <c r="L137" s="1"/>
      <c r="M137" s="1"/>
      <c r="N137" s="107"/>
      <c r="O137" s="1"/>
      <c r="P137" s="1"/>
    </row>
    <row r="138" spans="8:16" s="2" customFormat="1" x14ac:dyDescent="0.3">
      <c r="H138" s="1"/>
      <c r="I138" s="1"/>
      <c r="J138" s="1"/>
      <c r="K138" s="1"/>
      <c r="L138" s="1"/>
      <c r="M138" s="1"/>
      <c r="N138" s="107"/>
      <c r="O138" s="1"/>
      <c r="P138" s="1"/>
    </row>
    <row r="139" spans="8:16" s="2" customFormat="1" x14ac:dyDescent="0.3">
      <c r="H139" s="1"/>
      <c r="I139" s="1"/>
      <c r="J139" s="1"/>
      <c r="K139" s="1"/>
      <c r="L139" s="1"/>
      <c r="M139" s="1"/>
      <c r="N139" s="107"/>
      <c r="O139" s="1"/>
      <c r="P139" s="1"/>
    </row>
    <row r="140" spans="8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8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8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8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</sheetData>
  <autoFilter ref="A6:P6" xr:uid="{00000000-0009-0000-0000-000001000000}"/>
  <mergeCells count="64">
    <mergeCell ref="O1:P1"/>
    <mergeCell ref="I2:J2"/>
    <mergeCell ref="K2:M2"/>
    <mergeCell ref="O2:P2"/>
    <mergeCell ref="O3:P3"/>
    <mergeCell ref="I16:J16"/>
    <mergeCell ref="C5:F5"/>
    <mergeCell ref="I17:J17"/>
    <mergeCell ref="G5:J5"/>
    <mergeCell ref="M14:P14"/>
    <mergeCell ref="A14:H14"/>
    <mergeCell ref="N5:P5"/>
    <mergeCell ref="I3:J3"/>
    <mergeCell ref="M15:N15"/>
    <mergeCell ref="A15:B15"/>
    <mergeCell ref="O4:P4"/>
    <mergeCell ref="K3:M3"/>
    <mergeCell ref="A1:H3"/>
    <mergeCell ref="I1:J1"/>
    <mergeCell ref="K1:M1"/>
    <mergeCell ref="H43:L43"/>
    <mergeCell ref="A17:B17"/>
    <mergeCell ref="A21:B21"/>
    <mergeCell ref="M35:P35"/>
    <mergeCell ref="A34:H34"/>
    <mergeCell ref="A27:B27"/>
    <mergeCell ref="I31:J31"/>
    <mergeCell ref="A28:B28"/>
    <mergeCell ref="A25:B25"/>
    <mergeCell ref="K19:L19"/>
    <mergeCell ref="M24:O24"/>
    <mergeCell ref="O41:P41"/>
    <mergeCell ref="M38:N38"/>
    <mergeCell ref="A20:B20"/>
    <mergeCell ref="M19:O19"/>
    <mergeCell ref="L5:M5"/>
    <mergeCell ref="A16:B16"/>
    <mergeCell ref="I18:L18"/>
    <mergeCell ref="M17:N17"/>
    <mergeCell ref="A33:B33"/>
    <mergeCell ref="K20:L20"/>
    <mergeCell ref="M25:N25"/>
    <mergeCell ref="I14:L14"/>
    <mergeCell ref="A18:B18"/>
    <mergeCell ref="I19:J19"/>
    <mergeCell ref="M18:N18"/>
    <mergeCell ref="A26:B26"/>
    <mergeCell ref="M22:O22"/>
    <mergeCell ref="A22:B22"/>
    <mergeCell ref="M23:O23"/>
    <mergeCell ref="I15:J15"/>
    <mergeCell ref="M41:N41"/>
    <mergeCell ref="M16:N16"/>
    <mergeCell ref="A19:B19"/>
    <mergeCell ref="I20:J20"/>
    <mergeCell ref="M21:O21"/>
    <mergeCell ref="M20:O20"/>
    <mergeCell ref="A24:B24"/>
    <mergeCell ref="I26:J26"/>
    <mergeCell ref="A23:B23"/>
    <mergeCell ref="K26:P26"/>
    <mergeCell ref="M36:P37"/>
    <mergeCell ref="I37:J37"/>
    <mergeCell ref="A35:C3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X148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45797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140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+'19'!K7</f>
        <v>4033.9982478249772</v>
      </c>
      <c r="C7" s="24">
        <f>L28+L29</f>
        <v>0</v>
      </c>
      <c r="D7" s="25"/>
      <c r="E7" s="25"/>
      <c r="F7" s="26">
        <f t="shared" ref="F7:F12" si="0">+B7+C7+D7+E7</f>
        <v>4033.9982478249772</v>
      </c>
      <c r="G7" s="27">
        <f>B48-H7</f>
        <v>198.06016042780749</v>
      </c>
      <c r="H7" s="24"/>
      <c r="I7" s="28"/>
      <c r="J7" s="23">
        <f t="shared" ref="J7:J12" si="1">+G7+H7+I7</f>
        <v>198.06016042780749</v>
      </c>
      <c r="K7" s="23">
        <f t="shared" ref="K7:K12" si="2">+F7-J7</f>
        <v>3835.9380873971695</v>
      </c>
      <c r="L7" s="29">
        <f>+'19'!M7</f>
        <v>4033.9982478249772</v>
      </c>
      <c r="M7" s="30">
        <v>3835.9380873971695</v>
      </c>
      <c r="N7" s="26">
        <f t="shared" ref="N7:N12" si="3">+G7</f>
        <v>198.06016042780749</v>
      </c>
      <c r="O7" s="26">
        <f>+C48</f>
        <v>7.48</v>
      </c>
      <c r="P7" s="31">
        <f t="shared" ref="P7:P12" si="4">+N7*O7</f>
        <v>1481.49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+'19'!K8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+'19'!M8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+'19'!K9</f>
        <v>798.2863492063492</v>
      </c>
      <c r="C9" s="24">
        <f>L30</f>
        <v>0</v>
      </c>
      <c r="D9" s="34"/>
      <c r="E9" s="25"/>
      <c r="F9" s="26">
        <f t="shared" si="0"/>
        <v>798.2863492063492</v>
      </c>
      <c r="G9" s="27">
        <f>+B44-H9</f>
        <v>119.43555555555555</v>
      </c>
      <c r="H9" s="24">
        <f>+E9</f>
        <v>0</v>
      </c>
      <c r="I9" s="28"/>
      <c r="J9" s="23">
        <f t="shared" si="1"/>
        <v>119.43555555555555</v>
      </c>
      <c r="K9" s="23">
        <f t="shared" si="2"/>
        <v>678.85079365079366</v>
      </c>
      <c r="L9" s="29">
        <f>+'19'!M9</f>
        <v>790</v>
      </c>
      <c r="M9" s="30">
        <v>670</v>
      </c>
      <c r="N9" s="26">
        <f t="shared" si="3"/>
        <v>119.43555555555555</v>
      </c>
      <c r="O9" s="26">
        <f>+C44</f>
        <v>15.75</v>
      </c>
      <c r="P9" s="31">
        <f t="shared" si="4"/>
        <v>1881.11</v>
      </c>
      <c r="Q9" s="32">
        <f t="shared" si="5"/>
        <v>-8.850793650793662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+'19'!K10</f>
        <v>420.71193709792715</v>
      </c>
      <c r="C10" s="24">
        <f>L31</f>
        <v>0</v>
      </c>
      <c r="D10" s="34"/>
      <c r="E10" s="25"/>
      <c r="F10" s="26">
        <f t="shared" si="0"/>
        <v>420.71193709792715</v>
      </c>
      <c r="G10" s="27">
        <f>+B45-H10</f>
        <v>0</v>
      </c>
      <c r="H10" s="24">
        <f>+E10</f>
        <v>0</v>
      </c>
      <c r="I10" s="28"/>
      <c r="J10" s="23">
        <f t="shared" si="1"/>
        <v>0</v>
      </c>
      <c r="K10" s="23">
        <f t="shared" si="2"/>
        <v>420.71193709792715</v>
      </c>
      <c r="L10" s="29">
        <f>+'19'!M10</f>
        <v>398</v>
      </c>
      <c r="M10" s="30">
        <v>398</v>
      </c>
      <c r="N10" s="26">
        <f t="shared" si="3"/>
        <v>0</v>
      </c>
      <c r="O10" s="26">
        <f>+C45</f>
        <v>13.99</v>
      </c>
      <c r="P10" s="31">
        <f t="shared" si="4"/>
        <v>0</v>
      </c>
      <c r="Q10" s="32">
        <f t="shared" si="5"/>
        <v>-22.711937097927148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+'19'!K11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+'19'!M11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+'19'!K12</f>
        <v>773.77912794853466</v>
      </c>
      <c r="C12" s="40">
        <f>L33</f>
        <v>0</v>
      </c>
      <c r="D12" s="41"/>
      <c r="E12" s="42"/>
      <c r="F12" s="26">
        <f t="shared" si="0"/>
        <v>773.77912794853466</v>
      </c>
      <c r="G12" s="43">
        <f>+B47-H12</f>
        <v>151.8216560509554</v>
      </c>
      <c r="H12" s="40">
        <f>+E12</f>
        <v>0</v>
      </c>
      <c r="I12" s="28"/>
      <c r="J12" s="44">
        <f t="shared" si="1"/>
        <v>151.8216560509554</v>
      </c>
      <c r="K12" s="44">
        <f t="shared" si="2"/>
        <v>621.95747189757924</v>
      </c>
      <c r="L12" s="29">
        <f>+'19'!M12</f>
        <v>775</v>
      </c>
      <c r="M12" s="30">
        <v>622</v>
      </c>
      <c r="N12" s="42">
        <f t="shared" si="3"/>
        <v>151.8216560509554</v>
      </c>
      <c r="O12" s="42">
        <f>+C47</f>
        <v>14.13</v>
      </c>
      <c r="P12" s="45">
        <f t="shared" si="4"/>
        <v>2145.2399999999998</v>
      </c>
      <c r="Q12" s="32">
        <f t="shared" si="5"/>
        <v>4.2528102420760661E-2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6026.7756620777882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6026.7756620777882</v>
      </c>
      <c r="G13" s="23">
        <f t="shared" si="6"/>
        <v>469.3173720343184</v>
      </c>
      <c r="H13" s="23">
        <f t="shared" si="6"/>
        <v>0</v>
      </c>
      <c r="I13" s="23">
        <f t="shared" si="6"/>
        <v>0</v>
      </c>
      <c r="J13" s="23">
        <f t="shared" si="6"/>
        <v>469.3173720343184</v>
      </c>
      <c r="K13" s="23">
        <f t="shared" si="6"/>
        <v>5557.4582900434698</v>
      </c>
      <c r="L13" s="29">
        <f t="shared" si="6"/>
        <v>5996.9982478249767</v>
      </c>
      <c r="M13" s="23">
        <f t="shared" si="6"/>
        <v>5525.9380873971695</v>
      </c>
      <c r="N13" s="23">
        <f t="shared" si="6"/>
        <v>469.3173720343184</v>
      </c>
      <c r="O13" s="23"/>
      <c r="P13" s="23">
        <f>SUM(P7:P12)</f>
        <v>5507.84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469.3173720343184</v>
      </c>
      <c r="P16" s="65">
        <f>+P13</f>
        <v>5507.84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1422.85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362.76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0.20141000000057829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>
        <f>13.668*14.13+15*14.13+5.675*15.75+13.198*15.75</f>
        <v>702.32859000000008</v>
      </c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702.32859000000008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5680.4843699999992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3019.7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8.850793650793662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22.711937097927148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2.1836761904761914</v>
      </c>
      <c r="R33" s="1" t="s">
        <v>55</v>
      </c>
      <c r="S33" s="48">
        <f t="shared" si="8"/>
        <v>-4.2528102420760661E-2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45797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1901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762.1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1118.7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660.75</v>
      </c>
      <c r="C38" s="134">
        <v>362.76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45797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14.13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1901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1422.85</v>
      </c>
      <c r="C40" s="150">
        <f>SUM(C37:C39)</f>
        <v>362.76</v>
      </c>
      <c r="D40" s="141" t="s">
        <v>0</v>
      </c>
      <c r="E40" s="151"/>
      <c r="F40" s="152">
        <f>+C48</f>
        <v>7.48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3019.7</v>
      </c>
      <c r="M40" s="158" t="s">
        <v>0</v>
      </c>
      <c r="N40" s="159" t="s">
        <v>29</v>
      </c>
      <c r="O40" s="160">
        <f>+L37</f>
        <v>1118.7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1785.61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3019.7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119.43555555555555</v>
      </c>
      <c r="C44" s="181">
        <v>15.75</v>
      </c>
      <c r="D44" s="182">
        <v>1881.11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0</v>
      </c>
      <c r="C45" s="181">
        <v>13.99</v>
      </c>
      <c r="D45" s="182">
        <v>0</v>
      </c>
      <c r="E45" s="183"/>
      <c r="F45" s="183"/>
      <c r="G45" s="178"/>
      <c r="H45" s="192" t="s">
        <v>14</v>
      </c>
      <c r="I45" s="193">
        <f>+K45/J45</f>
        <v>1.9760131029745867</v>
      </c>
      <c r="J45" s="194">
        <v>3.7854000000000001</v>
      </c>
      <c r="K45" s="195">
        <f>+C48</f>
        <v>7.48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151.8216560509554</v>
      </c>
      <c r="C47" s="181">
        <v>14.13</v>
      </c>
      <c r="D47" s="182">
        <v>2145.2399999999998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198.06016042780749</v>
      </c>
      <c r="C48" s="181">
        <v>7.48</v>
      </c>
      <c r="D48" s="182">
        <v>1481.49</v>
      </c>
      <c r="E48" s="183"/>
      <c r="F48" s="183"/>
      <c r="G48" s="178"/>
      <c r="H48" s="209">
        <f>(L36+B40+P23+P24+P22+L38)-SUM(D44:D47)+(P20+P21)</f>
        <v>-0.17140999999946871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469.31737203431845</v>
      </c>
      <c r="C49" s="212"/>
      <c r="D49" s="213">
        <f>SUM(D44:D48)</f>
        <v>5507.8399999999992</v>
      </c>
      <c r="E49" s="213">
        <v>5507.8399999999992</v>
      </c>
      <c r="F49" s="183"/>
      <c r="G49" s="178"/>
      <c r="H49" s="214">
        <f>(C38+L37+L39)-D48</f>
        <v>-2.9999999999972715E-2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D55" s="224"/>
      <c r="F55" s="240"/>
      <c r="G55" s="178"/>
      <c r="J55" s="177"/>
      <c r="K55" s="177"/>
      <c r="N55" s="107"/>
      <c r="O55" s="107"/>
      <c r="P55" s="107"/>
      <c r="Q55" s="1"/>
    </row>
    <row r="56" spans="1:18" ht="15.6" x14ac:dyDescent="0.3">
      <c r="A56" s="234"/>
      <c r="B56" s="107"/>
      <c r="C56" s="107"/>
      <c r="D56" s="224"/>
      <c r="E56" s="107"/>
      <c r="F56" s="244"/>
      <c r="G56" s="178"/>
      <c r="K56" s="177"/>
      <c r="N56" s="107"/>
      <c r="O56" s="107"/>
      <c r="P56" s="107"/>
      <c r="Q56" s="1"/>
    </row>
    <row r="57" spans="1:18" ht="15.6" x14ac:dyDescent="0.3">
      <c r="A57" s="239"/>
      <c r="D57" s="224"/>
      <c r="E57" s="107"/>
      <c r="F57" s="244"/>
      <c r="G57" s="178"/>
      <c r="N57" s="107"/>
      <c r="O57" s="107"/>
      <c r="P57" s="107"/>
      <c r="Q57" s="1"/>
    </row>
    <row r="58" spans="1:18" ht="15.6" x14ac:dyDescent="0.3">
      <c r="A58" s="239"/>
      <c r="D58" s="224"/>
      <c r="F58" s="245"/>
      <c r="G58" s="178"/>
      <c r="N58" s="107"/>
      <c r="O58" s="107"/>
      <c r="P58" s="107"/>
      <c r="Q58" s="1"/>
    </row>
    <row r="59" spans="1:18" x14ac:dyDescent="0.3">
      <c r="A59" s="234"/>
      <c r="D59" s="107"/>
      <c r="F59" s="244"/>
      <c r="G59" s="232">
        <f>SUM(G43:G58)</f>
        <v>0</v>
      </c>
      <c r="H59" s="232"/>
      <c r="I59" s="232">
        <f>SUM(I51:I58)</f>
        <v>0</v>
      </c>
      <c r="N59" s="107"/>
      <c r="O59" s="107"/>
      <c r="P59" s="107"/>
      <c r="Q59" s="1"/>
    </row>
    <row r="60" spans="1:18" x14ac:dyDescent="0.3">
      <c r="A60" s="234"/>
      <c r="F60" s="244"/>
      <c r="G60" s="178"/>
      <c r="N60" s="107"/>
      <c r="O60" s="107"/>
      <c r="P60" s="107"/>
      <c r="Q60" s="1"/>
    </row>
    <row r="61" spans="1:18" x14ac:dyDescent="0.3">
      <c r="A61" s="234">
        <v>84</v>
      </c>
      <c r="F61" s="246"/>
      <c r="G61" s="222"/>
      <c r="N61" s="107"/>
      <c r="Q61" s="1"/>
    </row>
    <row r="62" spans="1:18" x14ac:dyDescent="0.3">
      <c r="A62" s="239" t="s">
        <v>1</v>
      </c>
      <c r="F62" s="244"/>
      <c r="G62" s="222"/>
      <c r="N62" s="107"/>
      <c r="Q62" s="1"/>
    </row>
    <row r="63" spans="1:18" x14ac:dyDescent="0.3">
      <c r="A63" s="84"/>
      <c r="F63" s="242"/>
      <c r="G63" s="222"/>
      <c r="N63" s="107"/>
      <c r="Q63" s="1"/>
    </row>
    <row r="64" spans="1:18" x14ac:dyDescent="0.3">
      <c r="A64" s="234">
        <v>95</v>
      </c>
      <c r="F64" s="244"/>
      <c r="G64" s="222"/>
      <c r="H64" s="2"/>
      <c r="I64" s="2"/>
      <c r="J64" s="2"/>
      <c r="K64" s="2"/>
      <c r="L64" s="2"/>
      <c r="M64" s="2"/>
      <c r="N64" s="107"/>
      <c r="P64" s="198"/>
      <c r="Q64" s="1"/>
    </row>
    <row r="65" spans="1:20" x14ac:dyDescent="0.3">
      <c r="A65" s="234">
        <v>90</v>
      </c>
      <c r="F65" s="244"/>
      <c r="G65" s="222"/>
      <c r="H65" s="2"/>
      <c r="I65" s="2"/>
      <c r="J65" s="2"/>
      <c r="K65" s="2"/>
      <c r="L65" s="2"/>
      <c r="M65" s="2"/>
      <c r="N65" s="107"/>
      <c r="Q65" s="1"/>
    </row>
    <row r="66" spans="1:20" x14ac:dyDescent="0.3">
      <c r="A66" s="234">
        <v>84</v>
      </c>
      <c r="F66" s="247"/>
      <c r="G66" s="222"/>
      <c r="H66" s="2"/>
      <c r="I66" s="2"/>
      <c r="J66" s="2"/>
      <c r="K66" s="2"/>
      <c r="L66" s="2"/>
      <c r="M66" s="2"/>
      <c r="N66" s="107"/>
      <c r="O66" s="107"/>
      <c r="P66" s="107"/>
      <c r="Q66" s="107"/>
      <c r="R66" s="107"/>
    </row>
    <row r="67" spans="1:20" x14ac:dyDescent="0.3">
      <c r="A67" s="239" t="s">
        <v>1</v>
      </c>
      <c r="F67" s="247"/>
      <c r="G67" s="222"/>
      <c r="H67" s="2"/>
      <c r="I67" s="2"/>
      <c r="J67" s="2"/>
      <c r="K67" s="2"/>
      <c r="L67" s="2"/>
      <c r="M67" s="2"/>
      <c r="N67" s="107"/>
      <c r="O67" s="107"/>
      <c r="P67" s="107"/>
      <c r="Q67" s="107"/>
      <c r="R67" s="107"/>
    </row>
    <row r="68" spans="1:20" x14ac:dyDescent="0.3">
      <c r="A68" s="84"/>
      <c r="F68" s="84"/>
      <c r="G68" s="222"/>
      <c r="H68" s="2"/>
      <c r="I68" s="2"/>
      <c r="J68" s="2"/>
      <c r="K68" s="2"/>
      <c r="L68" s="2"/>
      <c r="M68" s="2"/>
      <c r="N68" s="107"/>
      <c r="O68" s="107"/>
      <c r="P68" s="107"/>
      <c r="Q68" s="107"/>
      <c r="R68" s="107"/>
    </row>
    <row r="69" spans="1:20" x14ac:dyDescent="0.3">
      <c r="A69" s="239" t="s">
        <v>0</v>
      </c>
      <c r="F69" s="248"/>
      <c r="G69" s="241"/>
      <c r="H69" s="2"/>
      <c r="I69" s="2"/>
      <c r="J69" s="2"/>
      <c r="K69" s="2"/>
      <c r="L69" s="2"/>
      <c r="M69" s="2"/>
      <c r="N69" s="107"/>
      <c r="O69" s="107"/>
      <c r="P69" s="107"/>
      <c r="Q69" s="107"/>
      <c r="R69" s="107"/>
    </row>
    <row r="70" spans="1:20" x14ac:dyDescent="0.3">
      <c r="A70" s="239" t="s">
        <v>0</v>
      </c>
      <c r="F70" s="250"/>
      <c r="G70" s="241"/>
      <c r="H70" s="2"/>
      <c r="I70" s="2"/>
      <c r="J70" s="2"/>
      <c r="K70" s="2"/>
      <c r="L70" s="2"/>
      <c r="M70" s="2"/>
      <c r="N70" s="107"/>
      <c r="O70" s="107"/>
      <c r="P70" s="107"/>
      <c r="Q70" s="107"/>
      <c r="R70" s="197"/>
    </row>
    <row r="71" spans="1:20" x14ac:dyDescent="0.3">
      <c r="A71" s="84"/>
      <c r="F71" s="84"/>
      <c r="G71" s="241"/>
      <c r="H71" s="2"/>
      <c r="I71" s="2"/>
      <c r="J71" s="2"/>
      <c r="K71" s="2"/>
      <c r="L71" s="2"/>
      <c r="M71" s="2"/>
      <c r="N71" s="107"/>
      <c r="O71" s="107"/>
      <c r="P71" s="107"/>
      <c r="Q71" s="107"/>
      <c r="R71" s="197"/>
    </row>
    <row r="72" spans="1:20" x14ac:dyDescent="0.3">
      <c r="A72" s="239" t="s">
        <v>0</v>
      </c>
      <c r="F72" s="250"/>
      <c r="G72" s="241"/>
      <c r="N72" s="107"/>
      <c r="O72" s="107"/>
      <c r="P72" s="107"/>
      <c r="Q72" s="107"/>
      <c r="R72" s="197"/>
      <c r="S72" s="251"/>
      <c r="T72" s="1">
        <v>3</v>
      </c>
    </row>
    <row r="73" spans="1:20" x14ac:dyDescent="0.3">
      <c r="A73" s="239" t="s">
        <v>0</v>
      </c>
      <c r="F73" s="250"/>
      <c r="G73" s="241"/>
      <c r="N73" s="107"/>
      <c r="O73" s="107"/>
      <c r="P73" s="107"/>
      <c r="Q73" s="107"/>
      <c r="R73" s="197"/>
    </row>
    <row r="74" spans="1:20" x14ac:dyDescent="0.3">
      <c r="A74" s="84"/>
      <c r="F74" s="250"/>
      <c r="G74" s="241"/>
      <c r="N74" s="107"/>
      <c r="O74" s="107"/>
      <c r="P74" s="107"/>
      <c r="Q74" s="107"/>
      <c r="R74" s="197"/>
    </row>
    <row r="75" spans="1:20" x14ac:dyDescent="0.3">
      <c r="A75" s="84"/>
      <c r="F75" s="235"/>
      <c r="G75" s="241"/>
      <c r="N75" s="107"/>
      <c r="O75" s="107"/>
      <c r="P75" s="107"/>
      <c r="Q75" s="107"/>
      <c r="R75" s="197"/>
    </row>
    <row r="76" spans="1:20" x14ac:dyDescent="0.3">
      <c r="A76" s="84"/>
      <c r="F76" s="237"/>
      <c r="G76" s="241"/>
      <c r="N76" s="107"/>
      <c r="O76" s="107"/>
      <c r="P76" s="107"/>
      <c r="Q76" s="107"/>
      <c r="R76" s="197"/>
    </row>
    <row r="77" spans="1:20" x14ac:dyDescent="0.3">
      <c r="A77" s="84"/>
      <c r="F77" s="237"/>
      <c r="G77" s="84"/>
      <c r="N77" s="107"/>
      <c r="O77" s="107"/>
      <c r="P77" s="107"/>
      <c r="Q77" s="107"/>
      <c r="R77" s="197"/>
    </row>
    <row r="78" spans="1:20" x14ac:dyDescent="0.3">
      <c r="A78" s="84"/>
      <c r="F78" s="223"/>
      <c r="G78" s="84"/>
      <c r="N78" s="107"/>
      <c r="O78" s="107"/>
      <c r="P78" s="107"/>
      <c r="Q78" s="107"/>
    </row>
    <row r="79" spans="1:20" x14ac:dyDescent="0.3">
      <c r="G79" s="84"/>
      <c r="N79" s="107"/>
      <c r="O79" s="107"/>
      <c r="P79" s="107"/>
      <c r="Q79" s="107"/>
    </row>
    <row r="80" spans="1:20" x14ac:dyDescent="0.3">
      <c r="G80" s="249"/>
      <c r="N80" s="107"/>
      <c r="O80" s="202"/>
      <c r="P80" s="202"/>
      <c r="Q80" s="107"/>
    </row>
    <row r="81" spans="7:19" x14ac:dyDescent="0.3">
      <c r="G81" s="84"/>
      <c r="N81" s="107"/>
      <c r="O81" s="202"/>
      <c r="P81" s="202"/>
      <c r="Q81" s="107"/>
    </row>
    <row r="82" spans="7:19" x14ac:dyDescent="0.3">
      <c r="G82" s="84"/>
      <c r="N82" s="107"/>
      <c r="O82" s="202"/>
      <c r="P82" s="202"/>
      <c r="Q82" s="107"/>
    </row>
    <row r="83" spans="7:19" x14ac:dyDescent="0.3">
      <c r="G83" s="84"/>
      <c r="N83" s="107"/>
      <c r="O83" s="202"/>
      <c r="P83" s="202"/>
      <c r="Q83" s="107"/>
    </row>
    <row r="84" spans="7:19" x14ac:dyDescent="0.3">
      <c r="G84" s="249"/>
      <c r="N84" s="107"/>
      <c r="O84" s="202"/>
      <c r="P84" s="202"/>
      <c r="Q84" s="107"/>
    </row>
    <row r="85" spans="7:19" x14ac:dyDescent="0.3">
      <c r="G85" s="223"/>
      <c r="N85" s="107"/>
      <c r="O85" s="202"/>
      <c r="P85" s="202"/>
      <c r="Q85" s="107"/>
      <c r="S85" s="251"/>
    </row>
    <row r="86" spans="7:19" x14ac:dyDescent="0.3">
      <c r="G86" s="223"/>
      <c r="Q86" s="1"/>
    </row>
    <row r="87" spans="7:19" x14ac:dyDescent="0.3">
      <c r="G87" s="223"/>
      <c r="Q87" s="1"/>
    </row>
    <row r="88" spans="7:19" x14ac:dyDescent="0.3">
      <c r="G88" s="223"/>
      <c r="Q88" s="1"/>
    </row>
    <row r="89" spans="7:19" s="2" customFormat="1" x14ac:dyDescent="0.3">
      <c r="G89" s="223"/>
      <c r="H89" s="1"/>
      <c r="I89" s="1"/>
      <c r="J89" s="1"/>
      <c r="K89" s="1"/>
      <c r="L89" s="1"/>
      <c r="M89" s="1"/>
    </row>
    <row r="90" spans="7:19" s="2" customFormat="1" x14ac:dyDescent="0.3">
      <c r="G90" s="1"/>
      <c r="H90" s="1"/>
      <c r="I90" s="1"/>
      <c r="J90" s="1"/>
      <c r="K90" s="1"/>
      <c r="L90" s="1"/>
      <c r="M90" s="1"/>
    </row>
    <row r="91" spans="7:19" s="2" customFormat="1" x14ac:dyDescent="0.3">
      <c r="G91" s="1"/>
      <c r="H91" s="1"/>
      <c r="I91" s="1"/>
      <c r="J91" s="1"/>
      <c r="K91" s="1"/>
      <c r="L91" s="1"/>
      <c r="M91" s="1"/>
    </row>
    <row r="92" spans="7:19" s="2" customFormat="1" x14ac:dyDescent="0.3">
      <c r="G92" s="1"/>
      <c r="H92" s="1"/>
      <c r="I92" s="1"/>
      <c r="J92" s="1"/>
      <c r="K92" s="1"/>
      <c r="L92" s="1"/>
      <c r="M92" s="1"/>
      <c r="N92" s="107"/>
      <c r="O92" s="202"/>
      <c r="P92" s="202"/>
      <c r="Q92" s="107"/>
      <c r="S92" s="252"/>
    </row>
    <row r="93" spans="7:19" s="2" customFormat="1" x14ac:dyDescent="0.3">
      <c r="G93" s="1"/>
      <c r="H93" s="1"/>
      <c r="I93" s="1"/>
      <c r="J93" s="1"/>
      <c r="K93" s="1"/>
      <c r="L93" s="1"/>
      <c r="M93" s="1"/>
      <c r="N93" s="107"/>
      <c r="O93" s="202"/>
      <c r="P93" s="202"/>
      <c r="Q93" s="107"/>
    </row>
    <row r="94" spans="7:19" s="2" customFormat="1" x14ac:dyDescent="0.3">
      <c r="G94" s="1"/>
      <c r="H94" s="1"/>
      <c r="I94" s="1"/>
      <c r="J94" s="1"/>
      <c r="K94" s="1"/>
      <c r="L94" s="1"/>
      <c r="M94" s="1"/>
      <c r="N94" s="107"/>
      <c r="O94" s="202"/>
      <c r="P94" s="202"/>
      <c r="Q94" s="107"/>
    </row>
    <row r="95" spans="7:19" s="2" customFormat="1" x14ac:dyDescent="0.3">
      <c r="G95" s="1"/>
      <c r="H95" s="1"/>
      <c r="I95" s="1"/>
      <c r="J95" s="1"/>
      <c r="K95" s="1"/>
      <c r="L95" s="1"/>
      <c r="M95" s="1"/>
      <c r="N95" s="107"/>
      <c r="O95" s="253"/>
      <c r="P95" s="253"/>
      <c r="Q95" s="107"/>
    </row>
    <row r="96" spans="7:19" s="2" customFormat="1" x14ac:dyDescent="0.3">
      <c r="G96" s="1"/>
      <c r="H96" s="1"/>
      <c r="I96" s="1"/>
      <c r="J96" s="1"/>
      <c r="K96" s="1"/>
      <c r="L96" s="1"/>
      <c r="M96" s="1"/>
      <c r="N96" s="107"/>
      <c r="O96" s="202"/>
      <c r="P96" s="202"/>
      <c r="Q96" s="107"/>
    </row>
    <row r="97" spans="7:17" x14ac:dyDescent="0.3">
      <c r="N97" s="107"/>
      <c r="O97" s="202"/>
      <c r="P97" s="202"/>
      <c r="Q97" s="107"/>
    </row>
    <row r="98" spans="7:17" x14ac:dyDescent="0.3">
      <c r="H98" s="2"/>
      <c r="I98" s="2"/>
      <c r="J98" s="2"/>
      <c r="K98" s="2"/>
      <c r="L98" s="2"/>
      <c r="M98" s="2"/>
      <c r="N98" s="107"/>
      <c r="O98" s="202"/>
      <c r="P98" s="202"/>
      <c r="Q98" s="107"/>
    </row>
    <row r="99" spans="7:17" x14ac:dyDescent="0.3">
      <c r="H99" s="2"/>
      <c r="I99" s="2"/>
      <c r="J99" s="2"/>
      <c r="K99" s="2"/>
      <c r="L99" s="2"/>
      <c r="M99" s="2"/>
      <c r="N99" s="107"/>
      <c r="O99" s="202"/>
      <c r="P99" s="202"/>
      <c r="Q99" s="107"/>
    </row>
    <row r="100" spans="7:17" x14ac:dyDescent="0.3">
      <c r="G100" s="2"/>
      <c r="H100" s="2"/>
      <c r="I100" s="2"/>
      <c r="J100" s="2"/>
      <c r="K100" s="2"/>
      <c r="L100" s="2"/>
      <c r="M100" s="2"/>
      <c r="N100" s="107"/>
      <c r="O100" s="202"/>
      <c r="Q100" s="107"/>
    </row>
    <row r="101" spans="7:17" x14ac:dyDescent="0.3">
      <c r="G101" s="2"/>
      <c r="H101" s="2"/>
      <c r="I101" s="2"/>
      <c r="J101" s="2"/>
      <c r="K101" s="2"/>
      <c r="L101" s="2"/>
      <c r="M101" s="2"/>
      <c r="N101" s="107"/>
      <c r="O101" s="202"/>
      <c r="Q101" s="107"/>
    </row>
    <row r="102" spans="7:17" x14ac:dyDescent="0.3">
      <c r="G102" s="2"/>
      <c r="H102" s="2"/>
      <c r="I102" s="2"/>
      <c r="J102" s="2"/>
      <c r="K102" s="2"/>
      <c r="L102" s="2"/>
      <c r="M102" s="2"/>
      <c r="N102" s="107"/>
      <c r="O102" s="202"/>
      <c r="Q102" s="107"/>
    </row>
    <row r="103" spans="7:17" x14ac:dyDescent="0.3">
      <c r="G103" s="2"/>
      <c r="H103" s="2"/>
      <c r="I103" s="2"/>
      <c r="J103" s="2"/>
      <c r="K103" s="2"/>
      <c r="L103" s="2"/>
      <c r="M103" s="2"/>
      <c r="N103" s="107"/>
      <c r="O103" s="202"/>
      <c r="P103" s="202"/>
      <c r="Q103" s="107"/>
    </row>
    <row r="104" spans="7:17" x14ac:dyDescent="0.3">
      <c r="G104" s="2"/>
      <c r="H104" s="2"/>
      <c r="I104" s="2"/>
      <c r="J104" s="2"/>
      <c r="K104" s="2"/>
      <c r="L104" s="2"/>
      <c r="M104" s="2"/>
      <c r="N104" s="107"/>
      <c r="O104" s="202"/>
      <c r="Q104" s="107"/>
    </row>
    <row r="105" spans="7:17" x14ac:dyDescent="0.3">
      <c r="G105" s="2"/>
      <c r="H105" s="2"/>
      <c r="I105" s="2"/>
      <c r="J105" s="2"/>
      <c r="K105" s="2"/>
      <c r="L105" s="2"/>
      <c r="M105" s="2"/>
      <c r="N105" s="107"/>
      <c r="O105" s="202"/>
      <c r="Q105" s="107"/>
    </row>
    <row r="106" spans="7:17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7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7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7" x14ac:dyDescent="0.3">
      <c r="H109" s="2"/>
      <c r="I109" s="2"/>
      <c r="J109" s="2"/>
      <c r="K109" s="2"/>
      <c r="L109" s="2"/>
      <c r="M109" s="2"/>
      <c r="N109" s="107"/>
      <c r="O109" s="253"/>
      <c r="P109" s="254"/>
      <c r="Q109" s="107"/>
    </row>
    <row r="110" spans="7:17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7" x14ac:dyDescent="0.3">
      <c r="H111" s="2"/>
      <c r="I111" s="2"/>
      <c r="J111" s="2"/>
      <c r="K111" s="2"/>
      <c r="L111" s="2"/>
      <c r="M111" s="2"/>
      <c r="N111" s="107"/>
      <c r="O111" s="202"/>
    </row>
    <row r="112" spans="7:17" x14ac:dyDescent="0.3">
      <c r="H112" s="2"/>
      <c r="I112" s="2"/>
      <c r="J112" s="2"/>
      <c r="K112" s="2"/>
      <c r="L112" s="2"/>
      <c r="M112" s="2"/>
      <c r="N112" s="107"/>
      <c r="O112" s="202"/>
    </row>
    <row r="113" spans="7:16" x14ac:dyDescent="0.3">
      <c r="N113" s="107"/>
      <c r="O113" s="202"/>
    </row>
    <row r="114" spans="7:16" x14ac:dyDescent="0.3">
      <c r="N114" s="107"/>
      <c r="O114" s="202"/>
    </row>
    <row r="115" spans="7:16" x14ac:dyDescent="0.3">
      <c r="N115" s="107"/>
      <c r="O115" s="202"/>
    </row>
    <row r="116" spans="7:16" x14ac:dyDescent="0.3">
      <c r="N116" s="107"/>
    </row>
    <row r="117" spans="7:16" x14ac:dyDescent="0.3">
      <c r="N117" s="107"/>
    </row>
    <row r="118" spans="7:16" x14ac:dyDescent="0.3">
      <c r="N118" s="107"/>
    </row>
    <row r="119" spans="7:16" x14ac:dyDescent="0.3">
      <c r="N119" s="107"/>
    </row>
    <row r="120" spans="7:16" x14ac:dyDescent="0.3">
      <c r="N120" s="107"/>
    </row>
    <row r="121" spans="7:16" x14ac:dyDescent="0.3">
      <c r="N121" s="107"/>
    </row>
    <row r="122" spans="7:16" x14ac:dyDescent="0.3">
      <c r="N122" s="107"/>
      <c r="O122" s="254"/>
      <c r="P122" s="254"/>
    </row>
    <row r="123" spans="7:16" s="2" customFormat="1" x14ac:dyDescent="0.3">
      <c r="G123" s="1"/>
      <c r="H123" s="1"/>
      <c r="I123" s="1"/>
      <c r="J123" s="1"/>
      <c r="K123" s="1"/>
      <c r="L123" s="1"/>
      <c r="M123" s="1"/>
      <c r="N123" s="107"/>
      <c r="O123" s="1"/>
      <c r="P123" s="1"/>
    </row>
    <row r="124" spans="7:16" s="2" customFormat="1" x14ac:dyDescent="0.3">
      <c r="G124" s="1"/>
      <c r="H124" s="1"/>
      <c r="I124" s="1"/>
      <c r="J124" s="1"/>
      <c r="K124" s="1"/>
      <c r="L124" s="1"/>
      <c r="M124" s="1"/>
      <c r="N124" s="107"/>
      <c r="O124" s="1"/>
      <c r="P124" s="1"/>
    </row>
    <row r="125" spans="7:16" s="2" customFormat="1" x14ac:dyDescent="0.3">
      <c r="G125" s="1"/>
      <c r="H125" s="1"/>
      <c r="I125" s="1"/>
      <c r="J125" s="1"/>
      <c r="K125" s="1"/>
      <c r="L125" s="1"/>
      <c r="M125" s="1"/>
      <c r="N125" s="107"/>
      <c r="O125" s="1"/>
      <c r="P125" s="1"/>
    </row>
    <row r="126" spans="7:16" s="2" customFormat="1" x14ac:dyDescent="0.3">
      <c r="G126" s="1"/>
      <c r="H126" s="1"/>
      <c r="I126" s="1"/>
      <c r="J126" s="1"/>
      <c r="K126" s="1"/>
      <c r="L126" s="1"/>
      <c r="M126" s="1"/>
      <c r="N126" s="107"/>
      <c r="O126" s="1"/>
      <c r="P126" s="1"/>
    </row>
    <row r="127" spans="7:16" s="2" customFormat="1" x14ac:dyDescent="0.3">
      <c r="G127" s="1"/>
      <c r="H127" s="1"/>
      <c r="I127" s="1"/>
      <c r="J127" s="1"/>
      <c r="K127" s="1"/>
      <c r="L127" s="1"/>
      <c r="M127" s="1"/>
      <c r="N127" s="107"/>
      <c r="O127" s="1"/>
      <c r="P127" s="1"/>
    </row>
    <row r="128" spans="7:16" s="2" customFormat="1" x14ac:dyDescent="0.3">
      <c r="G128" s="1"/>
      <c r="H128" s="1"/>
      <c r="I128" s="1"/>
      <c r="J128" s="1"/>
      <c r="K128" s="1"/>
      <c r="L128" s="1"/>
      <c r="M128" s="1"/>
      <c r="N128" s="107"/>
      <c r="O128" s="1"/>
      <c r="P128" s="1"/>
    </row>
    <row r="129" spans="1:24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1:24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1:24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1:24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1:24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1:24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1:24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1:24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1:24" s="2" customFormat="1" x14ac:dyDescent="0.3">
      <c r="H137" s="1"/>
      <c r="I137" s="1"/>
      <c r="J137" s="1"/>
      <c r="K137" s="1"/>
      <c r="L137" s="1"/>
      <c r="M137" s="1"/>
      <c r="N137" s="1"/>
      <c r="O137" s="254"/>
      <c r="P137" s="254"/>
    </row>
    <row r="138" spans="1:24" s="2" customFormat="1" x14ac:dyDescent="0.3">
      <c r="A138" s="1"/>
      <c r="B138" s="1"/>
      <c r="C138" s="1"/>
      <c r="D138" s="1"/>
      <c r="E138" s="1"/>
      <c r="F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S138" s="1"/>
      <c r="T138" s="1"/>
      <c r="U138" s="1"/>
      <c r="V138" s="1"/>
      <c r="W138" s="1"/>
      <c r="X138" s="1"/>
    </row>
    <row r="139" spans="1:24" x14ac:dyDescent="0.3">
      <c r="G139" s="2"/>
    </row>
    <row r="140" spans="1:24" x14ac:dyDescent="0.3">
      <c r="G140" s="2"/>
    </row>
    <row r="141" spans="1:24" x14ac:dyDescent="0.3">
      <c r="G141" s="2"/>
    </row>
    <row r="142" spans="1:24" x14ac:dyDescent="0.3">
      <c r="G142" s="2"/>
    </row>
    <row r="143" spans="1:24" x14ac:dyDescent="0.3">
      <c r="G143" s="2"/>
    </row>
    <row r="144" spans="1:24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</sheetData>
  <autoFilter ref="A6:P6" xr:uid="{00000000-0009-0000-0000-000013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X148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45798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141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+'20'!K7</f>
        <v>3835.9380873971695</v>
      </c>
      <c r="C7" s="24">
        <f>L28+L29</f>
        <v>0</v>
      </c>
      <c r="D7" s="25"/>
      <c r="E7" s="25"/>
      <c r="F7" s="26">
        <f t="shared" ref="F7:F12" si="0">+B7+C7+D7+E7</f>
        <v>3835.9380873971695</v>
      </c>
      <c r="G7" s="27">
        <f>B48-H7</f>
        <v>212.32618025751071</v>
      </c>
      <c r="H7" s="24"/>
      <c r="I7" s="28"/>
      <c r="J7" s="23">
        <f t="shared" ref="J7:J12" si="1">+G7+H7+I7</f>
        <v>212.32618025751071</v>
      </c>
      <c r="K7" s="23">
        <f t="shared" ref="K7:K12" si="2">+F7-J7</f>
        <v>3623.6119071396588</v>
      </c>
      <c r="L7" s="29">
        <f>+'20'!M7</f>
        <v>3835.9380873971695</v>
      </c>
      <c r="M7" s="30">
        <v>3623.6119071396588</v>
      </c>
      <c r="N7" s="26">
        <f t="shared" ref="N7:N12" si="3">+G7</f>
        <v>212.32618025751071</v>
      </c>
      <c r="O7" s="26">
        <f>+C48</f>
        <v>6.99</v>
      </c>
      <c r="P7" s="31">
        <f t="shared" ref="P7:P12" si="4">+N7*O7</f>
        <v>1484.1599999999999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+'20'!K8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+'20'!M8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+'20'!K9</f>
        <v>678.85079365079366</v>
      </c>
      <c r="C9" s="24">
        <f>L30</f>
        <v>0</v>
      </c>
      <c r="D9" s="34"/>
      <c r="E9" s="25"/>
      <c r="F9" s="26">
        <f t="shared" si="0"/>
        <v>678.85079365079366</v>
      </c>
      <c r="G9" s="27">
        <f>+B44-H9</f>
        <v>65.286984126984123</v>
      </c>
      <c r="H9" s="24">
        <f>+E9</f>
        <v>0</v>
      </c>
      <c r="I9" s="28"/>
      <c r="J9" s="23">
        <f t="shared" si="1"/>
        <v>65.286984126984123</v>
      </c>
      <c r="K9" s="23">
        <f t="shared" si="2"/>
        <v>613.5638095238096</v>
      </c>
      <c r="L9" s="29">
        <f>+'20'!M9</f>
        <v>670</v>
      </c>
      <c r="M9" s="30">
        <v>605</v>
      </c>
      <c r="N9" s="26">
        <f t="shared" si="3"/>
        <v>65.286984126984123</v>
      </c>
      <c r="O9" s="26">
        <f>+C44</f>
        <v>15.75</v>
      </c>
      <c r="P9" s="31">
        <f t="shared" si="4"/>
        <v>1028.27</v>
      </c>
      <c r="Q9" s="32">
        <f t="shared" si="5"/>
        <v>-8.5638095238095957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+'20'!K10</f>
        <v>420.71193709792715</v>
      </c>
      <c r="C10" s="24">
        <f>L31</f>
        <v>1050</v>
      </c>
      <c r="D10" s="34"/>
      <c r="E10" s="25"/>
      <c r="F10" s="26">
        <f t="shared" si="0"/>
        <v>1470.7119370979271</v>
      </c>
      <c r="G10" s="27">
        <f>+B45-H10</f>
        <v>75.601858470335955</v>
      </c>
      <c r="H10" s="24">
        <f>+E10</f>
        <v>0</v>
      </c>
      <c r="I10" s="28"/>
      <c r="J10" s="23">
        <f t="shared" si="1"/>
        <v>75.601858470335955</v>
      </c>
      <c r="K10" s="23">
        <f t="shared" si="2"/>
        <v>1395.1100786275913</v>
      </c>
      <c r="L10" s="29">
        <f>+'20'!M10</f>
        <v>398</v>
      </c>
      <c r="M10" s="30">
        <v>1383</v>
      </c>
      <c r="N10" s="26">
        <f t="shared" si="3"/>
        <v>75.601858470335955</v>
      </c>
      <c r="O10" s="26">
        <f>+C45</f>
        <v>13.99</v>
      </c>
      <c r="P10" s="31">
        <f t="shared" si="4"/>
        <v>1057.67</v>
      </c>
      <c r="Q10" s="32">
        <f t="shared" si="5"/>
        <v>-12.110078627591292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+'20'!K11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+'20'!M11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+'20'!K12</f>
        <v>621.95747189757924</v>
      </c>
      <c r="C12" s="40">
        <f>L33</f>
        <v>0</v>
      </c>
      <c r="D12" s="41"/>
      <c r="E12" s="42"/>
      <c r="F12" s="26">
        <f t="shared" si="0"/>
        <v>621.95747189757924</v>
      </c>
      <c r="G12" s="43">
        <f>+B47-H12</f>
        <v>58.050955414012734</v>
      </c>
      <c r="H12" s="40">
        <f>+E12</f>
        <v>0</v>
      </c>
      <c r="I12" s="28"/>
      <c r="J12" s="44">
        <f t="shared" si="1"/>
        <v>58.050955414012734</v>
      </c>
      <c r="K12" s="44">
        <f t="shared" si="2"/>
        <v>563.90651648356652</v>
      </c>
      <c r="L12" s="29">
        <f>+'20'!M12</f>
        <v>622</v>
      </c>
      <c r="M12" s="30">
        <v>565</v>
      </c>
      <c r="N12" s="42">
        <f t="shared" si="3"/>
        <v>58.050955414012734</v>
      </c>
      <c r="O12" s="42">
        <f>+C47</f>
        <v>14.13</v>
      </c>
      <c r="P12" s="45">
        <f t="shared" si="4"/>
        <v>820.26</v>
      </c>
      <c r="Q12" s="32">
        <f t="shared" si="5"/>
        <v>1.09348351643348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5557.4582900434698</v>
      </c>
      <c r="C13" s="23">
        <f t="shared" si="6"/>
        <v>1050</v>
      </c>
      <c r="D13" s="23">
        <f t="shared" si="6"/>
        <v>0</v>
      </c>
      <c r="E13" s="23">
        <f t="shared" si="6"/>
        <v>0</v>
      </c>
      <c r="F13" s="23">
        <f t="shared" si="6"/>
        <v>6607.4582900434698</v>
      </c>
      <c r="G13" s="23">
        <f t="shared" si="6"/>
        <v>411.26597826884353</v>
      </c>
      <c r="H13" s="23">
        <f t="shared" si="6"/>
        <v>0</v>
      </c>
      <c r="I13" s="23">
        <f t="shared" si="6"/>
        <v>0</v>
      </c>
      <c r="J13" s="23">
        <f t="shared" si="6"/>
        <v>411.26597826884353</v>
      </c>
      <c r="K13" s="23">
        <f t="shared" si="6"/>
        <v>6196.1923117746264</v>
      </c>
      <c r="L13" s="29">
        <f t="shared" si="6"/>
        <v>5525.9380873971695</v>
      </c>
      <c r="M13" s="23">
        <f t="shared" si="6"/>
        <v>6176.6119071396588</v>
      </c>
      <c r="N13" s="23">
        <f t="shared" si="6"/>
        <v>411.26597826884353</v>
      </c>
      <c r="O13" s="23"/>
      <c r="P13" s="23">
        <f>SUM(P7:P12)</f>
        <v>4390.3599999999997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411.26597826884353</v>
      </c>
      <c r="P16" s="65">
        <f>+P13</f>
        <v>4390.3599999999997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1145.06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598.03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0.16999999999961801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 t="s">
        <v>170</v>
      </c>
      <c r="N20" s="316"/>
      <c r="O20" s="317"/>
      <c r="P20" s="69">
        <v>150</v>
      </c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50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2447.1000000000004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8.5638095238095957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>
        <v>1050</v>
      </c>
      <c r="M31" s="92" t="s">
        <v>168</v>
      </c>
      <c r="N31" s="92" t="s">
        <v>169</v>
      </c>
      <c r="O31" s="93" t="s">
        <v>56</v>
      </c>
      <c r="P31" s="98">
        <f>11737.54/1050</f>
        <v>11.178609523809525</v>
      </c>
      <c r="Q31" s="95">
        <f>+O10-P31</f>
        <v>2.8113904761904749</v>
      </c>
      <c r="S31" s="48">
        <f t="shared" si="8"/>
        <v>12.110078627591292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>
        <v>50</v>
      </c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2.1836761904761914</v>
      </c>
      <c r="R33" s="1" t="s">
        <v>55</v>
      </c>
      <c r="S33" s="48">
        <f t="shared" si="8"/>
        <v>-1.09348351643348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45798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-185</v>
      </c>
      <c r="K36" s="116" t="s">
        <v>32</v>
      </c>
      <c r="L36" s="123">
        <v>1561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967.03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886.1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178.03</v>
      </c>
      <c r="C38" s="134">
        <v>598.03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45798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14.13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1561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1145.06</v>
      </c>
      <c r="C40" s="150">
        <f>SUM(C37:C39)</f>
        <v>598.03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2447.1</v>
      </c>
      <c r="M40" s="158" t="s">
        <v>0</v>
      </c>
      <c r="N40" s="159" t="s">
        <v>29</v>
      </c>
      <c r="O40" s="160">
        <f>+L37</f>
        <v>886.1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1743.09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2447.1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65.286984126984123</v>
      </c>
      <c r="C44" s="181">
        <v>15.75</v>
      </c>
      <c r="D44" s="182">
        <v>1028.27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75.601858470335955</v>
      </c>
      <c r="C45" s="181">
        <v>13.99</v>
      </c>
      <c r="D45" s="182">
        <v>1057.67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58.050955414012734</v>
      </c>
      <c r="C47" s="181">
        <v>14.13</v>
      </c>
      <c r="D47" s="182">
        <v>820.26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212.32618025751071</v>
      </c>
      <c r="C48" s="181">
        <v>6.99</v>
      </c>
      <c r="D48" s="182">
        <v>1484.1599999999999</v>
      </c>
      <c r="E48" s="183"/>
      <c r="F48" s="183"/>
      <c r="G48" s="178"/>
      <c r="H48" s="209">
        <f>(L36+B40+P23+P24+P22+L38)-SUM(D44:D47)+(P20+P21)</f>
        <v>-0.13999999999987267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411.26597826884353</v>
      </c>
      <c r="C49" s="212"/>
      <c r="D49" s="213">
        <f>SUM(D44:D48)</f>
        <v>4390.3599999999997</v>
      </c>
      <c r="E49" s="213">
        <v>4390.3599999999997</v>
      </c>
      <c r="F49" s="183"/>
      <c r="G49" s="178"/>
      <c r="H49" s="214">
        <f>(C38+L37+L39)-D48</f>
        <v>-2.9999999999745341E-2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178"/>
      <c r="J54" s="228"/>
      <c r="K54" s="229"/>
      <c r="L54" s="230"/>
      <c r="M54" s="231"/>
      <c r="O54" s="233"/>
      <c r="Q54" s="1"/>
    </row>
    <row r="55" spans="1:18" ht="15.6" x14ac:dyDescent="0.3">
      <c r="A55" s="234"/>
      <c r="D55" s="224"/>
      <c r="F55" s="240"/>
      <c r="G55" s="178"/>
      <c r="I55" s="178"/>
      <c r="J55" s="177"/>
      <c r="K55" s="177"/>
      <c r="N55" s="107"/>
      <c r="O55" s="107"/>
      <c r="P55" s="107"/>
      <c r="Q55" s="1"/>
    </row>
    <row r="56" spans="1:18" ht="15.6" x14ac:dyDescent="0.3">
      <c r="A56" s="234"/>
      <c r="B56" s="107"/>
      <c r="C56" s="107"/>
      <c r="D56" s="224"/>
      <c r="E56" s="107"/>
      <c r="F56" s="244"/>
      <c r="G56" s="178"/>
      <c r="I56" s="178"/>
      <c r="K56" s="177"/>
      <c r="N56" s="107"/>
      <c r="O56" s="107"/>
      <c r="P56" s="107"/>
      <c r="Q56" s="1"/>
    </row>
    <row r="57" spans="1:18" ht="15.6" x14ac:dyDescent="0.3">
      <c r="A57" s="239"/>
      <c r="D57" s="224"/>
      <c r="E57" s="107"/>
      <c r="F57" s="244"/>
      <c r="G57" s="178"/>
      <c r="I57" s="178"/>
      <c r="N57" s="107"/>
      <c r="O57" s="107"/>
      <c r="P57" s="107"/>
      <c r="Q57" s="1"/>
    </row>
    <row r="58" spans="1:18" ht="15.6" x14ac:dyDescent="0.3">
      <c r="A58" s="239"/>
      <c r="D58" s="224"/>
      <c r="F58" s="245"/>
      <c r="G58" s="178"/>
      <c r="N58" s="107"/>
      <c r="O58" s="107"/>
      <c r="P58" s="107"/>
      <c r="Q58" s="1"/>
    </row>
    <row r="59" spans="1:18" x14ac:dyDescent="0.3">
      <c r="A59" s="234"/>
      <c r="D59" s="107"/>
      <c r="F59" s="244"/>
      <c r="G59" s="232">
        <f>SUM(G43:G58)</f>
        <v>0</v>
      </c>
      <c r="H59" s="232"/>
      <c r="I59" s="232">
        <f>SUM(I51:I58)</f>
        <v>0</v>
      </c>
      <c r="N59" s="107"/>
      <c r="O59" s="107"/>
      <c r="P59" s="107"/>
      <c r="Q59" s="1"/>
    </row>
    <row r="60" spans="1:18" x14ac:dyDescent="0.3">
      <c r="A60" s="234"/>
      <c r="F60" s="244"/>
      <c r="G60" s="178"/>
      <c r="N60" s="107"/>
      <c r="O60" s="107"/>
      <c r="P60" s="107"/>
      <c r="Q60" s="1"/>
    </row>
    <row r="61" spans="1:18" x14ac:dyDescent="0.3">
      <c r="A61" s="234">
        <v>84</v>
      </c>
      <c r="F61" s="246"/>
      <c r="G61" s="222"/>
      <c r="N61" s="107"/>
      <c r="Q61" s="1"/>
    </row>
    <row r="62" spans="1:18" x14ac:dyDescent="0.3">
      <c r="A62" s="239" t="s">
        <v>1</v>
      </c>
      <c r="F62" s="244"/>
      <c r="G62" s="222"/>
      <c r="N62" s="107"/>
      <c r="Q62" s="1"/>
    </row>
    <row r="63" spans="1:18" x14ac:dyDescent="0.3">
      <c r="A63" s="84"/>
      <c r="F63" s="242"/>
      <c r="G63" s="222"/>
      <c r="N63" s="107"/>
      <c r="Q63" s="1"/>
    </row>
    <row r="64" spans="1:18" x14ac:dyDescent="0.3">
      <c r="A64" s="234">
        <v>95</v>
      </c>
      <c r="F64" s="244"/>
      <c r="G64" s="222"/>
      <c r="H64" s="2"/>
      <c r="I64" s="2"/>
      <c r="J64" s="2"/>
      <c r="K64" s="2"/>
      <c r="L64" s="2"/>
      <c r="M64" s="2"/>
      <c r="N64" s="107"/>
      <c r="P64" s="198"/>
      <c r="Q64" s="1"/>
    </row>
    <row r="65" spans="1:20" x14ac:dyDescent="0.3">
      <c r="A65" s="234">
        <v>90</v>
      </c>
      <c r="F65" s="244"/>
      <c r="G65" s="222"/>
      <c r="H65" s="2"/>
      <c r="I65" s="2"/>
      <c r="J65" s="2"/>
      <c r="K65" s="2"/>
      <c r="L65" s="2"/>
      <c r="M65" s="2"/>
      <c r="N65" s="107"/>
      <c r="Q65" s="1"/>
    </row>
    <row r="66" spans="1:20" x14ac:dyDescent="0.3">
      <c r="A66" s="234">
        <v>84</v>
      </c>
      <c r="F66" s="247"/>
      <c r="G66" s="222"/>
      <c r="H66" s="2"/>
      <c r="I66" s="2"/>
      <c r="J66" s="2"/>
      <c r="K66" s="2"/>
      <c r="L66" s="2"/>
      <c r="M66" s="2"/>
      <c r="N66" s="107"/>
      <c r="O66" s="107"/>
      <c r="P66" s="107"/>
      <c r="Q66" s="107"/>
      <c r="R66" s="107"/>
    </row>
    <row r="67" spans="1:20" x14ac:dyDescent="0.3">
      <c r="A67" s="239" t="s">
        <v>1</v>
      </c>
      <c r="F67" s="247"/>
      <c r="G67" s="222"/>
      <c r="H67" s="2"/>
      <c r="I67" s="2"/>
      <c r="J67" s="2"/>
      <c r="K67" s="2"/>
      <c r="L67" s="2"/>
      <c r="M67" s="2"/>
      <c r="N67" s="107"/>
      <c r="O67" s="107"/>
      <c r="P67" s="107"/>
      <c r="Q67" s="107"/>
      <c r="R67" s="107"/>
    </row>
    <row r="68" spans="1:20" x14ac:dyDescent="0.3">
      <c r="A68" s="84"/>
      <c r="F68" s="84"/>
      <c r="G68" s="222"/>
      <c r="H68" s="2"/>
      <c r="I68" s="2"/>
      <c r="J68" s="2"/>
      <c r="K68" s="2"/>
      <c r="L68" s="2"/>
      <c r="M68" s="2"/>
      <c r="N68" s="107"/>
      <c r="O68" s="107"/>
      <c r="P68" s="107"/>
      <c r="Q68" s="107"/>
      <c r="R68" s="107"/>
    </row>
    <row r="69" spans="1:20" x14ac:dyDescent="0.3">
      <c r="A69" s="239" t="s">
        <v>0</v>
      </c>
      <c r="F69" s="248"/>
      <c r="G69" s="241"/>
      <c r="H69" s="2"/>
      <c r="I69" s="2"/>
      <c r="J69" s="2"/>
      <c r="K69" s="2"/>
      <c r="L69" s="2"/>
      <c r="M69" s="2"/>
      <c r="N69" s="107"/>
      <c r="O69" s="107"/>
      <c r="P69" s="107"/>
      <c r="Q69" s="107"/>
      <c r="R69" s="107"/>
    </row>
    <row r="70" spans="1:20" x14ac:dyDescent="0.3">
      <c r="A70" s="239" t="s">
        <v>0</v>
      </c>
      <c r="F70" s="250"/>
      <c r="G70" s="241"/>
      <c r="H70" s="2"/>
      <c r="I70" s="2"/>
      <c r="J70" s="2"/>
      <c r="K70" s="2"/>
      <c r="L70" s="2"/>
      <c r="M70" s="2"/>
      <c r="N70" s="107"/>
      <c r="O70" s="107"/>
      <c r="P70" s="107"/>
      <c r="Q70" s="107"/>
      <c r="R70" s="197"/>
    </row>
    <row r="71" spans="1:20" x14ac:dyDescent="0.3">
      <c r="A71" s="84"/>
      <c r="F71" s="84"/>
      <c r="G71" s="241"/>
      <c r="H71" s="2"/>
      <c r="I71" s="2"/>
      <c r="J71" s="2"/>
      <c r="K71" s="2"/>
      <c r="L71" s="2"/>
      <c r="M71" s="2"/>
      <c r="N71" s="107"/>
      <c r="O71" s="107"/>
      <c r="P71" s="107"/>
      <c r="Q71" s="107"/>
      <c r="R71" s="197"/>
    </row>
    <row r="72" spans="1:20" x14ac:dyDescent="0.3">
      <c r="A72" s="239" t="s">
        <v>0</v>
      </c>
      <c r="F72" s="250"/>
      <c r="G72" s="241"/>
      <c r="N72" s="107"/>
      <c r="O72" s="107"/>
      <c r="P72" s="107"/>
      <c r="Q72" s="107"/>
      <c r="R72" s="197"/>
      <c r="S72" s="251"/>
      <c r="T72" s="1">
        <v>3</v>
      </c>
    </row>
    <row r="73" spans="1:20" x14ac:dyDescent="0.3">
      <c r="A73" s="239" t="s">
        <v>0</v>
      </c>
      <c r="F73" s="250"/>
      <c r="G73" s="241"/>
      <c r="N73" s="107"/>
      <c r="O73" s="107"/>
      <c r="P73" s="107"/>
      <c r="Q73" s="107"/>
      <c r="R73" s="197"/>
    </row>
    <row r="74" spans="1:20" x14ac:dyDescent="0.3">
      <c r="A74" s="84"/>
      <c r="F74" s="250"/>
      <c r="G74" s="241"/>
      <c r="N74" s="107"/>
      <c r="O74" s="107"/>
      <c r="P74" s="107"/>
      <c r="Q74" s="107"/>
      <c r="R74" s="197"/>
    </row>
    <row r="75" spans="1:20" x14ac:dyDescent="0.3">
      <c r="A75" s="84"/>
      <c r="F75" s="235"/>
      <c r="G75" s="241"/>
      <c r="N75" s="107"/>
      <c r="O75" s="107"/>
      <c r="P75" s="107"/>
      <c r="Q75" s="107"/>
      <c r="R75" s="197"/>
    </row>
    <row r="76" spans="1:20" x14ac:dyDescent="0.3">
      <c r="A76" s="84"/>
      <c r="F76" s="237"/>
      <c r="G76" s="241"/>
      <c r="N76" s="107"/>
      <c r="O76" s="107"/>
      <c r="P76" s="107"/>
      <c r="Q76" s="107"/>
      <c r="R76" s="197"/>
    </row>
    <row r="77" spans="1:20" x14ac:dyDescent="0.3">
      <c r="A77" s="84"/>
      <c r="F77" s="237"/>
      <c r="G77" s="84"/>
      <c r="N77" s="107"/>
      <c r="O77" s="107"/>
      <c r="P77" s="107"/>
      <c r="Q77" s="107"/>
      <c r="R77" s="197"/>
    </row>
    <row r="78" spans="1:20" x14ac:dyDescent="0.3">
      <c r="A78" s="84"/>
      <c r="F78" s="223"/>
      <c r="G78" s="84"/>
      <c r="N78" s="107"/>
      <c r="O78" s="107"/>
      <c r="P78" s="107"/>
      <c r="Q78" s="107"/>
    </row>
    <row r="79" spans="1:20" x14ac:dyDescent="0.3">
      <c r="G79" s="84"/>
      <c r="N79" s="107"/>
      <c r="O79" s="107"/>
      <c r="P79" s="107"/>
      <c r="Q79" s="107"/>
    </row>
    <row r="80" spans="1:20" x14ac:dyDescent="0.3">
      <c r="G80" s="249"/>
      <c r="N80" s="107"/>
      <c r="O80" s="202"/>
      <c r="P80" s="202"/>
      <c r="Q80" s="107"/>
    </row>
    <row r="81" spans="7:19" x14ac:dyDescent="0.3">
      <c r="G81" s="84"/>
      <c r="N81" s="107"/>
      <c r="O81" s="202"/>
      <c r="P81" s="202"/>
      <c r="Q81" s="107"/>
    </row>
    <row r="82" spans="7:19" x14ac:dyDescent="0.3">
      <c r="G82" s="84"/>
      <c r="N82" s="107"/>
      <c r="O82" s="202"/>
      <c r="P82" s="202"/>
      <c r="Q82" s="107"/>
    </row>
    <row r="83" spans="7:19" x14ac:dyDescent="0.3">
      <c r="G83" s="84"/>
      <c r="N83" s="107"/>
      <c r="O83" s="202"/>
      <c r="P83" s="202"/>
      <c r="Q83" s="107"/>
    </row>
    <row r="84" spans="7:19" x14ac:dyDescent="0.3">
      <c r="G84" s="249"/>
      <c r="N84" s="107"/>
      <c r="O84" s="202"/>
      <c r="P84" s="202"/>
      <c r="Q84" s="107"/>
    </row>
    <row r="85" spans="7:19" x14ac:dyDescent="0.3">
      <c r="G85" s="223"/>
      <c r="N85" s="107"/>
      <c r="O85" s="202"/>
      <c r="P85" s="202"/>
      <c r="Q85" s="107"/>
      <c r="S85" s="251"/>
    </row>
    <row r="86" spans="7:19" x14ac:dyDescent="0.3">
      <c r="G86" s="223"/>
      <c r="Q86" s="1"/>
    </row>
    <row r="87" spans="7:19" x14ac:dyDescent="0.3">
      <c r="G87" s="223"/>
      <c r="Q87" s="1"/>
    </row>
    <row r="88" spans="7:19" x14ac:dyDescent="0.3">
      <c r="G88" s="223"/>
      <c r="Q88" s="1"/>
    </row>
    <row r="89" spans="7:19" s="2" customFormat="1" x14ac:dyDescent="0.3">
      <c r="G89" s="223"/>
      <c r="H89" s="1"/>
      <c r="I89" s="1"/>
      <c r="J89" s="1"/>
      <c r="K89" s="1"/>
      <c r="L89" s="1"/>
      <c r="M89" s="1"/>
    </row>
    <row r="90" spans="7:19" s="2" customFormat="1" x14ac:dyDescent="0.3">
      <c r="G90" s="1"/>
      <c r="H90" s="1"/>
      <c r="I90" s="1"/>
      <c r="J90" s="1"/>
      <c r="K90" s="1"/>
      <c r="L90" s="1"/>
      <c r="M90" s="1"/>
    </row>
    <row r="91" spans="7:19" s="2" customFormat="1" x14ac:dyDescent="0.3">
      <c r="G91" s="1"/>
      <c r="H91" s="1"/>
      <c r="I91" s="1"/>
      <c r="J91" s="1"/>
      <c r="K91" s="1"/>
      <c r="L91" s="1"/>
      <c r="M91" s="1"/>
    </row>
    <row r="92" spans="7:19" s="2" customFormat="1" x14ac:dyDescent="0.3">
      <c r="G92" s="1"/>
      <c r="H92" s="1"/>
      <c r="I92" s="1"/>
      <c r="J92" s="1"/>
      <c r="K92" s="1"/>
      <c r="L92" s="1"/>
      <c r="M92" s="1"/>
      <c r="N92" s="107"/>
      <c r="O92" s="202"/>
      <c r="P92" s="202"/>
      <c r="Q92" s="107"/>
      <c r="S92" s="252"/>
    </row>
    <row r="93" spans="7:19" s="2" customFormat="1" x14ac:dyDescent="0.3">
      <c r="G93" s="1"/>
      <c r="H93" s="1"/>
      <c r="I93" s="1"/>
      <c r="J93" s="1"/>
      <c r="K93" s="1"/>
      <c r="L93" s="1"/>
      <c r="M93" s="1"/>
      <c r="N93" s="107"/>
      <c r="O93" s="202"/>
      <c r="P93" s="202"/>
      <c r="Q93" s="107"/>
    </row>
    <row r="94" spans="7:19" s="2" customFormat="1" x14ac:dyDescent="0.3">
      <c r="G94" s="1"/>
      <c r="H94" s="1"/>
      <c r="I94" s="1"/>
      <c r="J94" s="1"/>
      <c r="K94" s="1"/>
      <c r="L94" s="1"/>
      <c r="M94" s="1"/>
      <c r="N94" s="107"/>
      <c r="O94" s="202"/>
      <c r="P94" s="202"/>
      <c r="Q94" s="107"/>
    </row>
    <row r="95" spans="7:19" s="2" customFormat="1" x14ac:dyDescent="0.3">
      <c r="G95" s="1"/>
      <c r="H95" s="1"/>
      <c r="I95" s="1"/>
      <c r="J95" s="1"/>
      <c r="K95" s="1"/>
      <c r="L95" s="1"/>
      <c r="M95" s="1"/>
      <c r="N95" s="107"/>
      <c r="O95" s="253"/>
      <c r="P95" s="253"/>
      <c r="Q95" s="107"/>
    </row>
    <row r="96" spans="7:19" s="2" customFormat="1" x14ac:dyDescent="0.3">
      <c r="G96" s="1"/>
      <c r="H96" s="1"/>
      <c r="I96" s="1"/>
      <c r="J96" s="1"/>
      <c r="K96" s="1"/>
      <c r="L96" s="1"/>
      <c r="M96" s="1"/>
      <c r="N96" s="107"/>
      <c r="O96" s="202"/>
      <c r="P96" s="202"/>
      <c r="Q96" s="107"/>
    </row>
    <row r="97" spans="7:17" x14ac:dyDescent="0.3">
      <c r="N97" s="107"/>
      <c r="O97" s="202"/>
      <c r="P97" s="202"/>
      <c r="Q97" s="107"/>
    </row>
    <row r="98" spans="7:17" x14ac:dyDescent="0.3">
      <c r="H98" s="2"/>
      <c r="I98" s="2"/>
      <c r="J98" s="2"/>
      <c r="K98" s="2"/>
      <c r="L98" s="2"/>
      <c r="M98" s="2"/>
      <c r="N98" s="107"/>
      <c r="O98" s="202"/>
      <c r="P98" s="202"/>
      <c r="Q98" s="107"/>
    </row>
    <row r="99" spans="7:17" x14ac:dyDescent="0.3">
      <c r="H99" s="2"/>
      <c r="I99" s="2"/>
      <c r="J99" s="2"/>
      <c r="K99" s="2"/>
      <c r="L99" s="2"/>
      <c r="M99" s="2"/>
      <c r="N99" s="107"/>
      <c r="O99" s="202"/>
      <c r="P99" s="202"/>
      <c r="Q99" s="107"/>
    </row>
    <row r="100" spans="7:17" x14ac:dyDescent="0.3">
      <c r="G100" s="2"/>
      <c r="H100" s="2"/>
      <c r="I100" s="2"/>
      <c r="J100" s="2"/>
      <c r="K100" s="2"/>
      <c r="L100" s="2"/>
      <c r="M100" s="2"/>
      <c r="N100" s="107"/>
      <c r="O100" s="202"/>
      <c r="Q100" s="107"/>
    </row>
    <row r="101" spans="7:17" x14ac:dyDescent="0.3">
      <c r="G101" s="2"/>
      <c r="H101" s="2"/>
      <c r="I101" s="2"/>
      <c r="J101" s="2"/>
      <c r="K101" s="2"/>
      <c r="L101" s="2"/>
      <c r="M101" s="2"/>
      <c r="N101" s="107"/>
      <c r="O101" s="202"/>
      <c r="Q101" s="107"/>
    </row>
    <row r="102" spans="7:17" x14ac:dyDescent="0.3">
      <c r="G102" s="2"/>
      <c r="H102" s="2"/>
      <c r="I102" s="2"/>
      <c r="J102" s="2"/>
      <c r="K102" s="2"/>
      <c r="L102" s="2"/>
      <c r="M102" s="2"/>
      <c r="N102" s="107"/>
      <c r="O102" s="202"/>
      <c r="Q102" s="107"/>
    </row>
    <row r="103" spans="7:17" x14ac:dyDescent="0.3">
      <c r="G103" s="2"/>
      <c r="H103" s="2"/>
      <c r="I103" s="2"/>
      <c r="J103" s="2"/>
      <c r="K103" s="2"/>
      <c r="L103" s="2"/>
      <c r="M103" s="2"/>
      <c r="N103" s="107"/>
      <c r="O103" s="202"/>
      <c r="P103" s="202"/>
      <c r="Q103" s="107"/>
    </row>
    <row r="104" spans="7:17" x14ac:dyDescent="0.3">
      <c r="G104" s="2"/>
      <c r="H104" s="2"/>
      <c r="I104" s="2"/>
      <c r="J104" s="2"/>
      <c r="K104" s="2"/>
      <c r="L104" s="2"/>
      <c r="M104" s="2"/>
      <c r="N104" s="107"/>
      <c r="O104" s="202"/>
      <c r="Q104" s="107"/>
    </row>
    <row r="105" spans="7:17" x14ac:dyDescent="0.3">
      <c r="G105" s="2"/>
      <c r="H105" s="2"/>
      <c r="I105" s="2"/>
      <c r="J105" s="2"/>
      <c r="K105" s="2"/>
      <c r="L105" s="2"/>
      <c r="M105" s="2"/>
      <c r="N105" s="107"/>
      <c r="O105" s="202"/>
      <c r="Q105" s="107"/>
    </row>
    <row r="106" spans="7:17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7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7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7" x14ac:dyDescent="0.3">
      <c r="H109" s="2"/>
      <c r="I109" s="2"/>
      <c r="J109" s="2"/>
      <c r="K109" s="2"/>
      <c r="L109" s="2"/>
      <c r="M109" s="2"/>
      <c r="N109" s="107"/>
      <c r="O109" s="253"/>
      <c r="P109" s="254"/>
      <c r="Q109" s="107"/>
    </row>
    <row r="110" spans="7:17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7" x14ac:dyDescent="0.3">
      <c r="H111" s="2"/>
      <c r="I111" s="2"/>
      <c r="J111" s="2"/>
      <c r="K111" s="2"/>
      <c r="L111" s="2"/>
      <c r="M111" s="2"/>
      <c r="N111" s="107"/>
      <c r="O111" s="202"/>
    </row>
    <row r="112" spans="7:17" x14ac:dyDescent="0.3">
      <c r="H112" s="2"/>
      <c r="I112" s="2"/>
      <c r="J112" s="2"/>
      <c r="K112" s="2"/>
      <c r="L112" s="2"/>
      <c r="M112" s="2"/>
      <c r="N112" s="107"/>
      <c r="O112" s="202"/>
    </row>
    <row r="113" spans="7:16" x14ac:dyDescent="0.3">
      <c r="N113" s="107"/>
      <c r="O113" s="202"/>
    </row>
    <row r="114" spans="7:16" x14ac:dyDescent="0.3">
      <c r="N114" s="107"/>
      <c r="O114" s="202"/>
    </row>
    <row r="115" spans="7:16" x14ac:dyDescent="0.3">
      <c r="N115" s="107"/>
      <c r="O115" s="202"/>
    </row>
    <row r="116" spans="7:16" x14ac:dyDescent="0.3">
      <c r="N116" s="107"/>
    </row>
    <row r="117" spans="7:16" x14ac:dyDescent="0.3">
      <c r="N117" s="107"/>
    </row>
    <row r="118" spans="7:16" x14ac:dyDescent="0.3">
      <c r="N118" s="107"/>
    </row>
    <row r="119" spans="7:16" x14ac:dyDescent="0.3">
      <c r="N119" s="107"/>
    </row>
    <row r="120" spans="7:16" x14ac:dyDescent="0.3">
      <c r="N120" s="107"/>
    </row>
    <row r="121" spans="7:16" x14ac:dyDescent="0.3">
      <c r="N121" s="107"/>
    </row>
    <row r="122" spans="7:16" x14ac:dyDescent="0.3">
      <c r="N122" s="107"/>
      <c r="O122" s="254"/>
      <c r="P122" s="254"/>
    </row>
    <row r="123" spans="7:16" s="2" customFormat="1" x14ac:dyDescent="0.3">
      <c r="G123" s="1"/>
      <c r="H123" s="1"/>
      <c r="I123" s="1"/>
      <c r="J123" s="1"/>
      <c r="K123" s="1"/>
      <c r="L123" s="1"/>
      <c r="M123" s="1"/>
      <c r="N123" s="107"/>
      <c r="O123" s="1"/>
      <c r="P123" s="1"/>
    </row>
    <row r="124" spans="7:16" s="2" customFormat="1" x14ac:dyDescent="0.3">
      <c r="G124" s="1"/>
      <c r="H124" s="1"/>
      <c r="I124" s="1"/>
      <c r="J124" s="1"/>
      <c r="K124" s="1"/>
      <c r="L124" s="1"/>
      <c r="M124" s="1"/>
      <c r="N124" s="107"/>
      <c r="O124" s="1"/>
      <c r="P124" s="1"/>
    </row>
    <row r="125" spans="7:16" s="2" customFormat="1" x14ac:dyDescent="0.3">
      <c r="G125" s="1"/>
      <c r="H125" s="1"/>
      <c r="I125" s="1"/>
      <c r="J125" s="1"/>
      <c r="K125" s="1"/>
      <c r="L125" s="1"/>
      <c r="M125" s="1"/>
      <c r="N125" s="107"/>
      <c r="O125" s="1"/>
      <c r="P125" s="1"/>
    </row>
    <row r="126" spans="7:16" s="2" customFormat="1" x14ac:dyDescent="0.3">
      <c r="G126" s="1"/>
      <c r="H126" s="1"/>
      <c r="I126" s="1"/>
      <c r="J126" s="1"/>
      <c r="K126" s="1"/>
      <c r="L126" s="1"/>
      <c r="M126" s="1"/>
      <c r="N126" s="107"/>
      <c r="O126" s="1"/>
      <c r="P126" s="1"/>
    </row>
    <row r="127" spans="7:16" s="2" customFormat="1" x14ac:dyDescent="0.3">
      <c r="G127" s="1"/>
      <c r="H127" s="1"/>
      <c r="I127" s="1"/>
      <c r="J127" s="1"/>
      <c r="K127" s="1"/>
      <c r="L127" s="1"/>
      <c r="M127" s="1"/>
      <c r="N127" s="107"/>
      <c r="O127" s="1"/>
      <c r="P127" s="1"/>
    </row>
    <row r="128" spans="7:16" s="2" customFormat="1" x14ac:dyDescent="0.3">
      <c r="G128" s="1"/>
      <c r="H128" s="1"/>
      <c r="I128" s="1"/>
      <c r="J128" s="1"/>
      <c r="K128" s="1"/>
      <c r="L128" s="1"/>
      <c r="M128" s="1"/>
      <c r="N128" s="107"/>
      <c r="O128" s="1"/>
      <c r="P128" s="1"/>
    </row>
    <row r="129" spans="1:24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1:24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1:24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1:24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1:24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1:24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1:24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1:24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1:24" s="2" customFormat="1" x14ac:dyDescent="0.3">
      <c r="H137" s="1"/>
      <c r="I137" s="1"/>
      <c r="J137" s="1"/>
      <c r="K137" s="1"/>
      <c r="L137" s="1"/>
      <c r="M137" s="1"/>
      <c r="N137" s="1"/>
      <c r="O137" s="254"/>
      <c r="P137" s="254"/>
    </row>
    <row r="138" spans="1:24" s="2" customFormat="1" x14ac:dyDescent="0.3">
      <c r="A138" s="1"/>
      <c r="B138" s="1"/>
      <c r="C138" s="1"/>
      <c r="D138" s="1"/>
      <c r="E138" s="1"/>
      <c r="F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S138" s="1"/>
      <c r="T138" s="1"/>
      <c r="U138" s="1"/>
      <c r="V138" s="1"/>
      <c r="W138" s="1"/>
      <c r="X138" s="1"/>
    </row>
    <row r="139" spans="1:24" x14ac:dyDescent="0.3">
      <c r="G139" s="2"/>
    </row>
    <row r="140" spans="1:24" x14ac:dyDescent="0.3">
      <c r="G140" s="2"/>
    </row>
    <row r="141" spans="1:24" x14ac:dyDescent="0.3">
      <c r="G141" s="2"/>
    </row>
    <row r="142" spans="1:24" x14ac:dyDescent="0.3">
      <c r="G142" s="2"/>
    </row>
    <row r="143" spans="1:24" x14ac:dyDescent="0.3">
      <c r="G143" s="2"/>
    </row>
    <row r="144" spans="1:24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</sheetData>
  <autoFilter ref="A6:P6" xr:uid="{00000000-0009-0000-0000-000014000000}"/>
  <mergeCells count="64">
    <mergeCell ref="O1:P1"/>
    <mergeCell ref="I2:J2"/>
    <mergeCell ref="K2:M2"/>
    <mergeCell ref="O2:P2"/>
    <mergeCell ref="O3:P3"/>
    <mergeCell ref="I16:J16"/>
    <mergeCell ref="C5:F5"/>
    <mergeCell ref="I17:J17"/>
    <mergeCell ref="G5:J5"/>
    <mergeCell ref="M14:P14"/>
    <mergeCell ref="A14:H14"/>
    <mergeCell ref="N5:P5"/>
    <mergeCell ref="I3:J3"/>
    <mergeCell ref="M15:N15"/>
    <mergeCell ref="A15:B15"/>
    <mergeCell ref="O4:P4"/>
    <mergeCell ref="K3:M3"/>
    <mergeCell ref="A1:H3"/>
    <mergeCell ref="I1:J1"/>
    <mergeCell ref="K1:M1"/>
    <mergeCell ref="H43:L43"/>
    <mergeCell ref="A17:B17"/>
    <mergeCell ref="A21:B21"/>
    <mergeCell ref="M35:P35"/>
    <mergeCell ref="A34:H34"/>
    <mergeCell ref="A27:B27"/>
    <mergeCell ref="I31:J31"/>
    <mergeCell ref="A28:B28"/>
    <mergeCell ref="A25:B25"/>
    <mergeCell ref="K19:L19"/>
    <mergeCell ref="M24:O24"/>
    <mergeCell ref="O41:P41"/>
    <mergeCell ref="M38:N38"/>
    <mergeCell ref="A20:B20"/>
    <mergeCell ref="M19:O19"/>
    <mergeCell ref="L5:M5"/>
    <mergeCell ref="A16:B16"/>
    <mergeCell ref="I18:L18"/>
    <mergeCell ref="M17:N17"/>
    <mergeCell ref="A33:B33"/>
    <mergeCell ref="K20:L20"/>
    <mergeCell ref="M25:N25"/>
    <mergeCell ref="I14:L14"/>
    <mergeCell ref="A18:B18"/>
    <mergeCell ref="I19:J19"/>
    <mergeCell ref="M18:N18"/>
    <mergeCell ref="A26:B26"/>
    <mergeCell ref="M22:O22"/>
    <mergeCell ref="A22:B22"/>
    <mergeCell ref="M23:O23"/>
    <mergeCell ref="I15:J15"/>
    <mergeCell ref="M41:N41"/>
    <mergeCell ref="M16:N16"/>
    <mergeCell ref="A19:B19"/>
    <mergeCell ref="I20:J20"/>
    <mergeCell ref="M21:O21"/>
    <mergeCell ref="M20:O20"/>
    <mergeCell ref="A24:B24"/>
    <mergeCell ref="I26:J26"/>
    <mergeCell ref="A23:B23"/>
    <mergeCell ref="K26:P26"/>
    <mergeCell ref="M36:P37"/>
    <mergeCell ref="I37:J37"/>
    <mergeCell ref="A35:C3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X148"/>
  <sheetViews>
    <sheetView tabSelected="1"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45799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142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+'21'!K7</f>
        <v>3623.6119071396588</v>
      </c>
      <c r="C7" s="24">
        <f>L28+L29</f>
        <v>0</v>
      </c>
      <c r="D7" s="25"/>
      <c r="E7" s="25"/>
      <c r="F7" s="26">
        <f t="shared" ref="F7:F12" si="0">+B7+C7+D7+E7</f>
        <v>3623.6119071396588</v>
      </c>
      <c r="G7" s="27">
        <f>B48-H7</f>
        <v>219.06866952789699</v>
      </c>
      <c r="H7" s="24"/>
      <c r="I7" s="28"/>
      <c r="J7" s="23">
        <f t="shared" ref="J7:J12" si="1">+G7+H7+I7</f>
        <v>219.06866952789699</v>
      </c>
      <c r="K7" s="23">
        <f t="shared" ref="K7:K12" si="2">+F7-J7</f>
        <v>3404.5432376117619</v>
      </c>
      <c r="L7" s="29">
        <f>+'21'!M7</f>
        <v>3623.6119071396588</v>
      </c>
      <c r="M7" s="30">
        <v>3404.5432376117619</v>
      </c>
      <c r="N7" s="26">
        <f t="shared" ref="N7:N12" si="3">+G7</f>
        <v>219.06866952789699</v>
      </c>
      <c r="O7" s="26">
        <f>+C48</f>
        <v>6.99</v>
      </c>
      <c r="P7" s="31">
        <f t="shared" ref="P7:P12" si="4">+N7*O7</f>
        <v>1531.29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+'21'!K8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+'21'!M8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+'21'!K9</f>
        <v>613.5638095238096</v>
      </c>
      <c r="C9" s="24">
        <f>L30</f>
        <v>980</v>
      </c>
      <c r="D9" s="34"/>
      <c r="E9" s="25"/>
      <c r="F9" s="26">
        <f t="shared" si="0"/>
        <v>1593.5638095238096</v>
      </c>
      <c r="G9" s="27">
        <f>+B44-H9</f>
        <v>88.3974603174603</v>
      </c>
      <c r="H9" s="24">
        <f>+E9</f>
        <v>0</v>
      </c>
      <c r="I9" s="28"/>
      <c r="J9" s="23">
        <f t="shared" si="1"/>
        <v>88.3974603174603</v>
      </c>
      <c r="K9" s="23">
        <f t="shared" si="2"/>
        <v>1505.1663492063492</v>
      </c>
      <c r="L9" s="29">
        <f>+'21'!M9</f>
        <v>605</v>
      </c>
      <c r="M9" s="30">
        <v>1500</v>
      </c>
      <c r="N9" s="26">
        <f t="shared" si="3"/>
        <v>88.3974603174603</v>
      </c>
      <c r="O9" s="26">
        <f>+C44</f>
        <v>15.75</v>
      </c>
      <c r="P9" s="31">
        <f t="shared" si="4"/>
        <v>1392.2599999999998</v>
      </c>
      <c r="Q9" s="32">
        <f t="shared" si="5"/>
        <v>-5.1663492063491958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+'21'!K10</f>
        <v>1395.1100786275913</v>
      </c>
      <c r="C10" s="24">
        <f>L31</f>
        <v>0</v>
      </c>
      <c r="D10" s="34"/>
      <c r="E10" s="25"/>
      <c r="F10" s="26">
        <f t="shared" si="0"/>
        <v>1395.1100786275913</v>
      </c>
      <c r="G10" s="27">
        <f>+B45-H10</f>
        <v>107.37097927090778</v>
      </c>
      <c r="H10" s="24">
        <f>+E10</f>
        <v>0</v>
      </c>
      <c r="I10" s="28"/>
      <c r="J10" s="23">
        <f t="shared" si="1"/>
        <v>107.37097927090778</v>
      </c>
      <c r="K10" s="23">
        <f t="shared" si="2"/>
        <v>1287.7390993566835</v>
      </c>
      <c r="L10" s="29">
        <f>+'21'!M10</f>
        <v>1383</v>
      </c>
      <c r="M10" s="30">
        <v>1275</v>
      </c>
      <c r="N10" s="26">
        <f t="shared" si="3"/>
        <v>107.37097927090778</v>
      </c>
      <c r="O10" s="26">
        <f>+C45</f>
        <v>13.99</v>
      </c>
      <c r="P10" s="31">
        <f t="shared" si="4"/>
        <v>1502.12</v>
      </c>
      <c r="Q10" s="32">
        <f t="shared" si="5"/>
        <v>-12.739099356683482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+'21'!K11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+'21'!M11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+'21'!K12</f>
        <v>563.90651648356652</v>
      </c>
      <c r="C12" s="40">
        <f>L33</f>
        <v>0</v>
      </c>
      <c r="D12" s="41"/>
      <c r="E12" s="42"/>
      <c r="F12" s="26">
        <f t="shared" si="0"/>
        <v>563.90651648356652</v>
      </c>
      <c r="G12" s="43">
        <f>+B47-H12</f>
        <v>139.53644727530079</v>
      </c>
      <c r="H12" s="40">
        <f>+E12</f>
        <v>0</v>
      </c>
      <c r="I12" s="28"/>
      <c r="J12" s="44">
        <f t="shared" si="1"/>
        <v>139.53644727530079</v>
      </c>
      <c r="K12" s="44">
        <f t="shared" si="2"/>
        <v>424.3700692082657</v>
      </c>
      <c r="L12" s="29">
        <f>+'21'!M12</f>
        <v>565</v>
      </c>
      <c r="M12" s="30">
        <v>425</v>
      </c>
      <c r="N12" s="42">
        <f t="shared" si="3"/>
        <v>139.53644727530079</v>
      </c>
      <c r="O12" s="42">
        <f>+C47</f>
        <v>14.13</v>
      </c>
      <c r="P12" s="45">
        <f t="shared" si="4"/>
        <v>1971.6500000000003</v>
      </c>
      <c r="Q12" s="32">
        <f t="shared" si="5"/>
        <v>0.62993079173429578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6196.1923117746264</v>
      </c>
      <c r="C13" s="23">
        <f t="shared" si="6"/>
        <v>980</v>
      </c>
      <c r="D13" s="23">
        <f t="shared" si="6"/>
        <v>0</v>
      </c>
      <c r="E13" s="23">
        <f t="shared" si="6"/>
        <v>0</v>
      </c>
      <c r="F13" s="23">
        <f t="shared" si="6"/>
        <v>7176.1923117746264</v>
      </c>
      <c r="G13" s="23">
        <f t="shared" si="6"/>
        <v>554.3735563915659</v>
      </c>
      <c r="H13" s="23">
        <f t="shared" si="6"/>
        <v>0</v>
      </c>
      <c r="I13" s="23">
        <f t="shared" si="6"/>
        <v>0</v>
      </c>
      <c r="J13" s="23">
        <f t="shared" si="6"/>
        <v>554.3735563915659</v>
      </c>
      <c r="K13" s="23">
        <f t="shared" si="6"/>
        <v>6621.8187553830603</v>
      </c>
      <c r="L13" s="29">
        <f t="shared" si="6"/>
        <v>6176.6119071396588</v>
      </c>
      <c r="M13" s="23">
        <f t="shared" si="6"/>
        <v>6604.5432376117624</v>
      </c>
      <c r="N13" s="23">
        <f t="shared" si="6"/>
        <v>554.3735563915659</v>
      </c>
      <c r="O13" s="23"/>
      <c r="P13" s="23">
        <f>SUM(P7:P12)</f>
        <v>6397.3200000000006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554.3735563915659</v>
      </c>
      <c r="P16" s="65">
        <f>+P13</f>
        <v>6397.3200000000006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2431.81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413.8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0.11000000000012733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>
        <f>20*14.13</f>
        <v>282.60000000000002</v>
      </c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10.8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282.60000000000002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>
        <v>54</v>
      </c>
      <c r="F25" s="60">
        <v>0.2</v>
      </c>
      <c r="G25" s="61">
        <f t="shared" si="7"/>
        <v>10.8</v>
      </c>
      <c r="H25" s="70" t="s">
        <v>172</v>
      </c>
      <c r="I25" s="78" t="s">
        <v>27</v>
      </c>
      <c r="J25" s="79">
        <f>+J21+J22-J24</f>
        <v>5260.7557799999995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3258.2000000000003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>
        <v>980</v>
      </c>
      <c r="M30" s="92" t="s">
        <v>171</v>
      </c>
      <c r="N30" s="92" t="s">
        <v>154</v>
      </c>
      <c r="O30" s="93" t="s">
        <v>53</v>
      </c>
      <c r="P30" s="98">
        <f>11900.85/980</f>
        <v>12.143724489795918</v>
      </c>
      <c r="Q30" s="95">
        <f>+O9-P30</f>
        <v>3.6062755102040818</v>
      </c>
      <c r="S30" s="48">
        <f t="shared" si="8"/>
        <v>5.1663492063491958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56</v>
      </c>
      <c r="P31" s="98">
        <f>11737.54/1050</f>
        <v>11.178609523809525</v>
      </c>
      <c r="Q31" s="95">
        <f>+O10-P31</f>
        <v>2.8113904761904749</v>
      </c>
      <c r="S31" s="48">
        <f t="shared" si="8"/>
        <v>12.739099356683482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10.8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2.1836761904761914</v>
      </c>
      <c r="R33" s="1" t="s">
        <v>55</v>
      </c>
      <c r="S33" s="48">
        <f t="shared" si="8"/>
        <v>-0.62993079173429578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45799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2140.8000000000002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1995.81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1117.4000000000001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436</v>
      </c>
      <c r="C38" s="134">
        <v>413.8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45799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14.13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2140.8000000000002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2431.81</v>
      </c>
      <c r="C40" s="150">
        <f>SUM(C37:C39)</f>
        <v>413.8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3258.2000000000003</v>
      </c>
      <c r="M40" s="158" t="s">
        <v>0</v>
      </c>
      <c r="N40" s="159" t="s">
        <v>29</v>
      </c>
      <c r="O40" s="160">
        <f>+L37</f>
        <v>1117.4000000000001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2845.61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3258.2000000000003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88.3974603174603</v>
      </c>
      <c r="C44" s="181">
        <v>15.75</v>
      </c>
      <c r="D44" s="182">
        <v>1392.2599999999998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107.37097927090778</v>
      </c>
      <c r="C45" s="181">
        <v>13.99</v>
      </c>
      <c r="D45" s="182">
        <v>1502.12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139.53644727530079</v>
      </c>
      <c r="C47" s="181">
        <v>14.13</v>
      </c>
      <c r="D47" s="182">
        <v>1971.65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219.06866952789699</v>
      </c>
      <c r="C48" s="181">
        <v>6.99</v>
      </c>
      <c r="D48" s="182">
        <v>1531.29</v>
      </c>
      <c r="E48" s="183"/>
      <c r="F48" s="183"/>
      <c r="G48" s="178"/>
      <c r="H48" s="209">
        <f>(L36+B40+P23+P24+P22+L38)-SUM(D44:D47)+(P20+P21)</f>
        <v>-1.9999999998617568E-2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554.3735563915659</v>
      </c>
      <c r="C49" s="212"/>
      <c r="D49" s="213">
        <f>SUM(D44:D48)</f>
        <v>6397.32</v>
      </c>
      <c r="E49" s="213">
        <v>6397.32</v>
      </c>
      <c r="F49" s="183"/>
      <c r="G49" s="178"/>
      <c r="H49" s="214">
        <f>(C38+L37+L39)-D48</f>
        <v>-8.9999999999918145E-2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178"/>
      <c r="J54" s="228"/>
      <c r="K54" s="229"/>
      <c r="L54" s="230"/>
      <c r="M54" s="231"/>
      <c r="O54" s="233"/>
      <c r="Q54" s="1"/>
    </row>
    <row r="55" spans="1:18" ht="15.6" x14ac:dyDescent="0.3">
      <c r="A55" s="234"/>
      <c r="D55" s="224"/>
      <c r="F55" s="240"/>
      <c r="G55" s="178"/>
      <c r="I55" s="178"/>
      <c r="J55" s="177"/>
      <c r="K55" s="177"/>
      <c r="N55" s="107"/>
      <c r="O55" s="107"/>
      <c r="P55" s="107"/>
      <c r="Q55" s="1"/>
    </row>
    <row r="56" spans="1:18" ht="15.6" x14ac:dyDescent="0.3">
      <c r="A56" s="234"/>
      <c r="B56" s="107"/>
      <c r="C56" s="107"/>
      <c r="D56" s="224"/>
      <c r="E56" s="107"/>
      <c r="F56" s="244"/>
      <c r="G56" s="178"/>
      <c r="I56" s="178"/>
      <c r="K56" s="177"/>
      <c r="N56" s="107"/>
      <c r="O56" s="107"/>
      <c r="P56" s="107"/>
      <c r="Q56" s="1"/>
    </row>
    <row r="57" spans="1:18" ht="15.6" x14ac:dyDescent="0.3">
      <c r="A57" s="239"/>
      <c r="D57" s="224"/>
      <c r="E57" s="107"/>
      <c r="F57" s="244"/>
      <c r="G57" s="178"/>
      <c r="I57" s="178"/>
      <c r="N57" s="107"/>
      <c r="O57" s="107"/>
      <c r="P57" s="107"/>
      <c r="Q57" s="1"/>
    </row>
    <row r="58" spans="1:18" ht="15.6" x14ac:dyDescent="0.3">
      <c r="A58" s="239"/>
      <c r="D58" s="224"/>
      <c r="F58" s="245"/>
      <c r="G58" s="178"/>
      <c r="N58" s="107"/>
      <c r="O58" s="107"/>
      <c r="P58" s="107"/>
      <c r="Q58" s="1"/>
    </row>
    <row r="59" spans="1:18" x14ac:dyDescent="0.3">
      <c r="A59" s="234"/>
      <c r="D59" s="107"/>
      <c r="F59" s="244"/>
      <c r="G59" s="232">
        <f>SUM(G43:G58)</f>
        <v>0</v>
      </c>
      <c r="H59" s="232"/>
      <c r="I59" s="232">
        <f>SUM(I51:I58)</f>
        <v>0</v>
      </c>
      <c r="N59" s="107"/>
      <c r="O59" s="107"/>
      <c r="P59" s="107"/>
      <c r="Q59" s="1"/>
    </row>
    <row r="60" spans="1:18" x14ac:dyDescent="0.3">
      <c r="A60" s="234"/>
      <c r="F60" s="244"/>
      <c r="G60" s="178"/>
      <c r="N60" s="107"/>
      <c r="O60" s="107"/>
      <c r="P60" s="107"/>
      <c r="Q60" s="1"/>
    </row>
    <row r="61" spans="1:18" x14ac:dyDescent="0.3">
      <c r="A61" s="234">
        <v>84</v>
      </c>
      <c r="F61" s="246"/>
      <c r="G61" s="222"/>
      <c r="N61" s="107"/>
      <c r="Q61" s="1"/>
    </row>
    <row r="62" spans="1:18" x14ac:dyDescent="0.3">
      <c r="A62" s="239" t="s">
        <v>1</v>
      </c>
      <c r="F62" s="244"/>
      <c r="G62" s="222"/>
      <c r="N62" s="107"/>
      <c r="Q62" s="1"/>
    </row>
    <row r="63" spans="1:18" x14ac:dyDescent="0.3">
      <c r="A63" s="84"/>
      <c r="F63" s="242"/>
      <c r="G63" s="222"/>
      <c r="N63" s="107"/>
      <c r="Q63" s="1"/>
    </row>
    <row r="64" spans="1:18" x14ac:dyDescent="0.3">
      <c r="A64" s="234">
        <v>95</v>
      </c>
      <c r="F64" s="244"/>
      <c r="G64" s="222"/>
      <c r="H64" s="2"/>
      <c r="I64" s="2"/>
      <c r="J64" s="2"/>
      <c r="K64" s="2"/>
      <c r="L64" s="2"/>
      <c r="M64" s="2"/>
      <c r="N64" s="107"/>
      <c r="P64" s="198"/>
      <c r="Q64" s="1"/>
    </row>
    <row r="65" spans="1:20" x14ac:dyDescent="0.3">
      <c r="A65" s="234">
        <v>90</v>
      </c>
      <c r="F65" s="244"/>
      <c r="G65" s="222"/>
      <c r="H65" s="2"/>
      <c r="I65" s="2"/>
      <c r="J65" s="2"/>
      <c r="K65" s="2"/>
      <c r="L65" s="2"/>
      <c r="M65" s="2"/>
      <c r="N65" s="107"/>
      <c r="Q65" s="1"/>
    </row>
    <row r="66" spans="1:20" x14ac:dyDescent="0.3">
      <c r="A66" s="234">
        <v>84</v>
      </c>
      <c r="F66" s="247"/>
      <c r="G66" s="222"/>
      <c r="H66" s="2"/>
      <c r="I66" s="2"/>
      <c r="J66" s="2"/>
      <c r="K66" s="2"/>
      <c r="L66" s="2"/>
      <c r="M66" s="2"/>
      <c r="N66" s="107"/>
      <c r="O66" s="107"/>
      <c r="P66" s="107"/>
      <c r="Q66" s="107"/>
      <c r="R66" s="107"/>
    </row>
    <row r="67" spans="1:20" x14ac:dyDescent="0.3">
      <c r="A67" s="239" t="s">
        <v>1</v>
      </c>
      <c r="F67" s="247"/>
      <c r="G67" s="222"/>
      <c r="H67" s="2"/>
      <c r="I67" s="2"/>
      <c r="J67" s="2"/>
      <c r="K67" s="2"/>
      <c r="L67" s="2"/>
      <c r="M67" s="2"/>
      <c r="N67" s="107"/>
      <c r="O67" s="107"/>
      <c r="P67" s="107"/>
      <c r="Q67" s="107"/>
      <c r="R67" s="107"/>
    </row>
    <row r="68" spans="1:20" x14ac:dyDescent="0.3">
      <c r="A68" s="84"/>
      <c r="F68" s="84"/>
      <c r="G68" s="222"/>
      <c r="H68" s="2"/>
      <c r="I68" s="2"/>
      <c r="J68" s="2"/>
      <c r="K68" s="2"/>
      <c r="L68" s="2"/>
      <c r="M68" s="2"/>
      <c r="N68" s="107"/>
      <c r="O68" s="107"/>
      <c r="P68" s="107"/>
      <c r="Q68" s="107"/>
      <c r="R68" s="107"/>
    </row>
    <row r="69" spans="1:20" x14ac:dyDescent="0.3">
      <c r="A69" s="239" t="s">
        <v>0</v>
      </c>
      <c r="F69" s="248"/>
      <c r="G69" s="241"/>
      <c r="H69" s="2"/>
      <c r="I69" s="2"/>
      <c r="J69" s="2"/>
      <c r="K69" s="2"/>
      <c r="L69" s="2"/>
      <c r="M69" s="2"/>
      <c r="N69" s="107"/>
      <c r="O69" s="107"/>
      <c r="P69" s="107"/>
      <c r="Q69" s="107"/>
      <c r="R69" s="107"/>
    </row>
    <row r="70" spans="1:20" x14ac:dyDescent="0.3">
      <c r="A70" s="239" t="s">
        <v>0</v>
      </c>
      <c r="F70" s="250"/>
      <c r="G70" s="241"/>
      <c r="H70" s="2"/>
      <c r="I70" s="2"/>
      <c r="J70" s="2"/>
      <c r="K70" s="2"/>
      <c r="L70" s="2"/>
      <c r="M70" s="2"/>
      <c r="N70" s="107"/>
      <c r="O70" s="107"/>
      <c r="P70" s="107"/>
      <c r="Q70" s="107"/>
      <c r="R70" s="197"/>
    </row>
    <row r="71" spans="1:20" x14ac:dyDescent="0.3">
      <c r="A71" s="84"/>
      <c r="F71" s="84"/>
      <c r="G71" s="241"/>
      <c r="H71" s="2"/>
      <c r="I71" s="2"/>
      <c r="J71" s="2"/>
      <c r="K71" s="2"/>
      <c r="L71" s="2"/>
      <c r="M71" s="2"/>
      <c r="N71" s="107"/>
      <c r="O71" s="107"/>
      <c r="P71" s="107"/>
      <c r="Q71" s="107"/>
      <c r="R71" s="197"/>
    </row>
    <row r="72" spans="1:20" x14ac:dyDescent="0.3">
      <c r="A72" s="239" t="s">
        <v>0</v>
      </c>
      <c r="F72" s="250"/>
      <c r="G72" s="241"/>
      <c r="N72" s="107"/>
      <c r="O72" s="107"/>
      <c r="P72" s="107"/>
      <c r="Q72" s="107"/>
      <c r="R72" s="197"/>
      <c r="S72" s="251"/>
      <c r="T72" s="1">
        <v>3</v>
      </c>
    </row>
    <row r="73" spans="1:20" x14ac:dyDescent="0.3">
      <c r="A73" s="239" t="s">
        <v>0</v>
      </c>
      <c r="F73" s="250"/>
      <c r="G73" s="241"/>
      <c r="N73" s="107"/>
      <c r="O73" s="107"/>
      <c r="P73" s="107"/>
      <c r="Q73" s="107"/>
      <c r="R73" s="197"/>
    </row>
    <row r="74" spans="1:20" x14ac:dyDescent="0.3">
      <c r="A74" s="84"/>
      <c r="F74" s="250"/>
      <c r="G74" s="241"/>
      <c r="N74" s="107"/>
      <c r="O74" s="107"/>
      <c r="P74" s="107"/>
      <c r="Q74" s="107"/>
      <c r="R74" s="197"/>
    </row>
    <row r="75" spans="1:20" x14ac:dyDescent="0.3">
      <c r="A75" s="84"/>
      <c r="F75" s="235"/>
      <c r="G75" s="241"/>
      <c r="N75" s="107"/>
      <c r="O75" s="107"/>
      <c r="P75" s="107"/>
      <c r="Q75" s="107"/>
      <c r="R75" s="197"/>
    </row>
    <row r="76" spans="1:20" x14ac:dyDescent="0.3">
      <c r="A76" s="84"/>
      <c r="F76" s="237"/>
      <c r="G76" s="241"/>
      <c r="N76" s="107"/>
      <c r="O76" s="107"/>
      <c r="P76" s="107"/>
      <c r="Q76" s="107"/>
      <c r="R76" s="197"/>
    </row>
    <row r="77" spans="1:20" x14ac:dyDescent="0.3">
      <c r="A77" s="84"/>
      <c r="F77" s="237"/>
      <c r="G77" s="84"/>
      <c r="N77" s="107"/>
      <c r="O77" s="107"/>
      <c r="P77" s="107"/>
      <c r="Q77" s="107"/>
      <c r="R77" s="197"/>
    </row>
    <row r="78" spans="1:20" x14ac:dyDescent="0.3">
      <c r="A78" s="84"/>
      <c r="F78" s="223"/>
      <c r="G78" s="84"/>
      <c r="N78" s="107"/>
      <c r="O78" s="107"/>
      <c r="P78" s="107"/>
      <c r="Q78" s="107"/>
    </row>
    <row r="79" spans="1:20" x14ac:dyDescent="0.3">
      <c r="G79" s="84"/>
      <c r="N79" s="107"/>
      <c r="O79" s="107"/>
      <c r="P79" s="107"/>
      <c r="Q79" s="107"/>
    </row>
    <row r="80" spans="1:20" x14ac:dyDescent="0.3">
      <c r="G80" s="249"/>
      <c r="N80" s="107"/>
      <c r="O80" s="202"/>
      <c r="P80" s="202"/>
      <c r="Q80" s="107"/>
    </row>
    <row r="81" spans="7:19" x14ac:dyDescent="0.3">
      <c r="G81" s="84"/>
      <c r="N81" s="107"/>
      <c r="O81" s="202"/>
      <c r="P81" s="202"/>
      <c r="Q81" s="107"/>
    </row>
    <row r="82" spans="7:19" x14ac:dyDescent="0.3">
      <c r="G82" s="84"/>
      <c r="N82" s="107"/>
      <c r="O82" s="202"/>
      <c r="P82" s="202"/>
      <c r="Q82" s="107"/>
    </row>
    <row r="83" spans="7:19" x14ac:dyDescent="0.3">
      <c r="G83" s="84"/>
      <c r="N83" s="107"/>
      <c r="O83" s="202"/>
      <c r="P83" s="202"/>
      <c r="Q83" s="107"/>
    </row>
    <row r="84" spans="7:19" x14ac:dyDescent="0.3">
      <c r="G84" s="249"/>
      <c r="N84" s="107"/>
      <c r="O84" s="202"/>
      <c r="P84" s="202"/>
      <c r="Q84" s="107"/>
    </row>
    <row r="85" spans="7:19" x14ac:dyDescent="0.3">
      <c r="G85" s="223"/>
      <c r="N85" s="107"/>
      <c r="O85" s="202"/>
      <c r="P85" s="202"/>
      <c r="Q85" s="107"/>
      <c r="S85" s="251"/>
    </row>
    <row r="86" spans="7:19" x14ac:dyDescent="0.3">
      <c r="G86" s="223"/>
      <c r="Q86" s="1"/>
    </row>
    <row r="87" spans="7:19" x14ac:dyDescent="0.3">
      <c r="G87" s="223"/>
      <c r="Q87" s="1"/>
    </row>
    <row r="88" spans="7:19" x14ac:dyDescent="0.3">
      <c r="G88" s="223"/>
      <c r="Q88" s="1"/>
    </row>
    <row r="89" spans="7:19" s="2" customFormat="1" x14ac:dyDescent="0.3">
      <c r="G89" s="223"/>
      <c r="H89" s="1"/>
      <c r="I89" s="1"/>
      <c r="J89" s="1"/>
      <c r="K89" s="1"/>
      <c r="L89" s="1"/>
      <c r="M89" s="1"/>
    </row>
    <row r="90" spans="7:19" s="2" customFormat="1" x14ac:dyDescent="0.3">
      <c r="G90" s="1"/>
      <c r="H90" s="1"/>
      <c r="I90" s="1"/>
      <c r="J90" s="1"/>
      <c r="K90" s="1"/>
      <c r="L90" s="1"/>
      <c r="M90" s="1"/>
    </row>
    <row r="91" spans="7:19" s="2" customFormat="1" x14ac:dyDescent="0.3">
      <c r="G91" s="1"/>
      <c r="H91" s="1"/>
      <c r="I91" s="1"/>
      <c r="J91" s="1"/>
      <c r="K91" s="1"/>
      <c r="L91" s="1"/>
      <c r="M91" s="1"/>
    </row>
    <row r="92" spans="7:19" s="2" customFormat="1" x14ac:dyDescent="0.3">
      <c r="G92" s="1"/>
      <c r="H92" s="1"/>
      <c r="I92" s="1"/>
      <c r="J92" s="1"/>
      <c r="K92" s="1"/>
      <c r="L92" s="1"/>
      <c r="M92" s="1"/>
      <c r="N92" s="107"/>
      <c r="O92" s="202"/>
      <c r="P92" s="202"/>
      <c r="Q92" s="107"/>
      <c r="S92" s="252"/>
    </row>
    <row r="93" spans="7:19" s="2" customFormat="1" x14ac:dyDescent="0.3">
      <c r="G93" s="1"/>
      <c r="H93" s="1"/>
      <c r="I93" s="1"/>
      <c r="J93" s="1"/>
      <c r="K93" s="1"/>
      <c r="L93" s="1"/>
      <c r="M93" s="1"/>
      <c r="N93" s="107"/>
      <c r="O93" s="202"/>
      <c r="P93" s="202"/>
      <c r="Q93" s="107"/>
    </row>
    <row r="94" spans="7:19" s="2" customFormat="1" x14ac:dyDescent="0.3">
      <c r="G94" s="1"/>
      <c r="H94" s="1"/>
      <c r="I94" s="1"/>
      <c r="J94" s="1"/>
      <c r="K94" s="1"/>
      <c r="L94" s="1"/>
      <c r="M94" s="1"/>
      <c r="N94" s="107"/>
      <c r="O94" s="202"/>
      <c r="P94" s="202"/>
      <c r="Q94" s="107"/>
    </row>
    <row r="95" spans="7:19" s="2" customFormat="1" x14ac:dyDescent="0.3">
      <c r="G95" s="1"/>
      <c r="H95" s="1"/>
      <c r="I95" s="1"/>
      <c r="J95" s="1"/>
      <c r="K95" s="1"/>
      <c r="L95" s="1"/>
      <c r="M95" s="1"/>
      <c r="N95" s="107"/>
      <c r="O95" s="253"/>
      <c r="P95" s="253"/>
      <c r="Q95" s="107"/>
    </row>
    <row r="96" spans="7:19" s="2" customFormat="1" x14ac:dyDescent="0.3">
      <c r="G96" s="1"/>
      <c r="H96" s="1"/>
      <c r="I96" s="1"/>
      <c r="J96" s="1"/>
      <c r="K96" s="1"/>
      <c r="L96" s="1"/>
      <c r="M96" s="1"/>
      <c r="N96" s="107"/>
      <c r="O96" s="202"/>
      <c r="P96" s="202"/>
      <c r="Q96" s="107"/>
    </row>
    <row r="97" spans="7:17" x14ac:dyDescent="0.3">
      <c r="N97" s="107"/>
      <c r="O97" s="202"/>
      <c r="P97" s="202"/>
      <c r="Q97" s="107"/>
    </row>
    <row r="98" spans="7:17" x14ac:dyDescent="0.3">
      <c r="H98" s="2"/>
      <c r="I98" s="2"/>
      <c r="J98" s="2"/>
      <c r="K98" s="2"/>
      <c r="L98" s="2"/>
      <c r="M98" s="2"/>
      <c r="N98" s="107"/>
      <c r="O98" s="202"/>
      <c r="P98" s="202"/>
      <c r="Q98" s="107"/>
    </row>
    <row r="99" spans="7:17" x14ac:dyDescent="0.3">
      <c r="H99" s="2"/>
      <c r="I99" s="2"/>
      <c r="J99" s="2"/>
      <c r="K99" s="2"/>
      <c r="L99" s="2"/>
      <c r="M99" s="2"/>
      <c r="N99" s="107"/>
      <c r="O99" s="202"/>
      <c r="P99" s="202"/>
      <c r="Q99" s="107"/>
    </row>
    <row r="100" spans="7:17" x14ac:dyDescent="0.3">
      <c r="G100" s="2"/>
      <c r="H100" s="2"/>
      <c r="I100" s="2"/>
      <c r="J100" s="2"/>
      <c r="K100" s="2"/>
      <c r="L100" s="2"/>
      <c r="M100" s="2"/>
      <c r="N100" s="107"/>
      <c r="O100" s="202"/>
      <c r="Q100" s="107"/>
    </row>
    <row r="101" spans="7:17" x14ac:dyDescent="0.3">
      <c r="G101" s="2"/>
      <c r="H101" s="2"/>
      <c r="I101" s="2"/>
      <c r="J101" s="2"/>
      <c r="K101" s="2"/>
      <c r="L101" s="2"/>
      <c r="M101" s="2"/>
      <c r="N101" s="107"/>
      <c r="O101" s="202"/>
      <c r="Q101" s="107"/>
    </row>
    <row r="102" spans="7:17" x14ac:dyDescent="0.3">
      <c r="G102" s="2"/>
      <c r="H102" s="2"/>
      <c r="I102" s="2"/>
      <c r="J102" s="2"/>
      <c r="K102" s="2"/>
      <c r="L102" s="2"/>
      <c r="M102" s="2"/>
      <c r="N102" s="107"/>
      <c r="O102" s="202"/>
      <c r="Q102" s="107"/>
    </row>
    <row r="103" spans="7:17" x14ac:dyDescent="0.3">
      <c r="G103" s="2"/>
      <c r="H103" s="2"/>
      <c r="I103" s="2"/>
      <c r="J103" s="2"/>
      <c r="K103" s="2"/>
      <c r="L103" s="2"/>
      <c r="M103" s="2"/>
      <c r="N103" s="107"/>
      <c r="O103" s="202"/>
      <c r="P103" s="202"/>
      <c r="Q103" s="107"/>
    </row>
    <row r="104" spans="7:17" x14ac:dyDescent="0.3">
      <c r="G104" s="2"/>
      <c r="H104" s="2"/>
      <c r="I104" s="2"/>
      <c r="J104" s="2"/>
      <c r="K104" s="2"/>
      <c r="L104" s="2"/>
      <c r="M104" s="2"/>
      <c r="N104" s="107"/>
      <c r="O104" s="202"/>
      <c r="Q104" s="107"/>
    </row>
    <row r="105" spans="7:17" x14ac:dyDescent="0.3">
      <c r="G105" s="2"/>
      <c r="H105" s="2"/>
      <c r="I105" s="2"/>
      <c r="J105" s="2"/>
      <c r="K105" s="2"/>
      <c r="L105" s="2"/>
      <c r="M105" s="2"/>
      <c r="N105" s="107"/>
      <c r="O105" s="202"/>
      <c r="Q105" s="107"/>
    </row>
    <row r="106" spans="7:17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7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7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7" x14ac:dyDescent="0.3">
      <c r="H109" s="2"/>
      <c r="I109" s="2"/>
      <c r="J109" s="2"/>
      <c r="K109" s="2"/>
      <c r="L109" s="2"/>
      <c r="M109" s="2"/>
      <c r="N109" s="107"/>
      <c r="O109" s="253"/>
      <c r="P109" s="254"/>
      <c r="Q109" s="107"/>
    </row>
    <row r="110" spans="7:17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7" x14ac:dyDescent="0.3">
      <c r="H111" s="2"/>
      <c r="I111" s="2"/>
      <c r="J111" s="2"/>
      <c r="K111" s="2"/>
      <c r="L111" s="2"/>
      <c r="M111" s="2"/>
      <c r="N111" s="107"/>
      <c r="O111" s="202"/>
    </row>
    <row r="112" spans="7:17" x14ac:dyDescent="0.3">
      <c r="H112" s="2"/>
      <c r="I112" s="2"/>
      <c r="J112" s="2"/>
      <c r="K112" s="2"/>
      <c r="L112" s="2"/>
      <c r="M112" s="2"/>
      <c r="N112" s="107"/>
      <c r="O112" s="202"/>
    </row>
    <row r="113" spans="7:16" x14ac:dyDescent="0.3">
      <c r="N113" s="107"/>
      <c r="O113" s="202"/>
    </row>
    <row r="114" spans="7:16" x14ac:dyDescent="0.3">
      <c r="N114" s="107"/>
      <c r="O114" s="202"/>
    </row>
    <row r="115" spans="7:16" x14ac:dyDescent="0.3">
      <c r="N115" s="107"/>
      <c r="O115" s="202"/>
    </row>
    <row r="116" spans="7:16" x14ac:dyDescent="0.3">
      <c r="N116" s="107"/>
    </row>
    <row r="117" spans="7:16" x14ac:dyDescent="0.3">
      <c r="N117" s="107"/>
    </row>
    <row r="118" spans="7:16" x14ac:dyDescent="0.3">
      <c r="N118" s="107"/>
    </row>
    <row r="119" spans="7:16" x14ac:dyDescent="0.3">
      <c r="N119" s="107"/>
    </row>
    <row r="120" spans="7:16" x14ac:dyDescent="0.3">
      <c r="N120" s="107"/>
    </row>
    <row r="121" spans="7:16" x14ac:dyDescent="0.3">
      <c r="N121" s="107"/>
    </row>
    <row r="122" spans="7:16" x14ac:dyDescent="0.3">
      <c r="N122" s="107"/>
      <c r="O122" s="254"/>
      <c r="P122" s="254"/>
    </row>
    <row r="123" spans="7:16" s="2" customFormat="1" x14ac:dyDescent="0.3">
      <c r="G123" s="1"/>
      <c r="H123" s="1"/>
      <c r="I123" s="1"/>
      <c r="J123" s="1"/>
      <c r="K123" s="1"/>
      <c r="L123" s="1"/>
      <c r="M123" s="1"/>
      <c r="N123" s="107"/>
      <c r="O123" s="1"/>
      <c r="P123" s="1"/>
    </row>
    <row r="124" spans="7:16" s="2" customFormat="1" x14ac:dyDescent="0.3">
      <c r="G124" s="1"/>
      <c r="H124" s="1"/>
      <c r="I124" s="1"/>
      <c r="J124" s="1"/>
      <c r="K124" s="1"/>
      <c r="L124" s="1"/>
      <c r="M124" s="1"/>
      <c r="N124" s="107"/>
      <c r="O124" s="1"/>
      <c r="P124" s="1"/>
    </row>
    <row r="125" spans="7:16" s="2" customFormat="1" x14ac:dyDescent="0.3">
      <c r="G125" s="1"/>
      <c r="H125" s="1"/>
      <c r="I125" s="1"/>
      <c r="J125" s="1"/>
      <c r="K125" s="1"/>
      <c r="L125" s="1"/>
      <c r="M125" s="1"/>
      <c r="N125" s="107"/>
      <c r="O125" s="1"/>
      <c r="P125" s="1"/>
    </row>
    <row r="126" spans="7:16" s="2" customFormat="1" x14ac:dyDescent="0.3">
      <c r="G126" s="1"/>
      <c r="H126" s="1"/>
      <c r="I126" s="1"/>
      <c r="J126" s="1"/>
      <c r="K126" s="1"/>
      <c r="L126" s="1"/>
      <c r="M126" s="1"/>
      <c r="N126" s="107"/>
      <c r="O126" s="1"/>
      <c r="P126" s="1"/>
    </row>
    <row r="127" spans="7:16" s="2" customFormat="1" x14ac:dyDescent="0.3">
      <c r="G127" s="1"/>
      <c r="H127" s="1"/>
      <c r="I127" s="1"/>
      <c r="J127" s="1"/>
      <c r="K127" s="1"/>
      <c r="L127" s="1"/>
      <c r="M127" s="1"/>
      <c r="N127" s="107"/>
      <c r="O127" s="1"/>
      <c r="P127" s="1"/>
    </row>
    <row r="128" spans="7:16" s="2" customFormat="1" x14ac:dyDescent="0.3">
      <c r="G128" s="1"/>
      <c r="H128" s="1"/>
      <c r="I128" s="1"/>
      <c r="J128" s="1"/>
      <c r="K128" s="1"/>
      <c r="L128" s="1"/>
      <c r="M128" s="1"/>
      <c r="N128" s="107"/>
      <c r="O128" s="1"/>
      <c r="P128" s="1"/>
    </row>
    <row r="129" spans="1:24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1:24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1:24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1:24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1:24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1:24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1:24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1:24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1:24" s="2" customFormat="1" x14ac:dyDescent="0.3">
      <c r="H137" s="1"/>
      <c r="I137" s="1"/>
      <c r="J137" s="1"/>
      <c r="K137" s="1"/>
      <c r="L137" s="1"/>
      <c r="M137" s="1"/>
      <c r="N137" s="1"/>
      <c r="O137" s="254"/>
      <c r="P137" s="254"/>
    </row>
    <row r="138" spans="1:24" s="2" customFormat="1" x14ac:dyDescent="0.3">
      <c r="A138" s="1"/>
      <c r="B138" s="1"/>
      <c r="C138" s="1"/>
      <c r="D138" s="1"/>
      <c r="E138" s="1"/>
      <c r="F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S138" s="1"/>
      <c r="T138" s="1"/>
      <c r="U138" s="1"/>
      <c r="V138" s="1"/>
      <c r="W138" s="1"/>
      <c r="X138" s="1"/>
    </row>
    <row r="139" spans="1:24" x14ac:dyDescent="0.3">
      <c r="G139" s="2"/>
    </row>
    <row r="140" spans="1:24" x14ac:dyDescent="0.3">
      <c r="G140" s="2"/>
    </row>
    <row r="141" spans="1:24" x14ac:dyDescent="0.3">
      <c r="G141" s="2"/>
    </row>
    <row r="142" spans="1:24" x14ac:dyDescent="0.3">
      <c r="G142" s="2"/>
    </row>
    <row r="143" spans="1:24" x14ac:dyDescent="0.3">
      <c r="G143" s="2"/>
    </row>
    <row r="144" spans="1:24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</sheetData>
  <autoFilter ref="A6:P6" xr:uid="{00000000-0009-0000-0000-000015000000}"/>
  <mergeCells count="64">
    <mergeCell ref="H43:L43"/>
    <mergeCell ref="M17:N17"/>
    <mergeCell ref="A16:B16"/>
    <mergeCell ref="I14:L14"/>
    <mergeCell ref="A17:B17"/>
    <mergeCell ref="M15:N15"/>
    <mergeCell ref="A23:B23"/>
    <mergeCell ref="I17:J17"/>
    <mergeCell ref="M22:O22"/>
    <mergeCell ref="A21:B21"/>
    <mergeCell ref="M35:P35"/>
    <mergeCell ref="M36:P37"/>
    <mergeCell ref="A25:B25"/>
    <mergeCell ref="I37:J37"/>
    <mergeCell ref="A34:H34"/>
    <mergeCell ref="M18:N18"/>
    <mergeCell ref="K1:M1"/>
    <mergeCell ref="I2:J2"/>
    <mergeCell ref="G5:J5"/>
    <mergeCell ref="L5:M5"/>
    <mergeCell ref="N5:P5"/>
    <mergeCell ref="A1:H3"/>
    <mergeCell ref="O2:P2"/>
    <mergeCell ref="I1:J1"/>
    <mergeCell ref="O3:P3"/>
    <mergeCell ref="K2:M2"/>
    <mergeCell ref="K3:M3"/>
    <mergeCell ref="I3:J3"/>
    <mergeCell ref="O1:P1"/>
    <mergeCell ref="C5:F5"/>
    <mergeCell ref="O4:P4"/>
    <mergeCell ref="M14:P14"/>
    <mergeCell ref="A15:B15"/>
    <mergeCell ref="I16:J16"/>
    <mergeCell ref="A27:B27"/>
    <mergeCell ref="K19:L19"/>
    <mergeCell ref="M25:N25"/>
    <mergeCell ref="K26:P26"/>
    <mergeCell ref="M20:O20"/>
    <mergeCell ref="A14:H14"/>
    <mergeCell ref="I18:L18"/>
    <mergeCell ref="I19:J19"/>
    <mergeCell ref="A22:B22"/>
    <mergeCell ref="M23:O23"/>
    <mergeCell ref="K20:L20"/>
    <mergeCell ref="A20:B20"/>
    <mergeCell ref="M21:O21"/>
    <mergeCell ref="M16:N16"/>
    <mergeCell ref="I15:J15"/>
    <mergeCell ref="A19:B19"/>
    <mergeCell ref="I20:J20"/>
    <mergeCell ref="M19:O19"/>
    <mergeCell ref="A18:B18"/>
    <mergeCell ref="M24:O24"/>
    <mergeCell ref="A26:B26"/>
    <mergeCell ref="A24:B24"/>
    <mergeCell ref="M38:N38"/>
    <mergeCell ref="M41:N41"/>
    <mergeCell ref="I31:J31"/>
    <mergeCell ref="A28:B28"/>
    <mergeCell ref="I26:J26"/>
    <mergeCell ref="O41:P41"/>
    <mergeCell ref="A33:B33"/>
    <mergeCell ref="A35:C3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143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45780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123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+'02'!K7</f>
        <v>2031.6819787502559</v>
      </c>
      <c r="C7" s="24">
        <f>L28+L29</f>
        <v>0</v>
      </c>
      <c r="D7" s="25"/>
      <c r="E7" s="25"/>
      <c r="F7" s="26">
        <f t="shared" ref="F7:F12" si="0">+B7+C7+D7+E7</f>
        <v>2031.6819787502559</v>
      </c>
      <c r="G7" s="27">
        <f>B48-H7</f>
        <v>24.692417739628038</v>
      </c>
      <c r="H7" s="24"/>
      <c r="I7" s="28"/>
      <c r="J7" s="23">
        <f t="shared" ref="J7:J12" si="1">+G7+H7+I7</f>
        <v>24.692417739628038</v>
      </c>
      <c r="K7" s="23">
        <f t="shared" ref="K7:K12" si="2">+F7-J7</f>
        <v>2006.9895610106278</v>
      </c>
      <c r="L7" s="29">
        <f>+'02'!M7</f>
        <v>2031.6819787502559</v>
      </c>
      <c r="M7" s="30">
        <v>2006.9895610106278</v>
      </c>
      <c r="N7" s="26">
        <f t="shared" ref="N7:N12" si="3">+G7</f>
        <v>24.692417739628038</v>
      </c>
      <c r="O7" s="26">
        <f>+C48</f>
        <v>6.99</v>
      </c>
      <c r="P7" s="31">
        <f t="shared" ref="P7:P12" si="4">+N7*O7</f>
        <v>172.6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+'02'!K8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+'02'!M8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+'02'!K9</f>
        <v>1203.3568253968253</v>
      </c>
      <c r="C9" s="24">
        <f>L30</f>
        <v>0</v>
      </c>
      <c r="D9" s="34"/>
      <c r="E9" s="25"/>
      <c r="F9" s="26">
        <f t="shared" si="0"/>
        <v>1203.3568253968253</v>
      </c>
      <c r="G9" s="27">
        <f>+B44-H9</f>
        <v>50.238095238095241</v>
      </c>
      <c r="H9" s="24">
        <f>+E9</f>
        <v>0</v>
      </c>
      <c r="I9" s="28"/>
      <c r="J9" s="23">
        <f t="shared" si="1"/>
        <v>50.238095238095241</v>
      </c>
      <c r="K9" s="23">
        <f t="shared" si="2"/>
        <v>1153.1187301587302</v>
      </c>
      <c r="L9" s="29">
        <f>+'02'!M9</f>
        <v>1200</v>
      </c>
      <c r="M9" s="30">
        <v>1150</v>
      </c>
      <c r="N9" s="26">
        <f t="shared" si="3"/>
        <v>50.238095238095241</v>
      </c>
      <c r="O9" s="26">
        <f>+C44</f>
        <v>15.75</v>
      </c>
      <c r="P9" s="31">
        <f t="shared" si="4"/>
        <v>791.25</v>
      </c>
      <c r="Q9" s="32">
        <f t="shared" si="5"/>
        <v>-3.118730158730159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+'02'!K10</f>
        <v>896.75268048606142</v>
      </c>
      <c r="C10" s="24">
        <f>L31</f>
        <v>0</v>
      </c>
      <c r="D10" s="34"/>
      <c r="E10" s="25"/>
      <c r="F10" s="26">
        <f t="shared" si="0"/>
        <v>896.75268048606142</v>
      </c>
      <c r="G10" s="27">
        <f>+B45-H10</f>
        <v>119.71265189421014</v>
      </c>
      <c r="H10" s="24">
        <f>+E10</f>
        <v>0</v>
      </c>
      <c r="I10" s="28"/>
      <c r="J10" s="23">
        <f t="shared" si="1"/>
        <v>119.71265189421014</v>
      </c>
      <c r="K10" s="23">
        <f t="shared" si="2"/>
        <v>777.0400285918513</v>
      </c>
      <c r="L10" s="29">
        <f>+'02'!M10</f>
        <v>895</v>
      </c>
      <c r="M10" s="30">
        <v>770</v>
      </c>
      <c r="N10" s="26">
        <f t="shared" si="3"/>
        <v>119.71265189421014</v>
      </c>
      <c r="O10" s="26">
        <f>+C45</f>
        <v>13.99</v>
      </c>
      <c r="P10" s="31">
        <f t="shared" si="4"/>
        <v>1674.78</v>
      </c>
      <c r="Q10" s="32">
        <f t="shared" si="5"/>
        <v>-7.0400285918512964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+'02'!K11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+'02'!M11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+'02'!K12</f>
        <v>791.54181558255891</v>
      </c>
      <c r="C12" s="40">
        <f>L33</f>
        <v>0</v>
      </c>
      <c r="D12" s="41"/>
      <c r="E12" s="42"/>
      <c r="F12" s="26">
        <f t="shared" si="0"/>
        <v>791.54181558255891</v>
      </c>
      <c r="G12" s="43">
        <f>+B47-H12</f>
        <v>126.88706218727661</v>
      </c>
      <c r="H12" s="40">
        <f>+E12</f>
        <v>0</v>
      </c>
      <c r="I12" s="28"/>
      <c r="J12" s="44">
        <f t="shared" si="1"/>
        <v>126.88706218727661</v>
      </c>
      <c r="K12" s="44">
        <f t="shared" si="2"/>
        <v>664.65475339528234</v>
      </c>
      <c r="L12" s="29">
        <f>+'02'!M12</f>
        <v>790</v>
      </c>
      <c r="M12" s="30">
        <v>665</v>
      </c>
      <c r="N12" s="42">
        <f t="shared" si="3"/>
        <v>126.88706218727661</v>
      </c>
      <c r="O12" s="42">
        <f>+C47</f>
        <v>13.99</v>
      </c>
      <c r="P12" s="45">
        <f t="shared" si="4"/>
        <v>1775.1499999999999</v>
      </c>
      <c r="Q12" s="32">
        <f t="shared" si="5"/>
        <v>0.34524660471765856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4923.3333002157024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4923.3333002157024</v>
      </c>
      <c r="G13" s="23">
        <f t="shared" si="6"/>
        <v>321.53022705921006</v>
      </c>
      <c r="H13" s="23">
        <f t="shared" si="6"/>
        <v>0</v>
      </c>
      <c r="I13" s="23">
        <f t="shared" si="6"/>
        <v>0</v>
      </c>
      <c r="J13" s="23">
        <f t="shared" si="6"/>
        <v>321.53022705921006</v>
      </c>
      <c r="K13" s="23">
        <f t="shared" si="6"/>
        <v>4601.8030731564913</v>
      </c>
      <c r="L13" s="29">
        <f t="shared" si="6"/>
        <v>4916.6819787502554</v>
      </c>
      <c r="M13" s="23">
        <f t="shared" si="6"/>
        <v>4591.9895610106278</v>
      </c>
      <c r="N13" s="23">
        <f t="shared" si="6"/>
        <v>321.53022705921006</v>
      </c>
      <c r="O13" s="23"/>
      <c r="P13" s="23">
        <f>SUM(P7:P12)</f>
        <v>4413.78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321.53022705921006</v>
      </c>
      <c r="P16" s="65">
        <f>+P13</f>
        <v>4413.78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1511.7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0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0.26953000000003158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>
        <f>13.153*13.99</f>
        <v>184.01047</v>
      </c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184.01047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5162.1662499999993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2717.7999999999997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56</v>
      </c>
      <c r="P30" s="98">
        <f>12888.69/1050</f>
        <v>12.274942857142857</v>
      </c>
      <c r="Q30" s="95">
        <f>+O9-P30</f>
        <v>3.4750571428571426</v>
      </c>
      <c r="S30" s="48">
        <f t="shared" si="8"/>
        <v>3.118730158730159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11468.46/990</f>
        <v>11.58430303030303</v>
      </c>
      <c r="Q31" s="95">
        <f>+O10-P31</f>
        <v>2.4056969696969706</v>
      </c>
      <c r="S31" s="48">
        <f t="shared" si="8"/>
        <v>7.0400285918512964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 t="s">
        <v>56</v>
      </c>
      <c r="P33" s="98">
        <f>13530.52/1150</f>
        <v>11.765669565217392</v>
      </c>
      <c r="Q33" s="95">
        <f>+O12-P33</f>
        <v>2.2243304347826083</v>
      </c>
      <c r="R33" s="1" t="s">
        <v>55</v>
      </c>
      <c r="S33" s="48">
        <f t="shared" si="8"/>
        <v>-0.34524660471765856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45780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2545.1999999999998</v>
      </c>
      <c r="M36" s="321" t="s">
        <v>142</v>
      </c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1346.7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172.6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165</v>
      </c>
      <c r="C38" s="134">
        <v>0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45780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2545.1999999999998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1511.7</v>
      </c>
      <c r="C40" s="150">
        <f>SUM(C37:C39)</f>
        <v>0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2717.7999999999997</v>
      </c>
      <c r="M40" s="158" t="s">
        <v>0</v>
      </c>
      <c r="N40" s="159" t="s">
        <v>29</v>
      </c>
      <c r="O40" s="160">
        <f>+L37</f>
        <v>172.6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1511.7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2717.7999999999997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50.238095238095241</v>
      </c>
      <c r="C44" s="181">
        <v>15.75</v>
      </c>
      <c r="D44" s="182">
        <v>791.25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119.71265189421014</v>
      </c>
      <c r="C45" s="181">
        <v>13.99</v>
      </c>
      <c r="D45" s="182">
        <v>1674.78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126.88706218727661</v>
      </c>
      <c r="C47" s="181">
        <v>13.99</v>
      </c>
      <c r="D47" s="182">
        <v>1775.1499999999999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24.692417739628038</v>
      </c>
      <c r="C48" s="181">
        <v>6.99</v>
      </c>
      <c r="D48" s="182">
        <v>172.6</v>
      </c>
      <c r="E48" s="183"/>
      <c r="F48" s="183"/>
      <c r="G48" s="178"/>
      <c r="H48" s="209">
        <f>(L36+B40+P23+P24+P22+L38)-SUM(D44:D47)+(P20+P21)</f>
        <v>-0.26952999999957683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321.53022705921001</v>
      </c>
      <c r="C49" s="212"/>
      <c r="D49" s="213">
        <f>SUM(D44:D48)</f>
        <v>4413.78</v>
      </c>
      <c r="E49" s="213">
        <v>4413.78</v>
      </c>
      <c r="F49" s="183"/>
      <c r="G49" s="178"/>
      <c r="H49" s="214">
        <f>(C38+L37+L39)-D48</f>
        <v>0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232">
        <f>SUM(G43:G53)</f>
        <v>0</v>
      </c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222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222"/>
      <c r="H57" s="223"/>
      <c r="I57" s="223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222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222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222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222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222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222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241"/>
      <c r="N64" s="107"/>
      <c r="O64" s="107"/>
      <c r="P64" s="107"/>
      <c r="Q64" s="1"/>
    </row>
    <row r="65" spans="1:20" x14ac:dyDescent="0.3">
      <c r="A65" s="234"/>
      <c r="D65" s="107"/>
      <c r="F65" s="244"/>
      <c r="G65" s="241"/>
      <c r="N65" s="107"/>
      <c r="O65" s="107"/>
      <c r="P65" s="107"/>
      <c r="Q65" s="1"/>
    </row>
    <row r="66" spans="1:20" x14ac:dyDescent="0.3">
      <c r="A66" s="234"/>
      <c r="F66" s="244"/>
      <c r="G66" s="241"/>
      <c r="N66" s="107"/>
      <c r="O66" s="107"/>
      <c r="P66" s="107"/>
      <c r="Q66" s="1"/>
    </row>
    <row r="67" spans="1:20" x14ac:dyDescent="0.3">
      <c r="A67" s="234">
        <v>84</v>
      </c>
      <c r="F67" s="246"/>
      <c r="G67" s="241"/>
      <c r="N67" s="107"/>
      <c r="Q67" s="1"/>
    </row>
    <row r="68" spans="1:20" x14ac:dyDescent="0.3">
      <c r="A68" s="239" t="s">
        <v>1</v>
      </c>
      <c r="F68" s="244"/>
      <c r="G68" s="241"/>
      <c r="N68" s="107"/>
      <c r="Q68" s="1"/>
    </row>
    <row r="69" spans="1:20" x14ac:dyDescent="0.3">
      <c r="A69" s="84"/>
      <c r="F69" s="242"/>
      <c r="G69" s="241"/>
      <c r="N69" s="107"/>
      <c r="Q69" s="1"/>
    </row>
    <row r="70" spans="1:20" x14ac:dyDescent="0.3">
      <c r="A70" s="234">
        <v>95</v>
      </c>
      <c r="F70" s="244"/>
      <c r="G70" s="241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41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84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84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84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9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84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84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84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9"/>
      <c r="N79" s="107"/>
      <c r="O79" s="107"/>
      <c r="P79" s="107"/>
      <c r="Q79" s="107"/>
      <c r="R79" s="197"/>
    </row>
    <row r="80" spans="1:20" x14ac:dyDescent="0.3">
      <c r="A80" s="84"/>
      <c r="F80" s="250"/>
      <c r="G80" s="223"/>
      <c r="N80" s="107"/>
      <c r="O80" s="107"/>
      <c r="P80" s="107"/>
      <c r="Q80" s="107"/>
      <c r="R80" s="197"/>
    </row>
    <row r="81" spans="1:19" x14ac:dyDescent="0.3">
      <c r="A81" s="84"/>
      <c r="F81" s="235"/>
      <c r="G81" s="223"/>
      <c r="N81" s="107"/>
      <c r="O81" s="107"/>
      <c r="P81" s="107"/>
      <c r="Q81" s="107"/>
      <c r="R81" s="197"/>
    </row>
    <row r="82" spans="1:19" x14ac:dyDescent="0.3">
      <c r="A82" s="84"/>
      <c r="F82" s="237"/>
      <c r="G82" s="223"/>
      <c r="N82" s="107"/>
      <c r="O82" s="107"/>
      <c r="P82" s="107"/>
      <c r="Q82" s="107"/>
      <c r="R82" s="197"/>
    </row>
    <row r="83" spans="1:19" x14ac:dyDescent="0.3">
      <c r="A83" s="84"/>
      <c r="F83" s="237"/>
      <c r="G83" s="223"/>
      <c r="N83" s="107"/>
      <c r="O83" s="107"/>
      <c r="P83" s="107"/>
      <c r="Q83" s="107"/>
      <c r="R83" s="197"/>
    </row>
    <row r="84" spans="1:19" x14ac:dyDescent="0.3">
      <c r="A84" s="84"/>
      <c r="F84" s="223"/>
      <c r="G84" s="223"/>
      <c r="N84" s="107"/>
      <c r="O84" s="107"/>
      <c r="P84" s="107"/>
      <c r="Q84" s="107"/>
    </row>
    <row r="85" spans="1:19" x14ac:dyDescent="0.3">
      <c r="N85" s="107"/>
      <c r="O85" s="107"/>
      <c r="P85" s="107"/>
      <c r="Q85" s="107"/>
    </row>
    <row r="86" spans="1:19" x14ac:dyDescent="0.3">
      <c r="N86" s="107"/>
      <c r="O86" s="202"/>
      <c r="P86" s="202"/>
      <c r="Q86" s="107"/>
    </row>
    <row r="87" spans="1:19" x14ac:dyDescent="0.3">
      <c r="N87" s="107"/>
      <c r="O87" s="202"/>
      <c r="P87" s="202"/>
      <c r="Q87" s="107"/>
    </row>
    <row r="88" spans="1:19" x14ac:dyDescent="0.3">
      <c r="N88" s="107"/>
      <c r="O88" s="202"/>
      <c r="P88" s="202"/>
      <c r="Q88" s="107"/>
    </row>
    <row r="89" spans="1:19" x14ac:dyDescent="0.3">
      <c r="N89" s="107"/>
      <c r="O89" s="202"/>
      <c r="P89" s="202"/>
      <c r="Q89" s="107"/>
    </row>
    <row r="90" spans="1:19" x14ac:dyDescent="0.3">
      <c r="N90" s="107"/>
      <c r="O90" s="202"/>
      <c r="P90" s="202"/>
      <c r="Q90" s="107"/>
    </row>
    <row r="91" spans="1:19" x14ac:dyDescent="0.3">
      <c r="N91" s="107"/>
      <c r="O91" s="202"/>
      <c r="P91" s="202"/>
      <c r="Q91" s="107"/>
      <c r="S91" s="251"/>
    </row>
    <row r="92" spans="1:19" x14ac:dyDescent="0.3">
      <c r="Q92" s="1"/>
    </row>
    <row r="93" spans="1:19" x14ac:dyDescent="0.3">
      <c r="Q93" s="1"/>
    </row>
    <row r="94" spans="1:19" x14ac:dyDescent="0.3">
      <c r="Q94" s="1"/>
    </row>
    <row r="95" spans="1:19" s="2" customFormat="1" x14ac:dyDescent="0.3">
      <c r="H95" s="1"/>
      <c r="I95" s="1"/>
      <c r="J95" s="1"/>
      <c r="K95" s="1"/>
      <c r="L95" s="1"/>
      <c r="M95" s="1"/>
    </row>
    <row r="96" spans="1:19" s="2" customFormat="1" x14ac:dyDescent="0.3">
      <c r="H96" s="1"/>
      <c r="I96" s="1"/>
      <c r="J96" s="1"/>
      <c r="K96" s="1"/>
      <c r="L96" s="1"/>
      <c r="M96" s="1"/>
    </row>
    <row r="97" spans="8:19" s="2" customFormat="1" x14ac:dyDescent="0.3">
      <c r="H97" s="1"/>
      <c r="I97" s="1"/>
      <c r="J97" s="1"/>
      <c r="K97" s="1"/>
      <c r="L97" s="1"/>
      <c r="M97" s="1"/>
    </row>
    <row r="98" spans="8:19" s="2" customFormat="1" x14ac:dyDescent="0.3"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8:19" s="2" customFormat="1" x14ac:dyDescent="0.3"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8:19" s="2" customFormat="1" x14ac:dyDescent="0.3"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8:19" s="2" customFormat="1" x14ac:dyDescent="0.3"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8:19" s="2" customFormat="1" x14ac:dyDescent="0.3"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8:19" x14ac:dyDescent="0.3">
      <c r="N103" s="107"/>
      <c r="O103" s="202"/>
      <c r="P103" s="202"/>
      <c r="Q103" s="107"/>
    </row>
    <row r="104" spans="8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8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8:19" x14ac:dyDescent="0.3">
      <c r="H106" s="2"/>
      <c r="I106" s="2"/>
      <c r="J106" s="2"/>
      <c r="K106" s="2"/>
      <c r="L106" s="2"/>
      <c r="M106" s="2"/>
      <c r="N106" s="107"/>
      <c r="O106" s="202"/>
      <c r="Q106" s="107"/>
    </row>
    <row r="107" spans="8:19" x14ac:dyDescent="0.3">
      <c r="H107" s="2"/>
      <c r="I107" s="2"/>
      <c r="J107" s="2"/>
      <c r="K107" s="2"/>
      <c r="L107" s="2"/>
      <c r="M107" s="2"/>
      <c r="N107" s="107"/>
      <c r="O107" s="202"/>
      <c r="Q107" s="107"/>
    </row>
    <row r="108" spans="8:19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8:19" x14ac:dyDescent="0.3"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8:19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8:19" x14ac:dyDescent="0.3">
      <c r="H111" s="2"/>
      <c r="I111" s="2"/>
      <c r="J111" s="2"/>
      <c r="K111" s="2"/>
      <c r="L111" s="2"/>
      <c r="M111" s="2"/>
      <c r="N111" s="107"/>
      <c r="O111" s="202"/>
      <c r="Q111" s="107"/>
    </row>
    <row r="112" spans="8:19" x14ac:dyDescent="0.3">
      <c r="H112" s="2"/>
      <c r="I112" s="2"/>
      <c r="J112" s="2"/>
      <c r="K112" s="2"/>
      <c r="L112" s="2"/>
      <c r="M112" s="2"/>
      <c r="N112" s="107"/>
      <c r="O112" s="202"/>
      <c r="Q112" s="107"/>
    </row>
    <row r="113" spans="8:17" x14ac:dyDescent="0.3">
      <c r="H113" s="2"/>
      <c r="I113" s="2"/>
      <c r="J113" s="2"/>
      <c r="K113" s="2"/>
      <c r="L113" s="2"/>
      <c r="M113" s="2"/>
      <c r="N113" s="107"/>
      <c r="O113" s="202"/>
      <c r="Q113" s="107"/>
    </row>
    <row r="114" spans="8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8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8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8:17" x14ac:dyDescent="0.3">
      <c r="H117" s="2"/>
      <c r="I117" s="2"/>
      <c r="J117" s="2"/>
      <c r="K117" s="2"/>
      <c r="L117" s="2"/>
      <c r="M117" s="2"/>
      <c r="N117" s="107"/>
      <c r="O117" s="202"/>
    </row>
    <row r="118" spans="8:17" x14ac:dyDescent="0.3">
      <c r="H118" s="2"/>
      <c r="I118" s="2"/>
      <c r="J118" s="2"/>
      <c r="K118" s="2"/>
      <c r="L118" s="2"/>
      <c r="M118" s="2"/>
      <c r="N118" s="107"/>
      <c r="O118" s="202"/>
    </row>
    <row r="119" spans="8:17" x14ac:dyDescent="0.3">
      <c r="N119" s="107"/>
      <c r="O119" s="202"/>
    </row>
    <row r="120" spans="8:17" x14ac:dyDescent="0.3">
      <c r="N120" s="107"/>
      <c r="O120" s="202"/>
    </row>
    <row r="121" spans="8:17" x14ac:dyDescent="0.3">
      <c r="N121" s="107"/>
      <c r="O121" s="202"/>
    </row>
    <row r="122" spans="8:17" x14ac:dyDescent="0.3">
      <c r="N122" s="107"/>
    </row>
    <row r="123" spans="8:17" x14ac:dyDescent="0.3">
      <c r="N123" s="107"/>
    </row>
    <row r="124" spans="8:17" x14ac:dyDescent="0.3">
      <c r="N124" s="107"/>
    </row>
    <row r="125" spans="8:17" x14ac:dyDescent="0.3">
      <c r="N125" s="107"/>
    </row>
    <row r="126" spans="8:17" x14ac:dyDescent="0.3">
      <c r="N126" s="107"/>
    </row>
    <row r="127" spans="8:17" x14ac:dyDescent="0.3">
      <c r="N127" s="107"/>
    </row>
    <row r="128" spans="8:17" x14ac:dyDescent="0.3">
      <c r="N128" s="107"/>
      <c r="O128" s="254"/>
      <c r="P128" s="254"/>
    </row>
    <row r="129" spans="8:16" s="2" customFormat="1" x14ac:dyDescent="0.3">
      <c r="H129" s="1"/>
      <c r="I129" s="1"/>
      <c r="J129" s="1"/>
      <c r="K129" s="1"/>
      <c r="L129" s="1"/>
      <c r="M129" s="1"/>
      <c r="N129" s="107"/>
      <c r="O129" s="1"/>
      <c r="P129" s="1"/>
    </row>
    <row r="130" spans="8:16" s="2" customFormat="1" x14ac:dyDescent="0.3">
      <c r="H130" s="1"/>
      <c r="I130" s="1"/>
      <c r="J130" s="1"/>
      <c r="K130" s="1"/>
      <c r="L130" s="1"/>
      <c r="M130" s="1"/>
      <c r="N130" s="107"/>
      <c r="O130" s="1"/>
      <c r="P130" s="1"/>
    </row>
    <row r="131" spans="8:16" s="2" customFormat="1" x14ac:dyDescent="0.3">
      <c r="H131" s="1"/>
      <c r="I131" s="1"/>
      <c r="J131" s="1"/>
      <c r="K131" s="1"/>
      <c r="L131" s="1"/>
      <c r="M131" s="1"/>
      <c r="N131" s="107"/>
      <c r="O131" s="1"/>
      <c r="P131" s="1"/>
    </row>
    <row r="132" spans="8:16" s="2" customFormat="1" x14ac:dyDescent="0.3">
      <c r="H132" s="1"/>
      <c r="I132" s="1"/>
      <c r="J132" s="1"/>
      <c r="K132" s="1"/>
      <c r="L132" s="1"/>
      <c r="M132" s="1"/>
      <c r="N132" s="107"/>
      <c r="O132" s="1"/>
      <c r="P132" s="1"/>
    </row>
    <row r="133" spans="8:16" s="2" customFormat="1" x14ac:dyDescent="0.3">
      <c r="H133" s="1"/>
      <c r="I133" s="1"/>
      <c r="J133" s="1"/>
      <c r="K133" s="1"/>
      <c r="L133" s="1"/>
      <c r="M133" s="1"/>
      <c r="N133" s="107"/>
      <c r="O133" s="1"/>
      <c r="P133" s="1"/>
    </row>
    <row r="134" spans="8:16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8:16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8:16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8:16" s="2" customFormat="1" x14ac:dyDescent="0.3">
      <c r="H137" s="1"/>
      <c r="I137" s="1"/>
      <c r="J137" s="1"/>
      <c r="K137" s="1"/>
      <c r="L137" s="1"/>
      <c r="M137" s="1"/>
      <c r="N137" s="107"/>
      <c r="O137" s="1"/>
      <c r="P137" s="1"/>
    </row>
    <row r="138" spans="8:16" s="2" customFormat="1" x14ac:dyDescent="0.3">
      <c r="H138" s="1"/>
      <c r="I138" s="1"/>
      <c r="J138" s="1"/>
      <c r="K138" s="1"/>
      <c r="L138" s="1"/>
      <c r="M138" s="1"/>
      <c r="N138" s="107"/>
      <c r="O138" s="1"/>
      <c r="P138" s="1"/>
    </row>
    <row r="139" spans="8:16" s="2" customFormat="1" x14ac:dyDescent="0.3">
      <c r="H139" s="1"/>
      <c r="I139" s="1"/>
      <c r="J139" s="1"/>
      <c r="K139" s="1"/>
      <c r="L139" s="1"/>
      <c r="M139" s="1"/>
      <c r="N139" s="107"/>
      <c r="O139" s="1"/>
      <c r="P139" s="1"/>
    </row>
    <row r="140" spans="8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8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8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8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</sheetData>
  <autoFilter ref="A6:P6" xr:uid="{00000000-0009-0000-0000-000002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143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45781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124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+'03'!K7</f>
        <v>2006.9895610106278</v>
      </c>
      <c r="C7" s="24">
        <f>L28+L29</f>
        <v>0</v>
      </c>
      <c r="D7" s="25"/>
      <c r="E7" s="25"/>
      <c r="F7" s="26">
        <f t="shared" ref="F7:F12" si="0">+B7+C7+D7+E7</f>
        <v>2006.9895610106278</v>
      </c>
      <c r="G7" s="27">
        <f>B48-H7</f>
        <v>155.89842632331903</v>
      </c>
      <c r="H7" s="24"/>
      <c r="I7" s="28"/>
      <c r="J7" s="23">
        <f t="shared" ref="J7:J12" si="1">+G7+H7+I7</f>
        <v>155.89842632331903</v>
      </c>
      <c r="K7" s="23">
        <f t="shared" ref="K7:K12" si="2">+F7-J7</f>
        <v>1851.0911346873088</v>
      </c>
      <c r="L7" s="29">
        <f>+'03'!M7</f>
        <v>2006.9895610106278</v>
      </c>
      <c r="M7" s="30">
        <v>1851.0911346873088</v>
      </c>
      <c r="N7" s="26">
        <f t="shared" ref="N7:N12" si="3">+G7</f>
        <v>155.89842632331903</v>
      </c>
      <c r="O7" s="26">
        <f>+C48</f>
        <v>6.99</v>
      </c>
      <c r="P7" s="31">
        <f t="shared" ref="P7:P12" si="4">+N7*O7</f>
        <v>1089.73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+'03'!K8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+'03'!M8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+'03'!K9</f>
        <v>1153.1187301587302</v>
      </c>
      <c r="C9" s="24">
        <f>L30</f>
        <v>0</v>
      </c>
      <c r="D9" s="34"/>
      <c r="E9" s="25"/>
      <c r="F9" s="26">
        <f t="shared" si="0"/>
        <v>1153.1187301587302</v>
      </c>
      <c r="G9" s="27">
        <f>+B44-H9</f>
        <v>56.364444444444445</v>
      </c>
      <c r="H9" s="24">
        <f>+E9</f>
        <v>0</v>
      </c>
      <c r="I9" s="28"/>
      <c r="J9" s="23">
        <f t="shared" si="1"/>
        <v>56.364444444444445</v>
      </c>
      <c r="K9" s="23">
        <f t="shared" si="2"/>
        <v>1096.7542857142857</v>
      </c>
      <c r="L9" s="29">
        <f>+'03'!M9</f>
        <v>1150</v>
      </c>
      <c r="M9" s="30">
        <v>1095</v>
      </c>
      <c r="N9" s="26">
        <f t="shared" si="3"/>
        <v>56.364444444444445</v>
      </c>
      <c r="O9" s="26">
        <f>+C44</f>
        <v>15.75</v>
      </c>
      <c r="P9" s="31">
        <f t="shared" si="4"/>
        <v>887.74</v>
      </c>
      <c r="Q9" s="32">
        <f t="shared" si="5"/>
        <v>-1.7542857142857429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+'03'!K10</f>
        <v>777.0400285918513</v>
      </c>
      <c r="C10" s="24">
        <f>L31</f>
        <v>0</v>
      </c>
      <c r="D10" s="34"/>
      <c r="E10" s="25"/>
      <c r="F10" s="26">
        <f t="shared" si="0"/>
        <v>777.0400285918513</v>
      </c>
      <c r="G10" s="27">
        <f>+B45-H10</f>
        <v>63.586132952108642</v>
      </c>
      <c r="H10" s="24">
        <f>+E10</f>
        <v>0</v>
      </c>
      <c r="I10" s="28"/>
      <c r="J10" s="23">
        <f t="shared" si="1"/>
        <v>63.586132952108642</v>
      </c>
      <c r="K10" s="23">
        <f t="shared" si="2"/>
        <v>713.45389563974265</v>
      </c>
      <c r="L10" s="29">
        <f>+'03'!M10</f>
        <v>770</v>
      </c>
      <c r="M10" s="30">
        <v>710</v>
      </c>
      <c r="N10" s="26">
        <f t="shared" si="3"/>
        <v>63.586132952108642</v>
      </c>
      <c r="O10" s="26">
        <f>+C45</f>
        <v>13.99</v>
      </c>
      <c r="P10" s="31">
        <f t="shared" si="4"/>
        <v>889.56999999999994</v>
      </c>
      <c r="Q10" s="32">
        <f t="shared" si="5"/>
        <v>-3.4538956397426546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+'03'!K11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+'03'!M11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+'03'!K12</f>
        <v>664.65475339528234</v>
      </c>
      <c r="C12" s="40">
        <f>L33</f>
        <v>0</v>
      </c>
      <c r="D12" s="41"/>
      <c r="E12" s="42"/>
      <c r="F12" s="26">
        <f t="shared" si="0"/>
        <v>664.65475339528234</v>
      </c>
      <c r="G12" s="43">
        <f>+B47-H12</f>
        <v>53.969978556111506</v>
      </c>
      <c r="H12" s="40">
        <f>+E12</f>
        <v>0</v>
      </c>
      <c r="I12" s="28"/>
      <c r="J12" s="44">
        <f t="shared" si="1"/>
        <v>53.969978556111506</v>
      </c>
      <c r="K12" s="44">
        <f t="shared" si="2"/>
        <v>610.68477483917081</v>
      </c>
      <c r="L12" s="29">
        <f>+'03'!M12</f>
        <v>665</v>
      </c>
      <c r="M12" s="30">
        <v>610</v>
      </c>
      <c r="N12" s="42">
        <f t="shared" si="3"/>
        <v>53.969978556111506</v>
      </c>
      <c r="O12" s="42">
        <f>+C47</f>
        <v>13.99</v>
      </c>
      <c r="P12" s="45">
        <f t="shared" si="4"/>
        <v>755.04</v>
      </c>
      <c r="Q12" s="32">
        <f t="shared" si="5"/>
        <v>-0.68477483917081372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4601.8030731564913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4601.8030731564913</v>
      </c>
      <c r="G13" s="23">
        <f t="shared" si="6"/>
        <v>329.81898227598367</v>
      </c>
      <c r="H13" s="23">
        <f t="shared" si="6"/>
        <v>0</v>
      </c>
      <c r="I13" s="23">
        <f t="shared" si="6"/>
        <v>0</v>
      </c>
      <c r="J13" s="23">
        <f t="shared" si="6"/>
        <v>329.81898227598367</v>
      </c>
      <c r="K13" s="23">
        <f t="shared" si="6"/>
        <v>4271.9840908805081</v>
      </c>
      <c r="L13" s="29">
        <f t="shared" si="6"/>
        <v>4591.9895610106278</v>
      </c>
      <c r="M13" s="23">
        <f t="shared" si="6"/>
        <v>4266.091134687309</v>
      </c>
      <c r="N13" s="23">
        <f t="shared" si="6"/>
        <v>329.81898227598367</v>
      </c>
      <c r="O13" s="23"/>
      <c r="P13" s="23">
        <f>SUM(P7:P12)</f>
        <v>3622.08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329.81898227598367</v>
      </c>
      <c r="P16" s="65">
        <f>+P13</f>
        <v>3622.08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1353.6799999999998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229.02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112.57999999999993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1926.8000000000002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56</v>
      </c>
      <c r="P30" s="98">
        <f>12888.69/1050</f>
        <v>12.274942857142857</v>
      </c>
      <c r="Q30" s="95">
        <f>+O9-P30</f>
        <v>3.4750571428571426</v>
      </c>
      <c r="S30" s="48">
        <f t="shared" si="8"/>
        <v>1.7542857142857429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11468.46/990</f>
        <v>11.58430303030303</v>
      </c>
      <c r="Q31" s="95">
        <f>+O10-P31</f>
        <v>2.4056969696969706</v>
      </c>
      <c r="S31" s="48">
        <f t="shared" si="8"/>
        <v>3.4538956397426546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 t="s">
        <v>56</v>
      </c>
      <c r="P33" s="98">
        <f>13530.52/1150</f>
        <v>11.765669565217392</v>
      </c>
      <c r="Q33" s="95">
        <f>+O12-P33</f>
        <v>2.2243304347826083</v>
      </c>
      <c r="R33" s="1" t="s">
        <v>55</v>
      </c>
      <c r="S33" s="48">
        <f t="shared" si="8"/>
        <v>0.68477483917081372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45781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v>1178.6000000000001</v>
      </c>
      <c r="M36" s="321" t="s">
        <v>141</v>
      </c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933.66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748.2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420.02</v>
      </c>
      <c r="C38" s="134">
        <v>229.02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45781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1178.6000000000001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1353.6799999999998</v>
      </c>
      <c r="C40" s="150">
        <f>SUM(C37:C39)</f>
        <v>229.02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1926.8000000000002</v>
      </c>
      <c r="M40" s="158" t="s">
        <v>0</v>
      </c>
      <c r="N40" s="159" t="s">
        <v>29</v>
      </c>
      <c r="O40" s="160">
        <f>+L37</f>
        <v>748.2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1582.6999999999998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1926.8000000000002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56.364444444444445</v>
      </c>
      <c r="C44" s="181">
        <v>15.75</v>
      </c>
      <c r="D44" s="182">
        <v>887.74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63.586132952108642</v>
      </c>
      <c r="C45" s="181">
        <v>13.99</v>
      </c>
      <c r="D45" s="182">
        <v>889.56999999999994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53.969978556111506</v>
      </c>
      <c r="C47" s="181">
        <v>13.99</v>
      </c>
      <c r="D47" s="182">
        <v>755.04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155.89842632331903</v>
      </c>
      <c r="C48" s="181">
        <v>6.99</v>
      </c>
      <c r="D48" s="182">
        <v>1089.73</v>
      </c>
      <c r="E48" s="183"/>
      <c r="F48" s="183"/>
      <c r="G48" s="178"/>
      <c r="H48" s="209">
        <f>(L36+B40+P23+P24+P22+L38)-SUM(D44:D47)+(P20+P21)</f>
        <v>-7.0000000000163709E-2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329.81898227598361</v>
      </c>
      <c r="C49" s="212"/>
      <c r="D49" s="213">
        <f>SUM(D44:D48)</f>
        <v>3622.08</v>
      </c>
      <c r="E49" s="213">
        <v>3622.08</v>
      </c>
      <c r="F49" s="183"/>
      <c r="G49" s="178"/>
      <c r="H49" s="214">
        <f>(C38+L37+L39)-D48</f>
        <v>-112.50999999999999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232">
        <f>SUM(G43:G53)</f>
        <v>0</v>
      </c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222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222"/>
      <c r="H57" s="223"/>
      <c r="I57" s="223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222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222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222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222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222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222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241"/>
      <c r="N64" s="107"/>
      <c r="O64" s="107"/>
      <c r="P64" s="107"/>
      <c r="Q64" s="1"/>
    </row>
    <row r="65" spans="1:20" x14ac:dyDescent="0.3">
      <c r="A65" s="234"/>
      <c r="D65" s="107"/>
      <c r="F65" s="244"/>
      <c r="G65" s="241"/>
      <c r="N65" s="107"/>
      <c r="O65" s="107"/>
      <c r="P65" s="107"/>
      <c r="Q65" s="1"/>
    </row>
    <row r="66" spans="1:20" x14ac:dyDescent="0.3">
      <c r="A66" s="234"/>
      <c r="F66" s="244"/>
      <c r="G66" s="241"/>
      <c r="N66" s="107"/>
      <c r="O66" s="107"/>
      <c r="P66" s="107"/>
      <c r="Q66" s="1"/>
    </row>
    <row r="67" spans="1:20" x14ac:dyDescent="0.3">
      <c r="A67" s="234">
        <v>84</v>
      </c>
      <c r="F67" s="246"/>
      <c r="G67" s="241"/>
      <c r="N67" s="107"/>
      <c r="Q67" s="1"/>
    </row>
    <row r="68" spans="1:20" x14ac:dyDescent="0.3">
      <c r="A68" s="239" t="s">
        <v>1</v>
      </c>
      <c r="F68" s="244"/>
      <c r="G68" s="241"/>
      <c r="N68" s="107"/>
      <c r="Q68" s="1"/>
    </row>
    <row r="69" spans="1:20" x14ac:dyDescent="0.3">
      <c r="A69" s="84"/>
      <c r="F69" s="242"/>
      <c r="G69" s="241"/>
      <c r="N69" s="107"/>
      <c r="Q69" s="1"/>
    </row>
    <row r="70" spans="1:20" x14ac:dyDescent="0.3">
      <c r="A70" s="234">
        <v>95</v>
      </c>
      <c r="F70" s="244"/>
      <c r="G70" s="241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41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84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84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84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9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84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84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84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9"/>
      <c r="N79" s="107"/>
      <c r="O79" s="107"/>
      <c r="P79" s="107"/>
      <c r="Q79" s="107"/>
      <c r="R79" s="197"/>
    </row>
    <row r="80" spans="1:20" x14ac:dyDescent="0.3">
      <c r="A80" s="84"/>
      <c r="F80" s="250"/>
      <c r="G80" s="223"/>
      <c r="N80" s="107"/>
      <c r="O80" s="107"/>
      <c r="P80" s="107"/>
      <c r="Q80" s="107"/>
      <c r="R80" s="197"/>
    </row>
    <row r="81" spans="1:19" x14ac:dyDescent="0.3">
      <c r="A81" s="84"/>
      <c r="F81" s="235"/>
      <c r="G81" s="223"/>
      <c r="N81" s="107"/>
      <c r="O81" s="107"/>
      <c r="P81" s="107"/>
      <c r="Q81" s="107"/>
      <c r="R81" s="197"/>
    </row>
    <row r="82" spans="1:19" x14ac:dyDescent="0.3">
      <c r="A82" s="84"/>
      <c r="F82" s="237"/>
      <c r="G82" s="223"/>
      <c r="N82" s="107"/>
      <c r="O82" s="107"/>
      <c r="P82" s="107"/>
      <c r="Q82" s="107"/>
      <c r="R82" s="197"/>
    </row>
    <row r="83" spans="1:19" x14ac:dyDescent="0.3">
      <c r="A83" s="84"/>
      <c r="F83" s="237"/>
      <c r="G83" s="223"/>
      <c r="N83" s="107"/>
      <c r="O83" s="107"/>
      <c r="P83" s="107"/>
      <c r="Q83" s="107"/>
      <c r="R83" s="197"/>
    </row>
    <row r="84" spans="1:19" x14ac:dyDescent="0.3">
      <c r="A84" s="84"/>
      <c r="F84" s="223"/>
      <c r="G84" s="223"/>
      <c r="N84" s="107"/>
      <c r="O84" s="107"/>
      <c r="P84" s="107"/>
      <c r="Q84" s="107"/>
    </row>
    <row r="85" spans="1:19" x14ac:dyDescent="0.3">
      <c r="N85" s="107"/>
      <c r="O85" s="107"/>
      <c r="P85" s="107"/>
      <c r="Q85" s="107"/>
    </row>
    <row r="86" spans="1:19" x14ac:dyDescent="0.3">
      <c r="N86" s="107"/>
      <c r="O86" s="202"/>
      <c r="P86" s="202"/>
      <c r="Q86" s="107"/>
    </row>
    <row r="87" spans="1:19" x14ac:dyDescent="0.3">
      <c r="N87" s="107"/>
      <c r="O87" s="202"/>
      <c r="P87" s="202"/>
      <c r="Q87" s="107"/>
    </row>
    <row r="88" spans="1:19" x14ac:dyDescent="0.3">
      <c r="N88" s="107"/>
      <c r="O88" s="202"/>
      <c r="P88" s="202"/>
      <c r="Q88" s="107"/>
    </row>
    <row r="89" spans="1:19" x14ac:dyDescent="0.3">
      <c r="N89" s="107"/>
      <c r="O89" s="202"/>
      <c r="P89" s="202"/>
      <c r="Q89" s="107"/>
    </row>
    <row r="90" spans="1:19" x14ac:dyDescent="0.3">
      <c r="N90" s="107"/>
      <c r="O90" s="202"/>
      <c r="P90" s="202"/>
      <c r="Q90" s="107"/>
    </row>
    <row r="91" spans="1:19" x14ac:dyDescent="0.3">
      <c r="N91" s="107"/>
      <c r="O91" s="202"/>
      <c r="P91" s="202"/>
      <c r="Q91" s="107"/>
      <c r="S91" s="251"/>
    </row>
    <row r="92" spans="1:19" x14ac:dyDescent="0.3">
      <c r="Q92" s="1"/>
    </row>
    <row r="93" spans="1:19" x14ac:dyDescent="0.3">
      <c r="Q93" s="1"/>
    </row>
    <row r="94" spans="1:19" x14ac:dyDescent="0.3">
      <c r="Q94" s="1"/>
    </row>
    <row r="95" spans="1:19" s="2" customFormat="1" x14ac:dyDescent="0.3">
      <c r="H95" s="1"/>
      <c r="I95" s="1"/>
      <c r="J95" s="1"/>
      <c r="K95" s="1"/>
      <c r="L95" s="1"/>
      <c r="M95" s="1"/>
    </row>
    <row r="96" spans="1:19" s="2" customFormat="1" x14ac:dyDescent="0.3">
      <c r="H96" s="1"/>
      <c r="I96" s="1"/>
      <c r="J96" s="1"/>
      <c r="K96" s="1"/>
      <c r="L96" s="1"/>
      <c r="M96" s="1"/>
    </row>
    <row r="97" spans="8:19" s="2" customFormat="1" x14ac:dyDescent="0.3">
      <c r="H97" s="1"/>
      <c r="I97" s="1"/>
      <c r="J97" s="1"/>
      <c r="K97" s="1"/>
      <c r="L97" s="1"/>
      <c r="M97" s="1"/>
    </row>
    <row r="98" spans="8:19" s="2" customFormat="1" x14ac:dyDescent="0.3"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8:19" s="2" customFormat="1" x14ac:dyDescent="0.3"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8:19" s="2" customFormat="1" x14ac:dyDescent="0.3"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8:19" s="2" customFormat="1" x14ac:dyDescent="0.3"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8:19" s="2" customFormat="1" x14ac:dyDescent="0.3"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8:19" x14ac:dyDescent="0.3">
      <c r="N103" s="107"/>
      <c r="O103" s="202"/>
      <c r="P103" s="202"/>
      <c r="Q103" s="107"/>
    </row>
    <row r="104" spans="8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8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8:19" x14ac:dyDescent="0.3">
      <c r="H106" s="2"/>
      <c r="I106" s="2"/>
      <c r="J106" s="2"/>
      <c r="K106" s="2"/>
      <c r="L106" s="2"/>
      <c r="M106" s="2"/>
      <c r="N106" s="107"/>
      <c r="O106" s="202"/>
      <c r="Q106" s="107"/>
    </row>
    <row r="107" spans="8:19" x14ac:dyDescent="0.3">
      <c r="H107" s="2"/>
      <c r="I107" s="2"/>
      <c r="J107" s="2"/>
      <c r="K107" s="2"/>
      <c r="L107" s="2"/>
      <c r="M107" s="2"/>
      <c r="N107" s="107"/>
      <c r="O107" s="202"/>
      <c r="Q107" s="107"/>
    </row>
    <row r="108" spans="8:19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8:19" x14ac:dyDescent="0.3"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8:19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8:19" x14ac:dyDescent="0.3">
      <c r="H111" s="2"/>
      <c r="I111" s="2"/>
      <c r="J111" s="2"/>
      <c r="K111" s="2"/>
      <c r="L111" s="2"/>
      <c r="M111" s="2"/>
      <c r="N111" s="107"/>
      <c r="O111" s="202"/>
      <c r="Q111" s="107"/>
    </row>
    <row r="112" spans="8:19" x14ac:dyDescent="0.3">
      <c r="H112" s="2"/>
      <c r="I112" s="2"/>
      <c r="J112" s="2"/>
      <c r="K112" s="2"/>
      <c r="L112" s="2"/>
      <c r="M112" s="2"/>
      <c r="N112" s="107"/>
      <c r="O112" s="202"/>
      <c r="Q112" s="107"/>
    </row>
    <row r="113" spans="8:17" x14ac:dyDescent="0.3">
      <c r="H113" s="2"/>
      <c r="I113" s="2"/>
      <c r="J113" s="2"/>
      <c r="K113" s="2"/>
      <c r="L113" s="2"/>
      <c r="M113" s="2"/>
      <c r="N113" s="107"/>
      <c r="O113" s="202"/>
      <c r="Q113" s="107"/>
    </row>
    <row r="114" spans="8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8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8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8:17" x14ac:dyDescent="0.3">
      <c r="H117" s="2"/>
      <c r="I117" s="2"/>
      <c r="J117" s="2"/>
      <c r="K117" s="2"/>
      <c r="L117" s="2"/>
      <c r="M117" s="2"/>
      <c r="N117" s="107"/>
      <c r="O117" s="202"/>
    </row>
    <row r="118" spans="8:17" x14ac:dyDescent="0.3">
      <c r="H118" s="2"/>
      <c r="I118" s="2"/>
      <c r="J118" s="2"/>
      <c r="K118" s="2"/>
      <c r="L118" s="2"/>
      <c r="M118" s="2"/>
      <c r="N118" s="107"/>
      <c r="O118" s="202"/>
    </row>
    <row r="119" spans="8:17" x14ac:dyDescent="0.3">
      <c r="N119" s="107"/>
      <c r="O119" s="202"/>
    </row>
    <row r="120" spans="8:17" x14ac:dyDescent="0.3">
      <c r="N120" s="107"/>
      <c r="O120" s="202"/>
    </row>
    <row r="121" spans="8:17" x14ac:dyDescent="0.3">
      <c r="N121" s="107"/>
      <c r="O121" s="202"/>
    </row>
    <row r="122" spans="8:17" x14ac:dyDescent="0.3">
      <c r="N122" s="107"/>
    </row>
    <row r="123" spans="8:17" x14ac:dyDescent="0.3">
      <c r="N123" s="107"/>
    </row>
    <row r="124" spans="8:17" x14ac:dyDescent="0.3">
      <c r="N124" s="107"/>
    </row>
    <row r="125" spans="8:17" x14ac:dyDescent="0.3">
      <c r="N125" s="107"/>
    </row>
    <row r="126" spans="8:17" x14ac:dyDescent="0.3">
      <c r="N126" s="107"/>
    </row>
    <row r="127" spans="8:17" x14ac:dyDescent="0.3">
      <c r="N127" s="107"/>
    </row>
    <row r="128" spans="8:17" x14ac:dyDescent="0.3">
      <c r="N128" s="107"/>
      <c r="O128" s="254"/>
      <c r="P128" s="254"/>
    </row>
    <row r="129" spans="8:16" s="2" customFormat="1" x14ac:dyDescent="0.3">
      <c r="H129" s="1"/>
      <c r="I129" s="1"/>
      <c r="J129" s="1"/>
      <c r="K129" s="1"/>
      <c r="L129" s="1"/>
      <c r="M129" s="1"/>
      <c r="N129" s="107"/>
      <c r="O129" s="1"/>
      <c r="P129" s="1"/>
    </row>
    <row r="130" spans="8:16" s="2" customFormat="1" x14ac:dyDescent="0.3">
      <c r="H130" s="1"/>
      <c r="I130" s="1"/>
      <c r="J130" s="1"/>
      <c r="K130" s="1"/>
      <c r="L130" s="1"/>
      <c r="M130" s="1"/>
      <c r="N130" s="107"/>
      <c r="O130" s="1"/>
      <c r="P130" s="1"/>
    </row>
    <row r="131" spans="8:16" s="2" customFormat="1" x14ac:dyDescent="0.3">
      <c r="H131" s="1"/>
      <c r="I131" s="1"/>
      <c r="J131" s="1"/>
      <c r="K131" s="1"/>
      <c r="L131" s="1"/>
      <c r="M131" s="1"/>
      <c r="N131" s="107"/>
      <c r="O131" s="1"/>
      <c r="P131" s="1"/>
    </row>
    <row r="132" spans="8:16" s="2" customFormat="1" x14ac:dyDescent="0.3">
      <c r="H132" s="1"/>
      <c r="I132" s="1"/>
      <c r="J132" s="1"/>
      <c r="K132" s="1"/>
      <c r="L132" s="1"/>
      <c r="M132" s="1"/>
      <c r="N132" s="107"/>
      <c r="O132" s="1"/>
      <c r="P132" s="1"/>
    </row>
    <row r="133" spans="8:16" s="2" customFormat="1" x14ac:dyDescent="0.3">
      <c r="H133" s="1"/>
      <c r="I133" s="1"/>
      <c r="J133" s="1"/>
      <c r="K133" s="1"/>
      <c r="L133" s="1"/>
      <c r="M133" s="1"/>
      <c r="N133" s="107"/>
      <c r="O133" s="1"/>
      <c r="P133" s="1"/>
    </row>
    <row r="134" spans="8:16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8:16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8:16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8:16" s="2" customFormat="1" x14ac:dyDescent="0.3">
      <c r="H137" s="1"/>
      <c r="I137" s="1"/>
      <c r="J137" s="1"/>
      <c r="K137" s="1"/>
      <c r="L137" s="1"/>
      <c r="M137" s="1"/>
      <c r="N137" s="107"/>
      <c r="O137" s="1"/>
      <c r="P137" s="1"/>
    </row>
    <row r="138" spans="8:16" s="2" customFormat="1" x14ac:dyDescent="0.3">
      <c r="H138" s="1"/>
      <c r="I138" s="1"/>
      <c r="J138" s="1"/>
      <c r="K138" s="1"/>
      <c r="L138" s="1"/>
      <c r="M138" s="1"/>
      <c r="N138" s="107"/>
      <c r="O138" s="1"/>
      <c r="P138" s="1"/>
    </row>
    <row r="139" spans="8:16" s="2" customFormat="1" x14ac:dyDescent="0.3">
      <c r="H139" s="1"/>
      <c r="I139" s="1"/>
      <c r="J139" s="1"/>
      <c r="K139" s="1"/>
      <c r="L139" s="1"/>
      <c r="M139" s="1"/>
      <c r="N139" s="107"/>
      <c r="O139" s="1"/>
      <c r="P139" s="1"/>
    </row>
    <row r="140" spans="8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8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8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8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</sheetData>
  <autoFilter ref="A6:P6" xr:uid="{00000000-0009-0000-0000-000003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143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45782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125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+'04'!K7</f>
        <v>1851.0911346873088</v>
      </c>
      <c r="C7" s="24">
        <f>L28+L29</f>
        <v>0</v>
      </c>
      <c r="D7" s="25"/>
      <c r="E7" s="25"/>
      <c r="F7" s="26">
        <f t="shared" ref="F7:F12" si="0">+B7+C7+D7+E7</f>
        <v>1851.0911346873088</v>
      </c>
      <c r="G7" s="27">
        <f>B48-H7</f>
        <v>240.98140200286122</v>
      </c>
      <c r="H7" s="24"/>
      <c r="I7" s="28"/>
      <c r="J7" s="23">
        <f t="shared" ref="J7:J12" si="1">+G7+H7+I7</f>
        <v>240.98140200286122</v>
      </c>
      <c r="K7" s="23">
        <f t="shared" ref="K7:K12" si="2">+F7-J7</f>
        <v>1610.1097326844476</v>
      </c>
      <c r="L7" s="29">
        <f>+'04'!M7</f>
        <v>1851.0911346873088</v>
      </c>
      <c r="M7" s="30">
        <v>1610.1097326844476</v>
      </c>
      <c r="N7" s="26">
        <f t="shared" ref="N7:N12" si="3">+G7</f>
        <v>240.98140200286122</v>
      </c>
      <c r="O7" s="26">
        <f>+C48</f>
        <v>6.99</v>
      </c>
      <c r="P7" s="31">
        <f t="shared" ref="P7:P12" si="4">+N7*O7</f>
        <v>1684.46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+'04'!K8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+'04'!M8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+'04'!K9</f>
        <v>1096.7542857142857</v>
      </c>
      <c r="C9" s="24">
        <f>L30</f>
        <v>0</v>
      </c>
      <c r="D9" s="34"/>
      <c r="E9" s="25"/>
      <c r="F9" s="26">
        <f t="shared" si="0"/>
        <v>1096.7542857142857</v>
      </c>
      <c r="G9" s="27">
        <f>+B44-H9</f>
        <v>119.41841269841269</v>
      </c>
      <c r="H9" s="24">
        <f>+E9</f>
        <v>0</v>
      </c>
      <c r="I9" s="28"/>
      <c r="J9" s="23">
        <f t="shared" si="1"/>
        <v>119.41841269841269</v>
      </c>
      <c r="K9" s="23">
        <f t="shared" si="2"/>
        <v>977.33587301587306</v>
      </c>
      <c r="L9" s="29">
        <f>+'04'!M9</f>
        <v>1095</v>
      </c>
      <c r="M9" s="30">
        <v>975</v>
      </c>
      <c r="N9" s="26">
        <f t="shared" si="3"/>
        <v>119.41841269841269</v>
      </c>
      <c r="O9" s="26">
        <f>+C44</f>
        <v>15.75</v>
      </c>
      <c r="P9" s="31">
        <f t="shared" si="4"/>
        <v>1880.84</v>
      </c>
      <c r="Q9" s="32">
        <f t="shared" si="5"/>
        <v>-2.3358730158730623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+'04'!K10</f>
        <v>713.45389563974265</v>
      </c>
      <c r="C10" s="24">
        <f>L31</f>
        <v>0</v>
      </c>
      <c r="D10" s="34"/>
      <c r="E10" s="25"/>
      <c r="F10" s="26">
        <f t="shared" si="0"/>
        <v>713.45389563974265</v>
      </c>
      <c r="G10" s="27">
        <f>+B45-H10</f>
        <v>104.33523945675483</v>
      </c>
      <c r="H10" s="24">
        <f>+E10</f>
        <v>0</v>
      </c>
      <c r="I10" s="28"/>
      <c r="J10" s="23">
        <f t="shared" si="1"/>
        <v>104.33523945675483</v>
      </c>
      <c r="K10" s="23">
        <f t="shared" si="2"/>
        <v>609.11865618298782</v>
      </c>
      <c r="L10" s="29">
        <f>+'04'!M10</f>
        <v>710</v>
      </c>
      <c r="M10" s="30">
        <v>605</v>
      </c>
      <c r="N10" s="26">
        <f t="shared" si="3"/>
        <v>104.33523945675483</v>
      </c>
      <c r="O10" s="26">
        <f>+C45</f>
        <v>13.99</v>
      </c>
      <c r="P10" s="31">
        <f t="shared" si="4"/>
        <v>1459.65</v>
      </c>
      <c r="Q10" s="32">
        <f t="shared" si="5"/>
        <v>-4.1186561829878201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+'04'!K11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+'04'!M11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+'04'!K12</f>
        <v>610.68477483917081</v>
      </c>
      <c r="C12" s="40">
        <f>L33</f>
        <v>0</v>
      </c>
      <c r="D12" s="41"/>
      <c r="E12" s="42"/>
      <c r="F12" s="26">
        <f t="shared" si="0"/>
        <v>610.68477483917081</v>
      </c>
      <c r="G12" s="43">
        <f>+B47-H12</f>
        <v>127.98284488920658</v>
      </c>
      <c r="H12" s="40">
        <f>+E12</f>
        <v>0</v>
      </c>
      <c r="I12" s="28"/>
      <c r="J12" s="44">
        <f t="shared" si="1"/>
        <v>127.98284488920658</v>
      </c>
      <c r="K12" s="44">
        <f t="shared" si="2"/>
        <v>482.70192994996421</v>
      </c>
      <c r="L12" s="29">
        <f>+'04'!M12</f>
        <v>610</v>
      </c>
      <c r="M12" s="30">
        <v>485</v>
      </c>
      <c r="N12" s="42">
        <f t="shared" si="3"/>
        <v>127.98284488920658</v>
      </c>
      <c r="O12" s="42">
        <f>+C47</f>
        <v>13.99</v>
      </c>
      <c r="P12" s="45">
        <f t="shared" si="4"/>
        <v>1790.48</v>
      </c>
      <c r="Q12" s="32">
        <f t="shared" si="5"/>
        <v>2.2980700500357898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4271.9840908805081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4271.9840908805081</v>
      </c>
      <c r="G13" s="23">
        <f t="shared" si="6"/>
        <v>592.71789904723528</v>
      </c>
      <c r="H13" s="23">
        <f t="shared" si="6"/>
        <v>0</v>
      </c>
      <c r="I13" s="23">
        <f t="shared" si="6"/>
        <v>0</v>
      </c>
      <c r="J13" s="23">
        <f t="shared" si="6"/>
        <v>592.71789904723528</v>
      </c>
      <c r="K13" s="23">
        <f t="shared" si="6"/>
        <v>3679.2661918332728</v>
      </c>
      <c r="L13" s="29">
        <f t="shared" si="6"/>
        <v>4266.091134687309</v>
      </c>
      <c r="M13" s="23">
        <f t="shared" si="6"/>
        <v>3675.1097326844474</v>
      </c>
      <c r="N13" s="23">
        <f t="shared" si="6"/>
        <v>592.71789904723528</v>
      </c>
      <c r="O13" s="23"/>
      <c r="P13" s="23">
        <f>SUM(P7:P12)</f>
        <v>6815.43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592.71789904723528</v>
      </c>
      <c r="P16" s="65">
        <f>+P13</f>
        <v>6815.43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2158.7600000000002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291.47000000000003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3.1508999999996377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>
        <v>54</v>
      </c>
      <c r="F20" s="60">
        <v>0.2</v>
      </c>
      <c r="G20" s="61">
        <f t="shared" si="7"/>
        <v>10.8</v>
      </c>
      <c r="H20" s="70" t="s">
        <v>143</v>
      </c>
      <c r="I20" s="277" t="s">
        <v>88</v>
      </c>
      <c r="J20" s="278"/>
      <c r="K20" s="265" t="s">
        <v>87</v>
      </c>
      <c r="L20" s="266"/>
      <c r="M20" s="316" t="s">
        <v>144</v>
      </c>
      <c r="N20" s="316"/>
      <c r="O20" s="317"/>
      <c r="P20" s="69">
        <v>150</v>
      </c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>
        <f>8.09*6.99</f>
        <v>56.549100000000003</v>
      </c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10.8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56.549100000000003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5034.7048799999993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4144.7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56</v>
      </c>
      <c r="P30" s="98">
        <f>12888.69/1050</f>
        <v>12.274942857142857</v>
      </c>
      <c r="Q30" s="95">
        <f>+O9-P30</f>
        <v>3.4750571428571426</v>
      </c>
      <c r="S30" s="48">
        <f t="shared" si="8"/>
        <v>2.3358730158730623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11468.46/990</f>
        <v>11.58430303030303</v>
      </c>
      <c r="Q31" s="95">
        <f>+O10-P31</f>
        <v>2.4056969696969706</v>
      </c>
      <c r="S31" s="48">
        <f t="shared" si="8"/>
        <v>4.1186561829878201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10.8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 t="s">
        <v>56</v>
      </c>
      <c r="P33" s="98">
        <f>13530.52/1150</f>
        <v>11.765669565217392</v>
      </c>
      <c r="Q33" s="95">
        <f>+O12-P33</f>
        <v>2.2243304347826083</v>
      </c>
      <c r="R33" s="1" t="s">
        <v>55</v>
      </c>
      <c r="S33" s="48">
        <f t="shared" si="8"/>
        <v>-2.2980700500357898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45782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f>209.1+0+925.5+0+1217.2+67+333.1</f>
        <v>2751.9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2148.7600000000002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f>210+632.6+553.4-3.2</f>
        <v>1392.8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10</v>
      </c>
      <c r="C38" s="134">
        <v>291.47000000000003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45782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2751.9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2158.7600000000002</v>
      </c>
      <c r="C40" s="150">
        <f>SUM(C37:C39)</f>
        <v>291.47000000000003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4144.7</v>
      </c>
      <c r="M40" s="158" t="s">
        <v>0</v>
      </c>
      <c r="N40" s="159" t="s">
        <v>29</v>
      </c>
      <c r="O40" s="160">
        <f>+L37</f>
        <v>1392.8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2450.2300000000005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4144.7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119.41841269841269</v>
      </c>
      <c r="C44" s="181">
        <v>15.75</v>
      </c>
      <c r="D44" s="182">
        <f>13+30+687.79+452.54+230.01+417.5+50</f>
        <v>1880.84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104.33523945675483</v>
      </c>
      <c r="C45" s="181">
        <v>13.99</v>
      </c>
      <c r="D45" s="182">
        <f>126.11+40+186.05+363.48+366.01+361+17</f>
        <v>1459.65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127.98284488920658</v>
      </c>
      <c r="C47" s="181">
        <v>13.99</v>
      </c>
      <c r="D47" s="182">
        <f>405+1385.48+0</f>
        <v>1790.48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240.98140200286122</v>
      </c>
      <c r="C48" s="181">
        <v>6.99</v>
      </c>
      <c r="D48" s="182">
        <f>210+829.08+645.38</f>
        <v>1684.46</v>
      </c>
      <c r="E48" s="183"/>
      <c r="F48" s="183"/>
      <c r="G48" s="178"/>
      <c r="H48" s="209">
        <f>(L36+B40+P23+P24+P22+L38)-SUM(D44:D47)+(P20+P21)</f>
        <v>-2.9608999999991283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592.71789904723528</v>
      </c>
      <c r="C49" s="212"/>
      <c r="D49" s="213">
        <f>SUM(D44:D48)</f>
        <v>6815.4299999999994</v>
      </c>
      <c r="E49" s="213">
        <v>6815.4299999999994</v>
      </c>
      <c r="F49" s="183"/>
      <c r="G49" s="178"/>
      <c r="H49" s="214">
        <f>(C38+L37+L39)-D48</f>
        <v>-0.19000000000005457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232">
        <f>SUM(G43:G53)</f>
        <v>0</v>
      </c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222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222"/>
      <c r="H57" s="223"/>
      <c r="I57" s="223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222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222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222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222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222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222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241"/>
      <c r="N64" s="107"/>
      <c r="O64" s="107"/>
      <c r="P64" s="107"/>
      <c r="Q64" s="1"/>
    </row>
    <row r="65" spans="1:20" x14ac:dyDescent="0.3">
      <c r="A65" s="234"/>
      <c r="D65" s="107"/>
      <c r="F65" s="244"/>
      <c r="G65" s="241"/>
      <c r="N65" s="107"/>
      <c r="O65" s="107"/>
      <c r="P65" s="107"/>
      <c r="Q65" s="1"/>
    </row>
    <row r="66" spans="1:20" x14ac:dyDescent="0.3">
      <c r="A66" s="234"/>
      <c r="F66" s="244"/>
      <c r="G66" s="241"/>
      <c r="N66" s="107"/>
      <c r="O66" s="107"/>
      <c r="P66" s="107"/>
      <c r="Q66" s="1"/>
    </row>
    <row r="67" spans="1:20" x14ac:dyDescent="0.3">
      <c r="A67" s="234">
        <v>84</v>
      </c>
      <c r="F67" s="246"/>
      <c r="G67" s="241"/>
      <c r="N67" s="107"/>
      <c r="Q67" s="1"/>
    </row>
    <row r="68" spans="1:20" x14ac:dyDescent="0.3">
      <c r="A68" s="239" t="s">
        <v>1</v>
      </c>
      <c r="F68" s="244"/>
      <c r="G68" s="241"/>
      <c r="N68" s="107"/>
      <c r="Q68" s="1"/>
    </row>
    <row r="69" spans="1:20" x14ac:dyDescent="0.3">
      <c r="A69" s="84"/>
      <c r="F69" s="242"/>
      <c r="G69" s="241"/>
      <c r="N69" s="107"/>
      <c r="Q69" s="1"/>
    </row>
    <row r="70" spans="1:20" x14ac:dyDescent="0.3">
      <c r="A70" s="234">
        <v>95</v>
      </c>
      <c r="F70" s="244"/>
      <c r="G70" s="241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41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84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84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84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9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84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84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84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9"/>
      <c r="N79" s="107"/>
      <c r="O79" s="107"/>
      <c r="P79" s="107"/>
      <c r="Q79" s="107"/>
      <c r="R79" s="197"/>
    </row>
    <row r="80" spans="1:20" x14ac:dyDescent="0.3">
      <c r="A80" s="84"/>
      <c r="F80" s="250"/>
      <c r="G80" s="223"/>
      <c r="N80" s="107"/>
      <c r="O80" s="107"/>
      <c r="P80" s="107"/>
      <c r="Q80" s="107"/>
      <c r="R80" s="197"/>
    </row>
    <row r="81" spans="1:19" x14ac:dyDescent="0.3">
      <c r="A81" s="84"/>
      <c r="F81" s="235"/>
      <c r="G81" s="223"/>
      <c r="N81" s="107"/>
      <c r="O81" s="107"/>
      <c r="P81" s="107"/>
      <c r="Q81" s="107"/>
      <c r="R81" s="197"/>
    </row>
    <row r="82" spans="1:19" x14ac:dyDescent="0.3">
      <c r="A82" s="84"/>
      <c r="F82" s="237"/>
      <c r="G82" s="223"/>
      <c r="N82" s="107"/>
      <c r="O82" s="107"/>
      <c r="P82" s="107"/>
      <c r="Q82" s="107"/>
      <c r="R82" s="197"/>
    </row>
    <row r="83" spans="1:19" x14ac:dyDescent="0.3">
      <c r="A83" s="84"/>
      <c r="F83" s="237"/>
      <c r="G83" s="223"/>
      <c r="N83" s="107"/>
      <c r="O83" s="107"/>
      <c r="P83" s="107"/>
      <c r="Q83" s="107"/>
      <c r="R83" s="197"/>
    </row>
    <row r="84" spans="1:19" x14ac:dyDescent="0.3">
      <c r="A84" s="84"/>
      <c r="F84" s="223"/>
      <c r="G84" s="223"/>
      <c r="N84" s="107"/>
      <c r="O84" s="107"/>
      <c r="P84" s="107"/>
      <c r="Q84" s="107"/>
    </row>
    <row r="85" spans="1:19" x14ac:dyDescent="0.3">
      <c r="N85" s="107"/>
      <c r="O85" s="107"/>
      <c r="P85" s="107"/>
      <c r="Q85" s="107"/>
    </row>
    <row r="86" spans="1:19" x14ac:dyDescent="0.3">
      <c r="N86" s="107"/>
      <c r="O86" s="202"/>
      <c r="P86" s="202"/>
      <c r="Q86" s="107"/>
    </row>
    <row r="87" spans="1:19" x14ac:dyDescent="0.3">
      <c r="N87" s="107"/>
      <c r="O87" s="202"/>
      <c r="P87" s="202"/>
      <c r="Q87" s="107"/>
    </row>
    <row r="88" spans="1:19" x14ac:dyDescent="0.3">
      <c r="N88" s="107"/>
      <c r="O88" s="202"/>
      <c r="P88" s="202"/>
      <c r="Q88" s="107"/>
    </row>
    <row r="89" spans="1:19" x14ac:dyDescent="0.3">
      <c r="N89" s="107"/>
      <c r="O89" s="202"/>
      <c r="P89" s="202"/>
      <c r="Q89" s="107"/>
    </row>
    <row r="90" spans="1:19" x14ac:dyDescent="0.3">
      <c r="N90" s="107"/>
      <c r="O90" s="202"/>
      <c r="P90" s="202"/>
      <c r="Q90" s="107"/>
    </row>
    <row r="91" spans="1:19" x14ac:dyDescent="0.3">
      <c r="N91" s="107"/>
      <c r="O91" s="202"/>
      <c r="P91" s="202"/>
      <c r="Q91" s="107"/>
      <c r="S91" s="251"/>
    </row>
    <row r="92" spans="1:19" x14ac:dyDescent="0.3">
      <c r="Q92" s="1"/>
    </row>
    <row r="93" spans="1:19" x14ac:dyDescent="0.3">
      <c r="Q93" s="1"/>
    </row>
    <row r="94" spans="1:19" x14ac:dyDescent="0.3">
      <c r="Q94" s="1"/>
    </row>
    <row r="95" spans="1:19" s="2" customFormat="1" x14ac:dyDescent="0.3">
      <c r="H95" s="1"/>
      <c r="I95" s="1"/>
      <c r="J95" s="1"/>
      <c r="K95" s="1"/>
      <c r="L95" s="1"/>
      <c r="M95" s="1"/>
    </row>
    <row r="96" spans="1:19" s="2" customFormat="1" x14ac:dyDescent="0.3">
      <c r="H96" s="1"/>
      <c r="I96" s="1"/>
      <c r="J96" s="1"/>
      <c r="K96" s="1"/>
      <c r="L96" s="1"/>
      <c r="M96" s="1"/>
    </row>
    <row r="97" spans="8:19" s="2" customFormat="1" x14ac:dyDescent="0.3">
      <c r="H97" s="1"/>
      <c r="I97" s="1"/>
      <c r="J97" s="1"/>
      <c r="K97" s="1"/>
      <c r="L97" s="1"/>
      <c r="M97" s="1"/>
    </row>
    <row r="98" spans="8:19" s="2" customFormat="1" x14ac:dyDescent="0.3"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8:19" s="2" customFormat="1" x14ac:dyDescent="0.3"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8:19" s="2" customFormat="1" x14ac:dyDescent="0.3"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8:19" s="2" customFormat="1" x14ac:dyDescent="0.3"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8:19" s="2" customFormat="1" x14ac:dyDescent="0.3"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8:19" x14ac:dyDescent="0.3">
      <c r="N103" s="107"/>
      <c r="O103" s="202"/>
      <c r="P103" s="202"/>
      <c r="Q103" s="107"/>
    </row>
    <row r="104" spans="8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8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8:19" x14ac:dyDescent="0.3">
      <c r="H106" s="2"/>
      <c r="I106" s="2"/>
      <c r="J106" s="2"/>
      <c r="K106" s="2"/>
      <c r="L106" s="2"/>
      <c r="M106" s="2"/>
      <c r="N106" s="107"/>
      <c r="O106" s="202"/>
      <c r="Q106" s="107"/>
    </row>
    <row r="107" spans="8:19" x14ac:dyDescent="0.3">
      <c r="H107" s="2"/>
      <c r="I107" s="2"/>
      <c r="J107" s="2"/>
      <c r="K107" s="2"/>
      <c r="L107" s="2"/>
      <c r="M107" s="2"/>
      <c r="N107" s="107"/>
      <c r="O107" s="202"/>
      <c r="Q107" s="107"/>
    </row>
    <row r="108" spans="8:19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8:19" x14ac:dyDescent="0.3"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8:19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8:19" x14ac:dyDescent="0.3">
      <c r="H111" s="2"/>
      <c r="I111" s="2"/>
      <c r="J111" s="2"/>
      <c r="K111" s="2"/>
      <c r="L111" s="2"/>
      <c r="M111" s="2"/>
      <c r="N111" s="107"/>
      <c r="O111" s="202"/>
      <c r="Q111" s="107"/>
    </row>
    <row r="112" spans="8:19" x14ac:dyDescent="0.3">
      <c r="H112" s="2"/>
      <c r="I112" s="2"/>
      <c r="J112" s="2"/>
      <c r="K112" s="2"/>
      <c r="L112" s="2"/>
      <c r="M112" s="2"/>
      <c r="N112" s="107"/>
      <c r="O112" s="202"/>
      <c r="Q112" s="107"/>
    </row>
    <row r="113" spans="8:17" x14ac:dyDescent="0.3">
      <c r="H113" s="2"/>
      <c r="I113" s="2"/>
      <c r="J113" s="2"/>
      <c r="K113" s="2"/>
      <c r="L113" s="2"/>
      <c r="M113" s="2"/>
      <c r="N113" s="107"/>
      <c r="O113" s="202"/>
      <c r="Q113" s="107"/>
    </row>
    <row r="114" spans="8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8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8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8:17" x14ac:dyDescent="0.3">
      <c r="H117" s="2"/>
      <c r="I117" s="2"/>
      <c r="J117" s="2"/>
      <c r="K117" s="2"/>
      <c r="L117" s="2"/>
      <c r="M117" s="2"/>
      <c r="N117" s="107"/>
      <c r="O117" s="202"/>
    </row>
    <row r="118" spans="8:17" x14ac:dyDescent="0.3">
      <c r="H118" s="2"/>
      <c r="I118" s="2"/>
      <c r="J118" s="2"/>
      <c r="K118" s="2"/>
      <c r="L118" s="2"/>
      <c r="M118" s="2"/>
      <c r="N118" s="107"/>
      <c r="O118" s="202"/>
    </row>
    <row r="119" spans="8:17" x14ac:dyDescent="0.3">
      <c r="N119" s="107"/>
      <c r="O119" s="202"/>
    </row>
    <row r="120" spans="8:17" x14ac:dyDescent="0.3">
      <c r="N120" s="107"/>
      <c r="O120" s="202"/>
    </row>
    <row r="121" spans="8:17" x14ac:dyDescent="0.3">
      <c r="N121" s="107"/>
      <c r="O121" s="202"/>
    </row>
    <row r="122" spans="8:17" x14ac:dyDescent="0.3">
      <c r="N122" s="107"/>
    </row>
    <row r="123" spans="8:17" x14ac:dyDescent="0.3">
      <c r="N123" s="107"/>
    </row>
    <row r="124" spans="8:17" x14ac:dyDescent="0.3">
      <c r="N124" s="107"/>
    </row>
    <row r="125" spans="8:17" x14ac:dyDescent="0.3">
      <c r="N125" s="107"/>
    </row>
    <row r="126" spans="8:17" x14ac:dyDescent="0.3">
      <c r="N126" s="107"/>
    </row>
    <row r="127" spans="8:17" x14ac:dyDescent="0.3">
      <c r="N127" s="107"/>
    </row>
    <row r="128" spans="8:17" x14ac:dyDescent="0.3">
      <c r="N128" s="107"/>
      <c r="O128" s="254"/>
      <c r="P128" s="254"/>
    </row>
    <row r="129" spans="8:16" s="2" customFormat="1" x14ac:dyDescent="0.3">
      <c r="H129" s="1"/>
      <c r="I129" s="1"/>
      <c r="J129" s="1"/>
      <c r="K129" s="1"/>
      <c r="L129" s="1"/>
      <c r="M129" s="1"/>
      <c r="N129" s="107"/>
      <c r="O129" s="1"/>
      <c r="P129" s="1"/>
    </row>
    <row r="130" spans="8:16" s="2" customFormat="1" x14ac:dyDescent="0.3">
      <c r="H130" s="1"/>
      <c r="I130" s="1"/>
      <c r="J130" s="1"/>
      <c r="K130" s="1"/>
      <c r="L130" s="1"/>
      <c r="M130" s="1"/>
      <c r="N130" s="107"/>
      <c r="O130" s="1"/>
      <c r="P130" s="1"/>
    </row>
    <row r="131" spans="8:16" s="2" customFormat="1" x14ac:dyDescent="0.3">
      <c r="H131" s="1"/>
      <c r="I131" s="1"/>
      <c r="J131" s="1"/>
      <c r="K131" s="1"/>
      <c r="L131" s="1"/>
      <c r="M131" s="1"/>
      <c r="N131" s="107"/>
      <c r="O131" s="1"/>
      <c r="P131" s="1"/>
    </row>
    <row r="132" spans="8:16" s="2" customFormat="1" x14ac:dyDescent="0.3">
      <c r="H132" s="1"/>
      <c r="I132" s="1"/>
      <c r="J132" s="1"/>
      <c r="K132" s="1"/>
      <c r="L132" s="1"/>
      <c r="M132" s="1"/>
      <c r="N132" s="107"/>
      <c r="O132" s="1"/>
      <c r="P132" s="1"/>
    </row>
    <row r="133" spans="8:16" s="2" customFormat="1" x14ac:dyDescent="0.3">
      <c r="H133" s="1"/>
      <c r="I133" s="1"/>
      <c r="J133" s="1"/>
      <c r="K133" s="1"/>
      <c r="L133" s="1"/>
      <c r="M133" s="1"/>
      <c r="N133" s="107"/>
      <c r="O133" s="1"/>
      <c r="P133" s="1"/>
    </row>
    <row r="134" spans="8:16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8:16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8:16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8:16" s="2" customFormat="1" x14ac:dyDescent="0.3">
      <c r="H137" s="1"/>
      <c r="I137" s="1"/>
      <c r="J137" s="1"/>
      <c r="K137" s="1"/>
      <c r="L137" s="1"/>
      <c r="M137" s="1"/>
      <c r="N137" s="107"/>
      <c r="O137" s="1"/>
      <c r="P137" s="1"/>
    </row>
    <row r="138" spans="8:16" s="2" customFormat="1" x14ac:dyDescent="0.3">
      <c r="H138" s="1"/>
      <c r="I138" s="1"/>
      <c r="J138" s="1"/>
      <c r="K138" s="1"/>
      <c r="L138" s="1"/>
      <c r="M138" s="1"/>
      <c r="N138" s="107"/>
      <c r="O138" s="1"/>
      <c r="P138" s="1"/>
    </row>
    <row r="139" spans="8:16" s="2" customFormat="1" x14ac:dyDescent="0.3">
      <c r="H139" s="1"/>
      <c r="I139" s="1"/>
      <c r="J139" s="1"/>
      <c r="K139" s="1"/>
      <c r="L139" s="1"/>
      <c r="M139" s="1"/>
      <c r="N139" s="107"/>
      <c r="O139" s="1"/>
      <c r="P139" s="1"/>
    </row>
    <row r="140" spans="8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8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8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8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</sheetData>
  <autoFilter ref="A6:P6" xr:uid="{00000000-0009-0000-0000-000004000000}"/>
  <mergeCells count="64">
    <mergeCell ref="O1:P1"/>
    <mergeCell ref="I2:J2"/>
    <mergeCell ref="K2:M2"/>
    <mergeCell ref="O2:P2"/>
    <mergeCell ref="O3:P3"/>
    <mergeCell ref="I16:J16"/>
    <mergeCell ref="C5:F5"/>
    <mergeCell ref="I17:J17"/>
    <mergeCell ref="G5:J5"/>
    <mergeCell ref="M14:P14"/>
    <mergeCell ref="A14:H14"/>
    <mergeCell ref="N5:P5"/>
    <mergeCell ref="I3:J3"/>
    <mergeCell ref="M15:N15"/>
    <mergeCell ref="A15:B15"/>
    <mergeCell ref="O4:P4"/>
    <mergeCell ref="K3:M3"/>
    <mergeCell ref="A1:H3"/>
    <mergeCell ref="I1:J1"/>
    <mergeCell ref="K1:M1"/>
    <mergeCell ref="H43:L43"/>
    <mergeCell ref="A17:B17"/>
    <mergeCell ref="A21:B21"/>
    <mergeCell ref="M35:P35"/>
    <mergeCell ref="A34:H34"/>
    <mergeCell ref="A27:B27"/>
    <mergeCell ref="I31:J31"/>
    <mergeCell ref="A28:B28"/>
    <mergeCell ref="A25:B25"/>
    <mergeCell ref="K19:L19"/>
    <mergeCell ref="M24:O24"/>
    <mergeCell ref="O41:P41"/>
    <mergeCell ref="M38:N38"/>
    <mergeCell ref="A20:B20"/>
    <mergeCell ref="M19:O19"/>
    <mergeCell ref="L5:M5"/>
    <mergeCell ref="A16:B16"/>
    <mergeCell ref="I18:L18"/>
    <mergeCell ref="M17:N17"/>
    <mergeCell ref="A33:B33"/>
    <mergeCell ref="K20:L20"/>
    <mergeCell ref="M25:N25"/>
    <mergeCell ref="I14:L14"/>
    <mergeCell ref="A18:B18"/>
    <mergeCell ref="I19:J19"/>
    <mergeCell ref="M18:N18"/>
    <mergeCell ref="A26:B26"/>
    <mergeCell ref="M22:O22"/>
    <mergeCell ref="A22:B22"/>
    <mergeCell ref="M23:O23"/>
    <mergeCell ref="I15:J15"/>
    <mergeCell ref="M41:N41"/>
    <mergeCell ref="M16:N16"/>
    <mergeCell ref="A19:B19"/>
    <mergeCell ref="I20:J20"/>
    <mergeCell ref="M21:O21"/>
    <mergeCell ref="M20:O20"/>
    <mergeCell ref="A24:B24"/>
    <mergeCell ref="I26:J26"/>
    <mergeCell ref="A23:B23"/>
    <mergeCell ref="K26:P26"/>
    <mergeCell ref="M36:P37"/>
    <mergeCell ref="I37:J37"/>
    <mergeCell ref="A35:C3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143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45783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126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+'05'!K7</f>
        <v>1610.1097326844476</v>
      </c>
      <c r="C7" s="24">
        <f>L28+L29</f>
        <v>1907.3569482288829</v>
      </c>
      <c r="D7" s="25"/>
      <c r="E7" s="25"/>
      <c r="F7" s="26">
        <f t="shared" ref="F7:F12" si="0">+B7+C7+D7+E7</f>
        <v>3517.4666809133305</v>
      </c>
      <c r="G7" s="27">
        <f>B48-H7</f>
        <v>129.6766809728183</v>
      </c>
      <c r="H7" s="24"/>
      <c r="I7" s="28"/>
      <c r="J7" s="23">
        <f t="shared" ref="J7:J12" si="1">+G7+H7+I7</f>
        <v>129.6766809728183</v>
      </c>
      <c r="K7" s="23">
        <f t="shared" ref="K7:K12" si="2">+F7-J7</f>
        <v>3387.7899999405122</v>
      </c>
      <c r="L7" s="29">
        <f>+'05'!M7</f>
        <v>1610.1097326844476</v>
      </c>
      <c r="M7" s="30">
        <v>3387.7899999405122</v>
      </c>
      <c r="N7" s="26">
        <f t="shared" ref="N7:N12" si="3">+G7</f>
        <v>129.6766809728183</v>
      </c>
      <c r="O7" s="26">
        <f>+C48</f>
        <v>6.99</v>
      </c>
      <c r="P7" s="31">
        <f t="shared" ref="P7:P12" si="4">+N7*O7</f>
        <v>906.43999999999994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+'05'!K8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+'05'!M8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+'05'!K9</f>
        <v>977.33587301587306</v>
      </c>
      <c r="C9" s="24">
        <f>L30</f>
        <v>0</v>
      </c>
      <c r="D9" s="34"/>
      <c r="E9" s="25"/>
      <c r="F9" s="26">
        <f t="shared" si="0"/>
        <v>977.33587301587306</v>
      </c>
      <c r="G9" s="27">
        <f>+B44-H9</f>
        <v>90.170793650793655</v>
      </c>
      <c r="H9" s="24">
        <f>+E9</f>
        <v>0</v>
      </c>
      <c r="I9" s="28"/>
      <c r="J9" s="23">
        <f t="shared" si="1"/>
        <v>90.170793650793655</v>
      </c>
      <c r="K9" s="23">
        <f t="shared" si="2"/>
        <v>887.16507936507946</v>
      </c>
      <c r="L9" s="29">
        <f>+'05'!M9</f>
        <v>975</v>
      </c>
      <c r="M9" s="30">
        <v>885</v>
      </c>
      <c r="N9" s="26">
        <f t="shared" si="3"/>
        <v>90.170793650793655</v>
      </c>
      <c r="O9" s="26">
        <f>+C44</f>
        <v>15.75</v>
      </c>
      <c r="P9" s="31">
        <f t="shared" si="4"/>
        <v>1420.19</v>
      </c>
      <c r="Q9" s="32">
        <f t="shared" si="5"/>
        <v>-2.165079365079464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+'05'!K10</f>
        <v>609.11865618298782</v>
      </c>
      <c r="C10" s="24">
        <f>L31</f>
        <v>0</v>
      </c>
      <c r="D10" s="34"/>
      <c r="E10" s="25"/>
      <c r="F10" s="26">
        <f t="shared" si="0"/>
        <v>609.11865618298782</v>
      </c>
      <c r="G10" s="27">
        <f>+B45-H10</f>
        <v>66.355253752680483</v>
      </c>
      <c r="H10" s="24">
        <f>+E10</f>
        <v>0</v>
      </c>
      <c r="I10" s="28"/>
      <c r="J10" s="23">
        <f t="shared" si="1"/>
        <v>66.355253752680483</v>
      </c>
      <c r="K10" s="23">
        <f t="shared" si="2"/>
        <v>542.76340243030734</v>
      </c>
      <c r="L10" s="29">
        <f>+'05'!M10</f>
        <v>605</v>
      </c>
      <c r="M10" s="30">
        <v>540</v>
      </c>
      <c r="N10" s="26">
        <f t="shared" si="3"/>
        <v>66.355253752680483</v>
      </c>
      <c r="O10" s="26">
        <f>+C45</f>
        <v>13.99</v>
      </c>
      <c r="P10" s="31">
        <f t="shared" si="4"/>
        <v>928.31</v>
      </c>
      <c r="Q10" s="32">
        <f t="shared" si="5"/>
        <v>-2.7634024303073375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+'05'!K11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+'05'!M11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+'05'!K12</f>
        <v>482.70192994996421</v>
      </c>
      <c r="C12" s="40">
        <f>L33</f>
        <v>0</v>
      </c>
      <c r="D12" s="41"/>
      <c r="E12" s="42"/>
      <c r="F12" s="26">
        <f t="shared" si="0"/>
        <v>482.70192994996421</v>
      </c>
      <c r="G12" s="43">
        <f>+B47-H12</f>
        <v>61.151536812008572</v>
      </c>
      <c r="H12" s="40">
        <f>+E12</f>
        <v>0</v>
      </c>
      <c r="I12" s="28"/>
      <c r="J12" s="44">
        <f t="shared" si="1"/>
        <v>61.151536812008572</v>
      </c>
      <c r="K12" s="44">
        <f t="shared" si="2"/>
        <v>421.55039313795567</v>
      </c>
      <c r="L12" s="29">
        <f>+'05'!M12</f>
        <v>485</v>
      </c>
      <c r="M12" s="30">
        <v>422</v>
      </c>
      <c r="N12" s="42">
        <f t="shared" si="3"/>
        <v>61.151536812008572</v>
      </c>
      <c r="O12" s="42">
        <f>+C47</f>
        <v>13.99</v>
      </c>
      <c r="P12" s="45">
        <f t="shared" si="4"/>
        <v>855.51</v>
      </c>
      <c r="Q12" s="32">
        <f t="shared" si="5"/>
        <v>0.44960686204433387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3679.2661918332728</v>
      </c>
      <c r="C13" s="23">
        <f t="shared" si="6"/>
        <v>1907.3569482288829</v>
      </c>
      <c r="D13" s="23">
        <f t="shared" si="6"/>
        <v>0</v>
      </c>
      <c r="E13" s="23">
        <f t="shared" si="6"/>
        <v>0</v>
      </c>
      <c r="F13" s="23">
        <f t="shared" si="6"/>
        <v>5586.6231400621564</v>
      </c>
      <c r="G13" s="23">
        <f t="shared" si="6"/>
        <v>347.35426518830104</v>
      </c>
      <c r="H13" s="23">
        <f t="shared" si="6"/>
        <v>0</v>
      </c>
      <c r="I13" s="23">
        <f t="shared" si="6"/>
        <v>0</v>
      </c>
      <c r="J13" s="23">
        <f t="shared" si="6"/>
        <v>347.35426518830104</v>
      </c>
      <c r="K13" s="23">
        <f t="shared" si="6"/>
        <v>5239.2688748738537</v>
      </c>
      <c r="L13" s="29">
        <f t="shared" si="6"/>
        <v>3675.1097326844474</v>
      </c>
      <c r="M13" s="23">
        <f t="shared" si="6"/>
        <v>5234.7899999405126</v>
      </c>
      <c r="N13" s="23">
        <f t="shared" si="6"/>
        <v>347.35426518830104</v>
      </c>
      <c r="O13" s="23"/>
      <c r="P13" s="23">
        <f>SUM(P7:P12)</f>
        <v>4110.45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347.35426518830104</v>
      </c>
      <c r="P16" s="65">
        <f>+P13</f>
        <v>4110.45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887.37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180.77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0.20999999999958163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/>
      <c r="M24" s="326" t="s">
        <v>80</v>
      </c>
      <c r="N24" s="316"/>
      <c r="O24" s="317"/>
      <c r="P24" s="76">
        <f>+J39+J22+J28+J33+J34</f>
        <v>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3042.1000000000004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1907.3569482288829</v>
      </c>
      <c r="M28" s="92" t="s">
        <v>146</v>
      </c>
      <c r="N28" s="92" t="s">
        <v>147</v>
      </c>
      <c r="O28" s="93" t="s">
        <v>148</v>
      </c>
      <c r="P28" s="94" t="str">
        <f>+I44&amp;"   "&amp;"kg"</f>
        <v>3850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/>
      <c r="M30" s="92"/>
      <c r="N30" s="92"/>
      <c r="O30" s="93" t="s">
        <v>56</v>
      </c>
      <c r="P30" s="98">
        <f>12888.69/1050</f>
        <v>12.274942857142857</v>
      </c>
      <c r="Q30" s="95">
        <f>+O9-P30</f>
        <v>3.4750571428571426</v>
      </c>
      <c r="S30" s="48">
        <f t="shared" si="8"/>
        <v>2.165079365079464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11468.46/990</f>
        <v>11.58430303030303</v>
      </c>
      <c r="Q31" s="95">
        <f>+O10-P31</f>
        <v>2.4056969696969706</v>
      </c>
      <c r="S31" s="48">
        <f t="shared" si="8"/>
        <v>2.7634024303073375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/>
      <c r="K33" s="104" t="s">
        <v>35</v>
      </c>
      <c r="L33" s="91"/>
      <c r="M33" s="92"/>
      <c r="N33" s="92"/>
      <c r="O33" s="93" t="s">
        <v>56</v>
      </c>
      <c r="P33" s="98">
        <f>13530.52/1150</f>
        <v>11.765669565217392</v>
      </c>
      <c r="Q33" s="95">
        <f>+O12-P33</f>
        <v>2.2243304347826083</v>
      </c>
      <c r="R33" s="1" t="s">
        <v>55</v>
      </c>
      <c r="S33" s="48">
        <f t="shared" si="8"/>
        <v>-0.44960686204433387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45783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-135</v>
      </c>
      <c r="K36" s="116" t="s">
        <v>32</v>
      </c>
      <c r="L36" s="123">
        <f>836.5+218+198.6+208+855.4</f>
        <v>2316.5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857.37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f>275.4+202.5+247.7</f>
        <v>725.59999999999991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30</v>
      </c>
      <c r="C38" s="134">
        <v>180.77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45783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2316.5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887.37</v>
      </c>
      <c r="C40" s="150">
        <f>SUM(C37:C39)</f>
        <v>180.77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3042.1</v>
      </c>
      <c r="M40" s="158" t="s">
        <v>0</v>
      </c>
      <c r="N40" s="159" t="s">
        <v>29</v>
      </c>
      <c r="O40" s="160">
        <f>+L37</f>
        <v>725.59999999999991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1068.1400000000001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3042.1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90.170793650793655</v>
      </c>
      <c r="C44" s="181">
        <v>15.75</v>
      </c>
      <c r="D44" s="182">
        <f>60+20+297.64+295+349.02+398.53</f>
        <v>1420.19</v>
      </c>
      <c r="E44" s="183"/>
      <c r="F44" s="183"/>
      <c r="G44" s="178"/>
      <c r="H44" s="184" t="s">
        <v>18</v>
      </c>
      <c r="I44" s="185" t="s">
        <v>145</v>
      </c>
      <c r="J44" s="186">
        <v>2.0185</v>
      </c>
      <c r="K44" s="187">
        <f>+I44/J44</f>
        <v>1907.3569482288829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66.355253752680483</v>
      </c>
      <c r="C45" s="181">
        <v>13.99</v>
      </c>
      <c r="D45" s="182">
        <f>53+85.01+191+105.29+291+193.01+10</f>
        <v>928.31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61.151536812008572</v>
      </c>
      <c r="C47" s="181">
        <v>13.99</v>
      </c>
      <c r="D47" s="182">
        <v>855.51</v>
      </c>
      <c r="E47" s="183"/>
      <c r="F47" s="178"/>
      <c r="G47" s="178"/>
      <c r="H47" s="203" t="s">
        <v>11</v>
      </c>
      <c r="I47" s="204">
        <f>+K47/J47</f>
        <v>1.7154082774624857</v>
      </c>
      <c r="J47" s="205">
        <f>+J45</f>
        <v>3.7854000000000001</v>
      </c>
      <c r="K47" s="206">
        <f>+L47/I44</f>
        <v>6.4935064935064934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129.6766809728183</v>
      </c>
      <c r="C48" s="181">
        <v>6.99</v>
      </c>
      <c r="D48" s="182">
        <f>274.26+70.21+150+40.4+371.57</f>
        <v>906.44</v>
      </c>
      <c r="E48" s="183"/>
      <c r="F48" s="183"/>
      <c r="G48" s="178"/>
      <c r="H48" s="209">
        <f>(L36+B40+P23+P24+P22+L38)-SUM(D44:D47)+(P20+P21)</f>
        <v>-0.14000000000032742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347.35426518830104</v>
      </c>
      <c r="C49" s="212"/>
      <c r="D49" s="213">
        <f>SUM(D44:D48)</f>
        <v>4110.4500000000007</v>
      </c>
      <c r="E49" s="213">
        <v>4110.4500000000007</v>
      </c>
      <c r="F49" s="183"/>
      <c r="G49" s="178"/>
      <c r="H49" s="214">
        <f>(C38+L37+L39)-D48</f>
        <v>-7.0000000000163709E-2</v>
      </c>
      <c r="I49" s="215" t="s">
        <v>4</v>
      </c>
      <c r="J49" s="216" t="s">
        <v>3</v>
      </c>
      <c r="K49" s="217">
        <v>2.0185</v>
      </c>
      <c r="L49" s="218">
        <f>+K47-K45</f>
        <v>-0.49649350649350676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232">
        <f>SUM(G43:G53)</f>
        <v>0</v>
      </c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222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222"/>
      <c r="H57" s="223"/>
      <c r="I57" s="223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222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222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222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222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222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222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241"/>
      <c r="N64" s="107"/>
      <c r="O64" s="107"/>
      <c r="P64" s="107"/>
      <c r="Q64" s="1"/>
    </row>
    <row r="65" spans="1:20" x14ac:dyDescent="0.3">
      <c r="A65" s="234"/>
      <c r="D65" s="107"/>
      <c r="F65" s="244"/>
      <c r="G65" s="241"/>
      <c r="N65" s="107"/>
      <c r="O65" s="107"/>
      <c r="P65" s="107"/>
      <c r="Q65" s="1"/>
    </row>
    <row r="66" spans="1:20" x14ac:dyDescent="0.3">
      <c r="A66" s="234"/>
      <c r="F66" s="244"/>
      <c r="G66" s="241"/>
      <c r="N66" s="107"/>
      <c r="O66" s="107"/>
      <c r="P66" s="107"/>
      <c r="Q66" s="1"/>
    </row>
    <row r="67" spans="1:20" x14ac:dyDescent="0.3">
      <c r="A67" s="234">
        <v>84</v>
      </c>
      <c r="F67" s="246"/>
      <c r="G67" s="241"/>
      <c r="N67" s="107"/>
      <c r="Q67" s="1"/>
    </row>
    <row r="68" spans="1:20" x14ac:dyDescent="0.3">
      <c r="A68" s="239" t="s">
        <v>1</v>
      </c>
      <c r="F68" s="244"/>
      <c r="G68" s="241"/>
      <c r="N68" s="107"/>
      <c r="Q68" s="1"/>
    </row>
    <row r="69" spans="1:20" x14ac:dyDescent="0.3">
      <c r="A69" s="84"/>
      <c r="F69" s="242"/>
      <c r="G69" s="241"/>
      <c r="N69" s="107"/>
      <c r="Q69" s="1"/>
    </row>
    <row r="70" spans="1:20" x14ac:dyDescent="0.3">
      <c r="A70" s="234">
        <v>95</v>
      </c>
      <c r="F70" s="244"/>
      <c r="G70" s="241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41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84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84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84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9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84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84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84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9"/>
      <c r="N79" s="107"/>
      <c r="O79" s="107"/>
      <c r="P79" s="107"/>
      <c r="Q79" s="107"/>
      <c r="R79" s="197"/>
    </row>
    <row r="80" spans="1:20" x14ac:dyDescent="0.3">
      <c r="A80" s="84"/>
      <c r="F80" s="250"/>
      <c r="G80" s="223"/>
      <c r="N80" s="107"/>
      <c r="O80" s="107"/>
      <c r="P80" s="107"/>
      <c r="Q80" s="107"/>
      <c r="R80" s="197"/>
    </row>
    <row r="81" spans="1:19" x14ac:dyDescent="0.3">
      <c r="A81" s="84"/>
      <c r="F81" s="235"/>
      <c r="G81" s="223"/>
      <c r="N81" s="107"/>
      <c r="O81" s="107"/>
      <c r="P81" s="107"/>
      <c r="Q81" s="107"/>
      <c r="R81" s="197"/>
    </row>
    <row r="82" spans="1:19" x14ac:dyDescent="0.3">
      <c r="A82" s="84"/>
      <c r="F82" s="237"/>
      <c r="G82" s="223"/>
      <c r="N82" s="107"/>
      <c r="O82" s="107"/>
      <c r="P82" s="107"/>
      <c r="Q82" s="107"/>
      <c r="R82" s="197"/>
    </row>
    <row r="83" spans="1:19" x14ac:dyDescent="0.3">
      <c r="A83" s="84"/>
      <c r="F83" s="237"/>
      <c r="G83" s="223"/>
      <c r="N83" s="107"/>
      <c r="O83" s="107"/>
      <c r="P83" s="107"/>
      <c r="Q83" s="107"/>
      <c r="R83" s="197"/>
    </row>
    <row r="84" spans="1:19" x14ac:dyDescent="0.3">
      <c r="A84" s="84"/>
      <c r="F84" s="223"/>
      <c r="G84" s="223"/>
      <c r="N84" s="107"/>
      <c r="O84" s="107"/>
      <c r="P84" s="107"/>
      <c r="Q84" s="107"/>
    </row>
    <row r="85" spans="1:19" x14ac:dyDescent="0.3">
      <c r="N85" s="107"/>
      <c r="O85" s="107"/>
      <c r="P85" s="107"/>
      <c r="Q85" s="107"/>
    </row>
    <row r="86" spans="1:19" x14ac:dyDescent="0.3">
      <c r="N86" s="107"/>
      <c r="O86" s="202"/>
      <c r="P86" s="202"/>
      <c r="Q86" s="107"/>
    </row>
    <row r="87" spans="1:19" x14ac:dyDescent="0.3">
      <c r="N87" s="107"/>
      <c r="O87" s="202"/>
      <c r="P87" s="202"/>
      <c r="Q87" s="107"/>
    </row>
    <row r="88" spans="1:19" x14ac:dyDescent="0.3">
      <c r="N88" s="107"/>
      <c r="O88" s="202"/>
      <c r="P88" s="202"/>
      <c r="Q88" s="107"/>
    </row>
    <row r="89" spans="1:19" x14ac:dyDescent="0.3">
      <c r="N89" s="107"/>
      <c r="O89" s="202"/>
      <c r="P89" s="202"/>
      <c r="Q89" s="107"/>
    </row>
    <row r="90" spans="1:19" x14ac:dyDescent="0.3">
      <c r="N90" s="107"/>
      <c r="O90" s="202"/>
      <c r="P90" s="202"/>
      <c r="Q90" s="107"/>
    </row>
    <row r="91" spans="1:19" x14ac:dyDescent="0.3">
      <c r="N91" s="107"/>
      <c r="O91" s="202"/>
      <c r="P91" s="202"/>
      <c r="Q91" s="107"/>
      <c r="S91" s="251"/>
    </row>
    <row r="92" spans="1:19" x14ac:dyDescent="0.3">
      <c r="Q92" s="1"/>
    </row>
    <row r="93" spans="1:19" x14ac:dyDescent="0.3">
      <c r="Q93" s="1"/>
    </row>
    <row r="94" spans="1:19" x14ac:dyDescent="0.3">
      <c r="Q94" s="1"/>
    </row>
    <row r="95" spans="1:19" s="2" customFormat="1" x14ac:dyDescent="0.3">
      <c r="H95" s="1"/>
      <c r="I95" s="1"/>
      <c r="J95" s="1"/>
      <c r="K95" s="1"/>
      <c r="L95" s="1"/>
      <c r="M95" s="1"/>
    </row>
    <row r="96" spans="1:19" s="2" customFormat="1" x14ac:dyDescent="0.3">
      <c r="H96" s="1"/>
      <c r="I96" s="1"/>
      <c r="J96" s="1"/>
      <c r="K96" s="1"/>
      <c r="L96" s="1"/>
      <c r="M96" s="1"/>
    </row>
    <row r="97" spans="8:19" s="2" customFormat="1" x14ac:dyDescent="0.3">
      <c r="H97" s="1"/>
      <c r="I97" s="1"/>
      <c r="J97" s="1"/>
      <c r="K97" s="1"/>
      <c r="L97" s="1"/>
      <c r="M97" s="1"/>
    </row>
    <row r="98" spans="8:19" s="2" customFormat="1" x14ac:dyDescent="0.3"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8:19" s="2" customFormat="1" x14ac:dyDescent="0.3"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8:19" s="2" customFormat="1" x14ac:dyDescent="0.3"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8:19" s="2" customFormat="1" x14ac:dyDescent="0.3"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8:19" s="2" customFormat="1" x14ac:dyDescent="0.3"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8:19" x14ac:dyDescent="0.3">
      <c r="N103" s="107"/>
      <c r="O103" s="202"/>
      <c r="P103" s="202"/>
      <c r="Q103" s="107"/>
    </row>
    <row r="104" spans="8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8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8:19" x14ac:dyDescent="0.3">
      <c r="H106" s="2"/>
      <c r="I106" s="2"/>
      <c r="J106" s="2"/>
      <c r="K106" s="2"/>
      <c r="L106" s="2"/>
      <c r="M106" s="2"/>
      <c r="N106" s="107"/>
      <c r="O106" s="202"/>
      <c r="Q106" s="107"/>
    </row>
    <row r="107" spans="8:19" x14ac:dyDescent="0.3">
      <c r="H107" s="2"/>
      <c r="I107" s="2"/>
      <c r="J107" s="2"/>
      <c r="K107" s="2"/>
      <c r="L107" s="2"/>
      <c r="M107" s="2"/>
      <c r="N107" s="107"/>
      <c r="O107" s="202"/>
      <c r="Q107" s="107"/>
    </row>
    <row r="108" spans="8:19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8:19" x14ac:dyDescent="0.3"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8:19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8:19" x14ac:dyDescent="0.3">
      <c r="H111" s="2"/>
      <c r="I111" s="2"/>
      <c r="J111" s="2"/>
      <c r="K111" s="2"/>
      <c r="L111" s="2"/>
      <c r="M111" s="2"/>
      <c r="N111" s="107"/>
      <c r="O111" s="202"/>
      <c r="Q111" s="107"/>
    </row>
    <row r="112" spans="8:19" x14ac:dyDescent="0.3">
      <c r="H112" s="2"/>
      <c r="I112" s="2"/>
      <c r="J112" s="2"/>
      <c r="K112" s="2"/>
      <c r="L112" s="2"/>
      <c r="M112" s="2"/>
      <c r="N112" s="107"/>
      <c r="O112" s="202"/>
      <c r="Q112" s="107"/>
    </row>
    <row r="113" spans="8:17" x14ac:dyDescent="0.3">
      <c r="H113" s="2"/>
      <c r="I113" s="2"/>
      <c r="J113" s="2"/>
      <c r="K113" s="2"/>
      <c r="L113" s="2"/>
      <c r="M113" s="2"/>
      <c r="N113" s="107"/>
      <c r="O113" s="202"/>
      <c r="Q113" s="107"/>
    </row>
    <row r="114" spans="8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8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8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8:17" x14ac:dyDescent="0.3">
      <c r="H117" s="2"/>
      <c r="I117" s="2"/>
      <c r="J117" s="2"/>
      <c r="K117" s="2"/>
      <c r="L117" s="2"/>
      <c r="M117" s="2"/>
      <c r="N117" s="107"/>
      <c r="O117" s="202"/>
    </row>
    <row r="118" spans="8:17" x14ac:dyDescent="0.3">
      <c r="H118" s="2"/>
      <c r="I118" s="2"/>
      <c r="J118" s="2"/>
      <c r="K118" s="2"/>
      <c r="L118" s="2"/>
      <c r="M118" s="2"/>
      <c r="N118" s="107"/>
      <c r="O118" s="202"/>
    </row>
    <row r="119" spans="8:17" x14ac:dyDescent="0.3">
      <c r="N119" s="107"/>
      <c r="O119" s="202"/>
    </row>
    <row r="120" spans="8:17" x14ac:dyDescent="0.3">
      <c r="N120" s="107"/>
      <c r="O120" s="202"/>
    </row>
    <row r="121" spans="8:17" x14ac:dyDescent="0.3">
      <c r="N121" s="107"/>
      <c r="O121" s="202"/>
    </row>
    <row r="122" spans="8:17" x14ac:dyDescent="0.3">
      <c r="N122" s="107"/>
    </row>
    <row r="123" spans="8:17" x14ac:dyDescent="0.3">
      <c r="N123" s="107"/>
    </row>
    <row r="124" spans="8:17" x14ac:dyDescent="0.3">
      <c r="N124" s="107"/>
    </row>
    <row r="125" spans="8:17" x14ac:dyDescent="0.3">
      <c r="N125" s="107"/>
    </row>
    <row r="126" spans="8:17" x14ac:dyDescent="0.3">
      <c r="N126" s="107"/>
    </row>
    <row r="127" spans="8:17" x14ac:dyDescent="0.3">
      <c r="N127" s="107"/>
    </row>
    <row r="128" spans="8:17" x14ac:dyDescent="0.3">
      <c r="N128" s="107"/>
      <c r="O128" s="254"/>
      <c r="P128" s="254"/>
    </row>
    <row r="129" spans="8:16" s="2" customFormat="1" x14ac:dyDescent="0.3">
      <c r="H129" s="1"/>
      <c r="I129" s="1"/>
      <c r="J129" s="1"/>
      <c r="K129" s="1"/>
      <c r="L129" s="1"/>
      <c r="M129" s="1"/>
      <c r="N129" s="107"/>
      <c r="O129" s="1"/>
      <c r="P129" s="1"/>
    </row>
    <row r="130" spans="8:16" s="2" customFormat="1" x14ac:dyDescent="0.3">
      <c r="H130" s="1"/>
      <c r="I130" s="1"/>
      <c r="J130" s="1"/>
      <c r="K130" s="1"/>
      <c r="L130" s="1"/>
      <c r="M130" s="1"/>
      <c r="N130" s="107"/>
      <c r="O130" s="1"/>
      <c r="P130" s="1"/>
    </row>
    <row r="131" spans="8:16" s="2" customFormat="1" x14ac:dyDescent="0.3">
      <c r="H131" s="1"/>
      <c r="I131" s="1"/>
      <c r="J131" s="1"/>
      <c r="K131" s="1"/>
      <c r="L131" s="1"/>
      <c r="M131" s="1"/>
      <c r="N131" s="107"/>
      <c r="O131" s="1"/>
      <c r="P131" s="1"/>
    </row>
    <row r="132" spans="8:16" s="2" customFormat="1" x14ac:dyDescent="0.3">
      <c r="H132" s="1"/>
      <c r="I132" s="1"/>
      <c r="J132" s="1"/>
      <c r="K132" s="1"/>
      <c r="L132" s="1"/>
      <c r="M132" s="1"/>
      <c r="N132" s="107"/>
      <c r="O132" s="1"/>
      <c r="P132" s="1"/>
    </row>
    <row r="133" spans="8:16" s="2" customFormat="1" x14ac:dyDescent="0.3">
      <c r="H133" s="1"/>
      <c r="I133" s="1"/>
      <c r="J133" s="1"/>
      <c r="K133" s="1"/>
      <c r="L133" s="1"/>
      <c r="M133" s="1"/>
      <c r="N133" s="107"/>
      <c r="O133" s="1"/>
      <c r="P133" s="1"/>
    </row>
    <row r="134" spans="8:16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8:16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8:16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8:16" s="2" customFormat="1" x14ac:dyDescent="0.3">
      <c r="H137" s="1"/>
      <c r="I137" s="1"/>
      <c r="J137" s="1"/>
      <c r="K137" s="1"/>
      <c r="L137" s="1"/>
      <c r="M137" s="1"/>
      <c r="N137" s="107"/>
      <c r="O137" s="1"/>
      <c r="P137" s="1"/>
    </row>
    <row r="138" spans="8:16" s="2" customFormat="1" x14ac:dyDescent="0.3">
      <c r="H138" s="1"/>
      <c r="I138" s="1"/>
      <c r="J138" s="1"/>
      <c r="K138" s="1"/>
      <c r="L138" s="1"/>
      <c r="M138" s="1"/>
      <c r="N138" s="107"/>
      <c r="O138" s="1"/>
      <c r="P138" s="1"/>
    </row>
    <row r="139" spans="8:16" s="2" customFormat="1" x14ac:dyDescent="0.3">
      <c r="H139" s="1"/>
      <c r="I139" s="1"/>
      <c r="J139" s="1"/>
      <c r="K139" s="1"/>
      <c r="L139" s="1"/>
      <c r="M139" s="1"/>
      <c r="N139" s="107"/>
      <c r="O139" s="1"/>
      <c r="P139" s="1"/>
    </row>
    <row r="140" spans="8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8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8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8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</sheetData>
  <autoFilter ref="A6:P6" xr:uid="{00000000-0009-0000-0000-000005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143"/>
  <sheetViews>
    <sheetView topLeftCell="A4"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45784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127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+'06'!K7</f>
        <v>3387.7899999405122</v>
      </c>
      <c r="C7" s="24">
        <f>L28+L29</f>
        <v>0</v>
      </c>
      <c r="D7" s="25"/>
      <c r="E7" s="25"/>
      <c r="F7" s="26">
        <f t="shared" ref="F7:F12" si="0">+B7+C7+D7+E7</f>
        <v>3387.7899999405122</v>
      </c>
      <c r="G7" s="27">
        <f>B48-H7</f>
        <v>204.56223175965664</v>
      </c>
      <c r="H7" s="24"/>
      <c r="I7" s="28"/>
      <c r="J7" s="23">
        <f t="shared" ref="J7:J12" si="1">+G7+H7+I7</f>
        <v>204.56223175965664</v>
      </c>
      <c r="K7" s="23">
        <f t="shared" ref="K7:K12" si="2">+F7-J7</f>
        <v>3183.2277681808555</v>
      </c>
      <c r="L7" s="29">
        <f>+'06'!M7</f>
        <v>3387.7899999405122</v>
      </c>
      <c r="M7" s="30">
        <v>3183.2277681808555</v>
      </c>
      <c r="N7" s="26">
        <f t="shared" ref="N7:N12" si="3">+G7</f>
        <v>204.56223175965664</v>
      </c>
      <c r="O7" s="26">
        <f>+C48</f>
        <v>6.99</v>
      </c>
      <c r="P7" s="31">
        <f t="shared" ref="P7:P12" si="4">+N7*O7</f>
        <v>1429.8899999999999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+'06'!K8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+'06'!M8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+'06'!K9</f>
        <v>887.16507936507946</v>
      </c>
      <c r="C9" s="24">
        <f>L30</f>
        <v>0</v>
      </c>
      <c r="D9" s="34"/>
      <c r="E9" s="25"/>
      <c r="F9" s="26">
        <f t="shared" si="0"/>
        <v>887.16507936507946</v>
      </c>
      <c r="G9" s="27">
        <f>+B44-H9</f>
        <v>89.511111111111106</v>
      </c>
      <c r="H9" s="24">
        <f>+E9</f>
        <v>0</v>
      </c>
      <c r="I9" s="28"/>
      <c r="J9" s="23">
        <f t="shared" si="1"/>
        <v>89.511111111111106</v>
      </c>
      <c r="K9" s="23">
        <f t="shared" si="2"/>
        <v>797.6539682539684</v>
      </c>
      <c r="L9" s="29">
        <f>+'06'!M9</f>
        <v>885</v>
      </c>
      <c r="M9" s="30">
        <v>795</v>
      </c>
      <c r="N9" s="26">
        <f t="shared" si="3"/>
        <v>89.511111111111106</v>
      </c>
      <c r="O9" s="26">
        <f>+C44</f>
        <v>15.75</v>
      </c>
      <c r="P9" s="31">
        <f t="shared" si="4"/>
        <v>1409.8</v>
      </c>
      <c r="Q9" s="32">
        <f t="shared" si="5"/>
        <v>-2.6539682539684009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+'06'!K10</f>
        <v>542.76340243030734</v>
      </c>
      <c r="C10" s="24">
        <f>L31</f>
        <v>990</v>
      </c>
      <c r="D10" s="34"/>
      <c r="E10" s="25"/>
      <c r="F10" s="26">
        <f t="shared" si="0"/>
        <v>1532.7634024303075</v>
      </c>
      <c r="G10" s="27">
        <f>+B45-H10</f>
        <v>97.162973552537522</v>
      </c>
      <c r="H10" s="24">
        <f>+E10</f>
        <v>0</v>
      </c>
      <c r="I10" s="28"/>
      <c r="J10" s="23">
        <f t="shared" si="1"/>
        <v>97.162973552537522</v>
      </c>
      <c r="K10" s="23">
        <f t="shared" si="2"/>
        <v>1435.6004288777699</v>
      </c>
      <c r="L10" s="29">
        <f>+'06'!M10</f>
        <v>540</v>
      </c>
      <c r="M10" s="30">
        <v>1430</v>
      </c>
      <c r="N10" s="26">
        <f t="shared" si="3"/>
        <v>97.162973552537522</v>
      </c>
      <c r="O10" s="26">
        <f>+C45</f>
        <v>13.99</v>
      </c>
      <c r="P10" s="31">
        <f t="shared" si="4"/>
        <v>1359.31</v>
      </c>
      <c r="Q10" s="32">
        <f t="shared" si="5"/>
        <v>-5.6004288777699003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+'06'!K11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+'06'!M11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+'06'!K12</f>
        <v>421.55039313795567</v>
      </c>
      <c r="C12" s="40">
        <f>L33</f>
        <v>1550</v>
      </c>
      <c r="D12" s="41"/>
      <c r="E12" s="42"/>
      <c r="F12" s="26">
        <f t="shared" si="0"/>
        <v>1971.5503931379558</v>
      </c>
      <c r="G12" s="43">
        <f>+B47-H12</f>
        <v>118.04789135096497</v>
      </c>
      <c r="H12" s="40">
        <f>+E12</f>
        <v>0</v>
      </c>
      <c r="I12" s="28"/>
      <c r="J12" s="44">
        <f t="shared" si="1"/>
        <v>118.04789135096497</v>
      </c>
      <c r="K12" s="44">
        <f t="shared" si="2"/>
        <v>1853.5025017869907</v>
      </c>
      <c r="L12" s="29">
        <f>+'06'!M12</f>
        <v>422</v>
      </c>
      <c r="M12" s="30">
        <v>1855</v>
      </c>
      <c r="N12" s="42">
        <f t="shared" si="3"/>
        <v>118.04789135096497</v>
      </c>
      <c r="O12" s="42">
        <f>+C47</f>
        <v>13.99</v>
      </c>
      <c r="P12" s="45">
        <f t="shared" si="4"/>
        <v>1651.49</v>
      </c>
      <c r="Q12" s="32">
        <f t="shared" si="5"/>
        <v>1.497498213009294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5239.2688748738537</v>
      </c>
      <c r="C13" s="23">
        <f t="shared" si="6"/>
        <v>2540</v>
      </c>
      <c r="D13" s="23">
        <f t="shared" si="6"/>
        <v>0</v>
      </c>
      <c r="E13" s="23">
        <f t="shared" si="6"/>
        <v>0</v>
      </c>
      <c r="F13" s="23">
        <f t="shared" si="6"/>
        <v>7779.2688748738547</v>
      </c>
      <c r="G13" s="23">
        <f t="shared" si="6"/>
        <v>509.28420777427027</v>
      </c>
      <c r="H13" s="23">
        <f t="shared" si="6"/>
        <v>0</v>
      </c>
      <c r="I13" s="23">
        <f t="shared" si="6"/>
        <v>0</v>
      </c>
      <c r="J13" s="23">
        <f t="shared" si="6"/>
        <v>509.28420777427027</v>
      </c>
      <c r="K13" s="23">
        <f t="shared" si="6"/>
        <v>7269.9846670995848</v>
      </c>
      <c r="L13" s="29">
        <f t="shared" si="6"/>
        <v>5234.7899999405126</v>
      </c>
      <c r="M13" s="23">
        <f t="shared" si="6"/>
        <v>7263.2277681808555</v>
      </c>
      <c r="N13" s="23">
        <f t="shared" si="6"/>
        <v>509.28420777427027</v>
      </c>
      <c r="O13" s="23"/>
      <c r="P13" s="23">
        <f>SUM(P7:P12)</f>
        <v>5850.49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509.28420777427027</v>
      </c>
      <c r="P16" s="65">
        <f>+P13</f>
        <v>5850.49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827.55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308.55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0.17202999999972235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>
        <f>8.408*13.99+13.995*13.99</f>
        <v>313.41796999999997</v>
      </c>
      <c r="K22" s="75" t="s">
        <v>34</v>
      </c>
      <c r="L22" s="72">
        <f>+E26*(O12-F26)+E27*(O9-F27)+E28*(O10-F28)+E29*(O7-F29)</f>
        <v>963.7</v>
      </c>
      <c r="M22" s="326" t="s">
        <v>85</v>
      </c>
      <c r="N22" s="316"/>
      <c r="O22" s="317"/>
      <c r="P22" s="76">
        <f>+L22</f>
        <v>963.7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>
        <v>963.7</v>
      </c>
      <c r="M24" s="326" t="s">
        <v>80</v>
      </c>
      <c r="N24" s="316"/>
      <c r="O24" s="317"/>
      <c r="P24" s="76">
        <f>+J39+J22+J28+J33+J34</f>
        <v>378.41796999999997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5291.5737499999996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3372.1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>
        <f>963.7/13.99</f>
        <v>68.884917798427452</v>
      </c>
      <c r="F26" s="60">
        <v>0</v>
      </c>
      <c r="G26" s="61">
        <f t="shared" si="7"/>
        <v>0</v>
      </c>
      <c r="H26" s="70" t="s">
        <v>152</v>
      </c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>
        <f>5+10</f>
        <v>15</v>
      </c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2875.0556350000002</v>
      </c>
      <c r="K30" s="90" t="s">
        <v>19</v>
      </c>
      <c r="L30" s="91"/>
      <c r="M30" s="92"/>
      <c r="N30" s="92"/>
      <c r="O30" s="93" t="s">
        <v>56</v>
      </c>
      <c r="P30" s="98">
        <f>12888.69/1050</f>
        <v>12.274942857142857</v>
      </c>
      <c r="Q30" s="95">
        <f>+O9-P30</f>
        <v>3.4750571428571426</v>
      </c>
      <c r="S30" s="48">
        <f t="shared" si="8"/>
        <v>2.6539682539684009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>
        <v>990</v>
      </c>
      <c r="M31" s="92" t="s">
        <v>153</v>
      </c>
      <c r="N31" s="92" t="s">
        <v>154</v>
      </c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5.6004288777699003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ht="20.39999999999999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>
        <v>50</v>
      </c>
      <c r="K33" s="104" t="s">
        <v>35</v>
      </c>
      <c r="L33" s="91">
        <f>1050+500</f>
        <v>1550</v>
      </c>
      <c r="M33" s="92" t="s">
        <v>149</v>
      </c>
      <c r="N33" s="92" t="s">
        <v>150</v>
      </c>
      <c r="O33" s="93" t="s">
        <v>151</v>
      </c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-1.497498213009294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45784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-185</v>
      </c>
      <c r="K36" s="116" t="s">
        <v>32</v>
      </c>
      <c r="L36" s="123">
        <f>476.6+1091.3+498+185</f>
        <v>2250.9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f>2011.02-500-880.97</f>
        <v>630.04999999999995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f>290.4+273.5+0+557.3</f>
        <v>1121.1999999999998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197.5</v>
      </c>
      <c r="C38" s="134">
        <v>308.55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45784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2250.9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827.55</v>
      </c>
      <c r="C40" s="150">
        <f>SUM(C37:C39)</f>
        <v>308.55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3372.1</v>
      </c>
      <c r="M40" s="158" t="s">
        <v>0</v>
      </c>
      <c r="N40" s="159" t="s">
        <v>29</v>
      </c>
      <c r="O40" s="160">
        <f>+L37</f>
        <v>1121.1999999999998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1136.0999999999999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3372.1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89.511111111111106</v>
      </c>
      <c r="C44" s="181">
        <v>15.75</v>
      </c>
      <c r="D44" s="182">
        <f>297.04+237.34+353.39+137.03+385</f>
        <v>1409.8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97.162973552537522</v>
      </c>
      <c r="C45" s="181">
        <v>13.99</v>
      </c>
      <c r="D45" s="182">
        <f>54+47+318.04+337+15+271+317.27</f>
        <v>1359.31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118.04789135096497</v>
      </c>
      <c r="C47" s="181">
        <v>13.99</v>
      </c>
      <c r="D47" s="182">
        <f>230+670.67+750.82</f>
        <v>1651.49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204.56223175965664</v>
      </c>
      <c r="C48" s="181">
        <v>6.99</v>
      </c>
      <c r="D48" s="182">
        <v>1429.8899999999999</v>
      </c>
      <c r="E48" s="183"/>
      <c r="F48" s="183"/>
      <c r="G48" s="178"/>
      <c r="H48" s="209">
        <f>(L36+B40+P23+P24+P22+L38)-SUM(D44:D47)+(P20+P21)</f>
        <v>-3.2029999999394931E-2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509.28420777427021</v>
      </c>
      <c r="C49" s="212"/>
      <c r="D49" s="213">
        <f>SUM(D44:D48)</f>
        <v>5850.49</v>
      </c>
      <c r="E49" s="213">
        <v>5850.49</v>
      </c>
      <c r="F49" s="183"/>
      <c r="G49" s="178"/>
      <c r="H49" s="214">
        <f>(C38+L37+L39)-D48</f>
        <v>-0.14000000000010004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232">
        <f>SUM(G43:G53)</f>
        <v>0</v>
      </c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222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222"/>
      <c r="H57" s="223"/>
      <c r="I57" s="223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222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222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222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222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222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222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241"/>
      <c r="N64" s="107"/>
      <c r="O64" s="107"/>
      <c r="P64" s="107"/>
      <c r="Q64" s="1"/>
    </row>
    <row r="65" spans="1:20" x14ac:dyDescent="0.3">
      <c r="A65" s="234"/>
      <c r="D65" s="107"/>
      <c r="F65" s="244"/>
      <c r="G65" s="241"/>
      <c r="N65" s="107"/>
      <c r="O65" s="107"/>
      <c r="P65" s="107"/>
      <c r="Q65" s="1"/>
    </row>
    <row r="66" spans="1:20" x14ac:dyDescent="0.3">
      <c r="A66" s="234"/>
      <c r="F66" s="244"/>
      <c r="G66" s="241"/>
      <c r="N66" s="107"/>
      <c r="O66" s="107"/>
      <c r="P66" s="107"/>
      <c r="Q66" s="1"/>
    </row>
    <row r="67" spans="1:20" x14ac:dyDescent="0.3">
      <c r="A67" s="234">
        <v>84</v>
      </c>
      <c r="F67" s="246"/>
      <c r="G67" s="241"/>
      <c r="N67" s="107"/>
      <c r="Q67" s="1"/>
    </row>
    <row r="68" spans="1:20" x14ac:dyDescent="0.3">
      <c r="A68" s="239" t="s">
        <v>1</v>
      </c>
      <c r="F68" s="244"/>
      <c r="G68" s="241"/>
      <c r="N68" s="107"/>
      <c r="Q68" s="1"/>
    </row>
    <row r="69" spans="1:20" x14ac:dyDescent="0.3">
      <c r="A69" s="84"/>
      <c r="F69" s="242"/>
      <c r="G69" s="241"/>
      <c r="N69" s="107"/>
      <c r="Q69" s="1"/>
    </row>
    <row r="70" spans="1:20" x14ac:dyDescent="0.3">
      <c r="A70" s="234">
        <v>95</v>
      </c>
      <c r="F70" s="244"/>
      <c r="G70" s="241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41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84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84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84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9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84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84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84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9"/>
      <c r="N79" s="107"/>
      <c r="O79" s="107"/>
      <c r="P79" s="107"/>
      <c r="Q79" s="107"/>
      <c r="R79" s="197"/>
    </row>
    <row r="80" spans="1:20" x14ac:dyDescent="0.3">
      <c r="A80" s="84"/>
      <c r="F80" s="250"/>
      <c r="G80" s="223"/>
      <c r="N80" s="107"/>
      <c r="O80" s="107"/>
      <c r="P80" s="107"/>
      <c r="Q80" s="107"/>
      <c r="R80" s="197"/>
    </row>
    <row r="81" spans="1:19" x14ac:dyDescent="0.3">
      <c r="A81" s="84"/>
      <c r="F81" s="235"/>
      <c r="G81" s="223"/>
      <c r="N81" s="107"/>
      <c r="O81" s="107"/>
      <c r="P81" s="107"/>
      <c r="Q81" s="107"/>
      <c r="R81" s="197"/>
    </row>
    <row r="82" spans="1:19" x14ac:dyDescent="0.3">
      <c r="A82" s="84"/>
      <c r="F82" s="237"/>
      <c r="G82" s="223"/>
      <c r="N82" s="107"/>
      <c r="O82" s="107"/>
      <c r="P82" s="107"/>
      <c r="Q82" s="107"/>
      <c r="R82" s="197"/>
    </row>
    <row r="83" spans="1:19" x14ac:dyDescent="0.3">
      <c r="A83" s="84"/>
      <c r="F83" s="237"/>
      <c r="G83" s="223"/>
      <c r="N83" s="107"/>
      <c r="O83" s="107"/>
      <c r="P83" s="107"/>
      <c r="Q83" s="107"/>
      <c r="R83" s="197"/>
    </row>
    <row r="84" spans="1:19" x14ac:dyDescent="0.3">
      <c r="A84" s="84"/>
      <c r="F84" s="223"/>
      <c r="G84" s="223"/>
      <c r="N84" s="107"/>
      <c r="O84" s="107"/>
      <c r="P84" s="107"/>
      <c r="Q84" s="107"/>
    </row>
    <row r="85" spans="1:19" x14ac:dyDescent="0.3">
      <c r="N85" s="107"/>
      <c r="O85" s="107"/>
      <c r="P85" s="107"/>
      <c r="Q85" s="107"/>
    </row>
    <row r="86" spans="1:19" x14ac:dyDescent="0.3">
      <c r="N86" s="107"/>
      <c r="O86" s="202"/>
      <c r="P86" s="202"/>
      <c r="Q86" s="107"/>
    </row>
    <row r="87" spans="1:19" x14ac:dyDescent="0.3">
      <c r="N87" s="107"/>
      <c r="O87" s="202"/>
      <c r="P87" s="202"/>
      <c r="Q87" s="107"/>
    </row>
    <row r="88" spans="1:19" x14ac:dyDescent="0.3">
      <c r="N88" s="107"/>
      <c r="O88" s="202"/>
      <c r="P88" s="202"/>
      <c r="Q88" s="107"/>
    </row>
    <row r="89" spans="1:19" x14ac:dyDescent="0.3">
      <c r="N89" s="107"/>
      <c r="O89" s="202"/>
      <c r="P89" s="202"/>
      <c r="Q89" s="107"/>
    </row>
    <row r="90" spans="1:19" x14ac:dyDescent="0.3">
      <c r="N90" s="107"/>
      <c r="O90" s="202"/>
      <c r="P90" s="202"/>
      <c r="Q90" s="107"/>
    </row>
    <row r="91" spans="1:19" x14ac:dyDescent="0.3">
      <c r="N91" s="107"/>
      <c r="O91" s="202"/>
      <c r="P91" s="202"/>
      <c r="Q91" s="107"/>
      <c r="S91" s="251"/>
    </row>
    <row r="92" spans="1:19" x14ac:dyDescent="0.3">
      <c r="Q92" s="1"/>
    </row>
    <row r="93" spans="1:19" x14ac:dyDescent="0.3">
      <c r="Q93" s="1"/>
    </row>
    <row r="94" spans="1:19" x14ac:dyDescent="0.3">
      <c r="Q94" s="1"/>
    </row>
    <row r="95" spans="1:19" s="2" customFormat="1" x14ac:dyDescent="0.3">
      <c r="H95" s="1"/>
      <c r="I95" s="1"/>
      <c r="J95" s="1"/>
      <c r="K95" s="1"/>
      <c r="L95" s="1"/>
      <c r="M95" s="1"/>
    </row>
    <row r="96" spans="1:19" s="2" customFormat="1" x14ac:dyDescent="0.3">
      <c r="H96" s="1"/>
      <c r="I96" s="1"/>
      <c r="J96" s="1"/>
      <c r="K96" s="1"/>
      <c r="L96" s="1"/>
      <c r="M96" s="1"/>
    </row>
    <row r="97" spans="8:19" s="2" customFormat="1" x14ac:dyDescent="0.3">
      <c r="H97" s="1"/>
      <c r="I97" s="1"/>
      <c r="J97" s="1"/>
      <c r="K97" s="1"/>
      <c r="L97" s="1"/>
      <c r="M97" s="1"/>
    </row>
    <row r="98" spans="8:19" s="2" customFormat="1" x14ac:dyDescent="0.3"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8:19" s="2" customFormat="1" x14ac:dyDescent="0.3"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8:19" s="2" customFormat="1" x14ac:dyDescent="0.3"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8:19" s="2" customFormat="1" x14ac:dyDescent="0.3"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8:19" s="2" customFormat="1" x14ac:dyDescent="0.3"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8:19" x14ac:dyDescent="0.3">
      <c r="N103" s="107"/>
      <c r="O103" s="202"/>
      <c r="P103" s="202"/>
      <c r="Q103" s="107"/>
    </row>
    <row r="104" spans="8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8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8:19" x14ac:dyDescent="0.3">
      <c r="H106" s="2"/>
      <c r="I106" s="2"/>
      <c r="J106" s="2"/>
      <c r="K106" s="2"/>
      <c r="L106" s="2"/>
      <c r="M106" s="2"/>
      <c r="N106" s="107"/>
      <c r="O106" s="202"/>
      <c r="Q106" s="107"/>
    </row>
    <row r="107" spans="8:19" x14ac:dyDescent="0.3">
      <c r="H107" s="2"/>
      <c r="I107" s="2"/>
      <c r="J107" s="2"/>
      <c r="K107" s="2"/>
      <c r="L107" s="2"/>
      <c r="M107" s="2"/>
      <c r="N107" s="107"/>
      <c r="O107" s="202"/>
      <c r="Q107" s="107"/>
    </row>
    <row r="108" spans="8:19" x14ac:dyDescent="0.3">
      <c r="H108" s="2"/>
      <c r="I108" s="2"/>
      <c r="J108" s="2"/>
      <c r="K108" s="2"/>
      <c r="L108" s="2"/>
      <c r="M108" s="2"/>
      <c r="N108" s="107"/>
      <c r="O108" s="202"/>
      <c r="Q108" s="107"/>
    </row>
    <row r="109" spans="8:19" x14ac:dyDescent="0.3"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8:19" x14ac:dyDescent="0.3">
      <c r="H110" s="2"/>
      <c r="I110" s="2"/>
      <c r="J110" s="2"/>
      <c r="K110" s="2"/>
      <c r="L110" s="2"/>
      <c r="M110" s="2"/>
      <c r="N110" s="107"/>
      <c r="O110" s="202"/>
      <c r="Q110" s="107"/>
    </row>
    <row r="111" spans="8:19" x14ac:dyDescent="0.3">
      <c r="H111" s="2"/>
      <c r="I111" s="2"/>
      <c r="J111" s="2"/>
      <c r="K111" s="2"/>
      <c r="L111" s="2"/>
      <c r="M111" s="2"/>
      <c r="N111" s="107"/>
      <c r="O111" s="202"/>
      <c r="Q111" s="107"/>
    </row>
    <row r="112" spans="8:19" x14ac:dyDescent="0.3">
      <c r="H112" s="2"/>
      <c r="I112" s="2"/>
      <c r="J112" s="2"/>
      <c r="K112" s="2"/>
      <c r="L112" s="2"/>
      <c r="M112" s="2"/>
      <c r="N112" s="107"/>
      <c r="O112" s="202"/>
      <c r="Q112" s="107"/>
    </row>
    <row r="113" spans="8:17" x14ac:dyDescent="0.3">
      <c r="H113" s="2"/>
      <c r="I113" s="2"/>
      <c r="J113" s="2"/>
      <c r="K113" s="2"/>
      <c r="L113" s="2"/>
      <c r="M113" s="2"/>
      <c r="N113" s="107"/>
      <c r="O113" s="202"/>
      <c r="Q113" s="107"/>
    </row>
    <row r="114" spans="8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8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8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8:17" x14ac:dyDescent="0.3">
      <c r="H117" s="2"/>
      <c r="I117" s="2"/>
      <c r="J117" s="2"/>
      <c r="K117" s="2"/>
      <c r="L117" s="2"/>
      <c r="M117" s="2"/>
      <c r="N117" s="107"/>
      <c r="O117" s="202"/>
    </row>
    <row r="118" spans="8:17" x14ac:dyDescent="0.3">
      <c r="H118" s="2"/>
      <c r="I118" s="2"/>
      <c r="J118" s="2"/>
      <c r="K118" s="2"/>
      <c r="L118" s="2"/>
      <c r="M118" s="2"/>
      <c r="N118" s="107"/>
      <c r="O118" s="202"/>
    </row>
    <row r="119" spans="8:17" x14ac:dyDescent="0.3">
      <c r="N119" s="107"/>
      <c r="O119" s="202"/>
    </row>
    <row r="120" spans="8:17" x14ac:dyDescent="0.3">
      <c r="N120" s="107"/>
      <c r="O120" s="202"/>
    </row>
    <row r="121" spans="8:17" x14ac:dyDescent="0.3">
      <c r="N121" s="107"/>
      <c r="O121" s="202"/>
    </row>
    <row r="122" spans="8:17" x14ac:dyDescent="0.3">
      <c r="N122" s="107"/>
    </row>
    <row r="123" spans="8:17" x14ac:dyDescent="0.3">
      <c r="N123" s="107"/>
    </row>
    <row r="124" spans="8:17" x14ac:dyDescent="0.3">
      <c r="N124" s="107"/>
    </row>
    <row r="125" spans="8:17" x14ac:dyDescent="0.3">
      <c r="N125" s="107"/>
    </row>
    <row r="126" spans="8:17" x14ac:dyDescent="0.3">
      <c r="N126" s="107"/>
    </row>
    <row r="127" spans="8:17" x14ac:dyDescent="0.3">
      <c r="N127" s="107"/>
    </row>
    <row r="128" spans="8:17" x14ac:dyDescent="0.3">
      <c r="N128" s="107"/>
      <c r="O128" s="254"/>
      <c r="P128" s="254"/>
    </row>
    <row r="129" spans="8:16" s="2" customFormat="1" x14ac:dyDescent="0.3">
      <c r="H129" s="1"/>
      <c r="I129" s="1"/>
      <c r="J129" s="1"/>
      <c r="K129" s="1"/>
      <c r="L129" s="1"/>
      <c r="M129" s="1"/>
      <c r="N129" s="107"/>
      <c r="O129" s="1"/>
      <c r="P129" s="1"/>
    </row>
    <row r="130" spans="8:16" s="2" customFormat="1" x14ac:dyDescent="0.3">
      <c r="H130" s="1"/>
      <c r="I130" s="1"/>
      <c r="J130" s="1"/>
      <c r="K130" s="1"/>
      <c r="L130" s="1"/>
      <c r="M130" s="1"/>
      <c r="N130" s="107"/>
      <c r="O130" s="1"/>
      <c r="P130" s="1"/>
    </row>
    <row r="131" spans="8:16" s="2" customFormat="1" x14ac:dyDescent="0.3">
      <c r="H131" s="1"/>
      <c r="I131" s="1"/>
      <c r="J131" s="1"/>
      <c r="K131" s="1"/>
      <c r="L131" s="1"/>
      <c r="M131" s="1"/>
      <c r="N131" s="107"/>
      <c r="O131" s="1"/>
      <c r="P131" s="1"/>
    </row>
    <row r="132" spans="8:16" s="2" customFormat="1" x14ac:dyDescent="0.3">
      <c r="H132" s="1"/>
      <c r="I132" s="1"/>
      <c r="J132" s="1"/>
      <c r="K132" s="1"/>
      <c r="L132" s="1"/>
      <c r="M132" s="1"/>
      <c r="N132" s="107"/>
      <c r="O132" s="1"/>
      <c r="P132" s="1"/>
    </row>
    <row r="133" spans="8:16" s="2" customFormat="1" x14ac:dyDescent="0.3">
      <c r="H133" s="1"/>
      <c r="I133" s="1"/>
      <c r="J133" s="1"/>
      <c r="K133" s="1"/>
      <c r="L133" s="1"/>
      <c r="M133" s="1"/>
      <c r="N133" s="107"/>
      <c r="O133" s="1"/>
      <c r="P133" s="1"/>
    </row>
    <row r="134" spans="8:16" s="2" customFormat="1" x14ac:dyDescent="0.3">
      <c r="H134" s="1"/>
      <c r="I134" s="1"/>
      <c r="J134" s="1"/>
      <c r="K134" s="1"/>
      <c r="L134" s="1"/>
      <c r="M134" s="1"/>
      <c r="N134" s="107"/>
      <c r="O134" s="1"/>
      <c r="P134" s="1"/>
    </row>
    <row r="135" spans="8:16" s="2" customFormat="1" x14ac:dyDescent="0.3">
      <c r="H135" s="1"/>
      <c r="I135" s="1"/>
      <c r="J135" s="1"/>
      <c r="K135" s="1"/>
      <c r="L135" s="1"/>
      <c r="M135" s="1"/>
      <c r="N135" s="107"/>
      <c r="O135" s="1"/>
      <c r="P135" s="1"/>
    </row>
    <row r="136" spans="8:16" s="2" customFormat="1" x14ac:dyDescent="0.3">
      <c r="H136" s="1"/>
      <c r="I136" s="1"/>
      <c r="J136" s="1"/>
      <c r="K136" s="1"/>
      <c r="L136" s="1"/>
      <c r="M136" s="1"/>
      <c r="N136" s="107"/>
      <c r="O136" s="1"/>
      <c r="P136" s="1"/>
    </row>
    <row r="137" spans="8:16" s="2" customFormat="1" x14ac:dyDescent="0.3">
      <c r="H137" s="1"/>
      <c r="I137" s="1"/>
      <c r="J137" s="1"/>
      <c r="K137" s="1"/>
      <c r="L137" s="1"/>
      <c r="M137" s="1"/>
      <c r="N137" s="107"/>
      <c r="O137" s="1"/>
      <c r="P137" s="1"/>
    </row>
    <row r="138" spans="8:16" s="2" customFormat="1" x14ac:dyDescent="0.3">
      <c r="H138" s="1"/>
      <c r="I138" s="1"/>
      <c r="J138" s="1"/>
      <c r="K138" s="1"/>
      <c r="L138" s="1"/>
      <c r="M138" s="1"/>
      <c r="N138" s="107"/>
      <c r="O138" s="1"/>
      <c r="P138" s="1"/>
    </row>
    <row r="139" spans="8:16" s="2" customFormat="1" x14ac:dyDescent="0.3">
      <c r="H139" s="1"/>
      <c r="I139" s="1"/>
      <c r="J139" s="1"/>
      <c r="K139" s="1"/>
      <c r="L139" s="1"/>
      <c r="M139" s="1"/>
      <c r="N139" s="107"/>
      <c r="O139" s="1"/>
      <c r="P139" s="1"/>
    </row>
    <row r="140" spans="8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8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8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8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</sheetData>
  <autoFilter ref="A6:P6" xr:uid="{00000000-0009-0000-0000-000006000000}"/>
  <mergeCells count="64">
    <mergeCell ref="O1:P1"/>
    <mergeCell ref="I2:J2"/>
    <mergeCell ref="K2:M2"/>
    <mergeCell ref="O2:P2"/>
    <mergeCell ref="O3:P3"/>
    <mergeCell ref="I16:J16"/>
    <mergeCell ref="C5:F5"/>
    <mergeCell ref="I17:J17"/>
    <mergeCell ref="G5:J5"/>
    <mergeCell ref="M14:P14"/>
    <mergeCell ref="A14:H14"/>
    <mergeCell ref="N5:P5"/>
    <mergeCell ref="I3:J3"/>
    <mergeCell ref="M15:N15"/>
    <mergeCell ref="A15:B15"/>
    <mergeCell ref="O4:P4"/>
    <mergeCell ref="K3:M3"/>
    <mergeCell ref="A1:H3"/>
    <mergeCell ref="I1:J1"/>
    <mergeCell ref="K1:M1"/>
    <mergeCell ref="H43:L43"/>
    <mergeCell ref="A17:B17"/>
    <mergeCell ref="A21:B21"/>
    <mergeCell ref="M35:P35"/>
    <mergeCell ref="A34:H34"/>
    <mergeCell ref="A27:B27"/>
    <mergeCell ref="I31:J31"/>
    <mergeCell ref="A28:B28"/>
    <mergeCell ref="A25:B25"/>
    <mergeCell ref="K19:L19"/>
    <mergeCell ref="M24:O24"/>
    <mergeCell ref="O41:P41"/>
    <mergeCell ref="M38:N38"/>
    <mergeCell ref="A20:B20"/>
    <mergeCell ref="M19:O19"/>
    <mergeCell ref="L5:M5"/>
    <mergeCell ref="A16:B16"/>
    <mergeCell ref="I18:L18"/>
    <mergeCell ref="M17:N17"/>
    <mergeCell ref="A33:B33"/>
    <mergeCell ref="K20:L20"/>
    <mergeCell ref="M25:N25"/>
    <mergeCell ref="I14:L14"/>
    <mergeCell ref="A18:B18"/>
    <mergeCell ref="I19:J19"/>
    <mergeCell ref="M18:N18"/>
    <mergeCell ref="A26:B26"/>
    <mergeCell ref="M22:O22"/>
    <mergeCell ref="A22:B22"/>
    <mergeCell ref="M23:O23"/>
    <mergeCell ref="I15:J15"/>
    <mergeCell ref="M41:N41"/>
    <mergeCell ref="M16:N16"/>
    <mergeCell ref="A19:B19"/>
    <mergeCell ref="I20:J20"/>
    <mergeCell ref="M21:O21"/>
    <mergeCell ref="M20:O20"/>
    <mergeCell ref="A24:B24"/>
    <mergeCell ref="I26:J26"/>
    <mergeCell ref="A23:B23"/>
    <mergeCell ref="K26:P26"/>
    <mergeCell ref="M36:P37"/>
    <mergeCell ref="I37:J37"/>
    <mergeCell ref="A35:C3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45785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128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+'07'!K7</f>
        <v>3183.2277681808555</v>
      </c>
      <c r="C7" s="24">
        <f>L28+L29</f>
        <v>0</v>
      </c>
      <c r="D7" s="25"/>
      <c r="E7" s="25"/>
      <c r="F7" s="26">
        <f t="shared" ref="F7:F12" si="0">+B7+C7+D7+E7</f>
        <v>3183.2277681808555</v>
      </c>
      <c r="G7" s="27">
        <f>B48-H7</f>
        <v>222.15021459227469</v>
      </c>
      <c r="H7" s="24"/>
      <c r="I7" s="28"/>
      <c r="J7" s="23">
        <f t="shared" ref="J7:J12" si="1">+G7+H7+I7</f>
        <v>222.15021459227469</v>
      </c>
      <c r="K7" s="23">
        <f t="shared" ref="K7:K12" si="2">+F7-J7</f>
        <v>2961.0775535885809</v>
      </c>
      <c r="L7" s="29">
        <f>+'07'!M7</f>
        <v>3183.2277681808555</v>
      </c>
      <c r="M7" s="30">
        <v>2961.0775535885809</v>
      </c>
      <c r="N7" s="26">
        <f t="shared" ref="N7:N12" si="3">+G7</f>
        <v>222.15021459227469</v>
      </c>
      <c r="O7" s="26">
        <f>+C48</f>
        <v>6.99</v>
      </c>
      <c r="P7" s="31">
        <f t="shared" ref="P7:P12" si="4">+N7*O7</f>
        <v>1552.8300000000002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+'07'!K8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+'07'!M8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+'07'!K9</f>
        <v>797.6539682539684</v>
      </c>
      <c r="C9" s="24">
        <f>L30</f>
        <v>0</v>
      </c>
      <c r="D9" s="34"/>
      <c r="E9" s="25"/>
      <c r="F9" s="26">
        <f t="shared" si="0"/>
        <v>797.6539682539684</v>
      </c>
      <c r="G9" s="27">
        <f>+B44-H9</f>
        <v>103.10984126984127</v>
      </c>
      <c r="H9" s="24">
        <f>+E9</f>
        <v>0</v>
      </c>
      <c r="I9" s="28"/>
      <c r="J9" s="23">
        <f t="shared" si="1"/>
        <v>103.10984126984127</v>
      </c>
      <c r="K9" s="23">
        <f t="shared" si="2"/>
        <v>694.54412698412716</v>
      </c>
      <c r="L9" s="29">
        <f>+'07'!M9</f>
        <v>795</v>
      </c>
      <c r="M9" s="30">
        <v>690</v>
      </c>
      <c r="N9" s="26">
        <f t="shared" si="3"/>
        <v>103.10984126984127</v>
      </c>
      <c r="O9" s="26">
        <f>+C44</f>
        <v>15.75</v>
      </c>
      <c r="P9" s="31">
        <f t="shared" si="4"/>
        <v>1623.98</v>
      </c>
      <c r="Q9" s="32">
        <f t="shared" si="5"/>
        <v>-4.5441269841271605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+'07'!K10</f>
        <v>1435.6004288777699</v>
      </c>
      <c r="C10" s="24">
        <f>L31</f>
        <v>0</v>
      </c>
      <c r="D10" s="34"/>
      <c r="E10" s="25"/>
      <c r="F10" s="26">
        <f t="shared" si="0"/>
        <v>1435.6004288777699</v>
      </c>
      <c r="G10" s="27">
        <f>+B45-H10</f>
        <v>106.73195139385275</v>
      </c>
      <c r="H10" s="24">
        <f>+E10</f>
        <v>0</v>
      </c>
      <c r="I10" s="28"/>
      <c r="J10" s="23">
        <f t="shared" si="1"/>
        <v>106.73195139385275</v>
      </c>
      <c r="K10" s="23">
        <f t="shared" si="2"/>
        <v>1328.8684774839171</v>
      </c>
      <c r="L10" s="29">
        <f>+'07'!M10</f>
        <v>1430</v>
      </c>
      <c r="M10" s="30">
        <v>1320</v>
      </c>
      <c r="N10" s="26">
        <f t="shared" si="3"/>
        <v>106.73195139385275</v>
      </c>
      <c r="O10" s="26">
        <f>+C45</f>
        <v>13.99</v>
      </c>
      <c r="P10" s="31">
        <f t="shared" si="4"/>
        <v>1493.18</v>
      </c>
      <c r="Q10" s="32">
        <f t="shared" si="5"/>
        <v>-8.8684774839171041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+'07'!K11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+'07'!M11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+'07'!K12</f>
        <v>1853.5025017869907</v>
      </c>
      <c r="C12" s="40">
        <f>L33</f>
        <v>0</v>
      </c>
      <c r="D12" s="41"/>
      <c r="E12" s="42"/>
      <c r="F12" s="26">
        <f t="shared" si="0"/>
        <v>1853.5025017869907</v>
      </c>
      <c r="G12" s="43">
        <f>+B47-H12</f>
        <v>139.94853466761973</v>
      </c>
      <c r="H12" s="40">
        <f>+E12</f>
        <v>0</v>
      </c>
      <c r="I12" s="28"/>
      <c r="J12" s="44">
        <f t="shared" si="1"/>
        <v>139.94853466761973</v>
      </c>
      <c r="K12" s="44">
        <f t="shared" si="2"/>
        <v>1713.553967119371</v>
      </c>
      <c r="L12" s="29">
        <f>+'07'!M12</f>
        <v>1855</v>
      </c>
      <c r="M12" s="30">
        <v>1715</v>
      </c>
      <c r="N12" s="42">
        <f t="shared" si="3"/>
        <v>139.94853466761973</v>
      </c>
      <c r="O12" s="42">
        <f>+C47</f>
        <v>13.99</v>
      </c>
      <c r="P12" s="45">
        <f t="shared" si="4"/>
        <v>1957.8799999999999</v>
      </c>
      <c r="Q12" s="32">
        <f t="shared" si="5"/>
        <v>1.4460328806289908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7269.9846670995848</v>
      </c>
      <c r="C13" s="23">
        <f t="shared" si="6"/>
        <v>0</v>
      </c>
      <c r="D13" s="23">
        <f t="shared" si="6"/>
        <v>0</v>
      </c>
      <c r="E13" s="23">
        <f t="shared" si="6"/>
        <v>0</v>
      </c>
      <c r="F13" s="23">
        <f t="shared" si="6"/>
        <v>7269.9846670995848</v>
      </c>
      <c r="G13" s="23">
        <f t="shared" si="6"/>
        <v>571.9405419235884</v>
      </c>
      <c r="H13" s="23">
        <f t="shared" si="6"/>
        <v>0</v>
      </c>
      <c r="I13" s="23">
        <f t="shared" si="6"/>
        <v>0</v>
      </c>
      <c r="J13" s="23">
        <f t="shared" si="6"/>
        <v>571.9405419235884</v>
      </c>
      <c r="K13" s="23">
        <f t="shared" si="6"/>
        <v>6698.0441251759967</v>
      </c>
      <c r="L13" s="29">
        <f t="shared" si="6"/>
        <v>7263.2277681808555</v>
      </c>
      <c r="M13" s="23">
        <f t="shared" si="6"/>
        <v>6686.0775535885805</v>
      </c>
      <c r="N13" s="23">
        <f t="shared" si="6"/>
        <v>571.9405419235884</v>
      </c>
      <c r="O13" s="23"/>
      <c r="P13" s="23">
        <f>SUM(P7:P12)</f>
        <v>6627.8700000000008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571.9405419235884</v>
      </c>
      <c r="P16" s="65">
        <f>+P13</f>
        <v>6627.8700000000008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1301.8600000000001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592.59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7.2599999999511056E-2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183.66</v>
      </c>
      <c r="M22" s="326" t="s">
        <v>85</v>
      </c>
      <c r="N22" s="316"/>
      <c r="O22" s="317"/>
      <c r="P22" s="76">
        <f>+L22</f>
        <v>183.66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8.5774000000000008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>
        <v>183.66</v>
      </c>
      <c r="M24" s="326" t="s">
        <v>80</v>
      </c>
      <c r="N24" s="316"/>
      <c r="O24" s="317"/>
      <c r="P24" s="76">
        <f>+J39+J22+J28+J33+J34</f>
        <v>120.01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>
        <v>42.887</v>
      </c>
      <c r="F25" s="60">
        <v>0.2</v>
      </c>
      <c r="G25" s="61">
        <f t="shared" si="7"/>
        <v>8.5774000000000008</v>
      </c>
      <c r="H25" s="70" t="s">
        <v>155</v>
      </c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0</v>
      </c>
      <c r="M25" s="327" t="s">
        <v>78</v>
      </c>
      <c r="N25" s="328"/>
      <c r="O25" s="82"/>
      <c r="P25" s="83">
        <f>P16-SUM(P17:P24)</f>
        <v>4421.1000000000004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>
        <f>183.66/15.75</f>
        <v>11.660952380952381</v>
      </c>
      <c r="F27" s="60">
        <v>0</v>
      </c>
      <c r="G27" s="61">
        <f t="shared" si="7"/>
        <v>0</v>
      </c>
      <c r="H27" s="70" t="s">
        <v>156</v>
      </c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>
        <v>70.010000000000005</v>
      </c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2930.0656350000004</v>
      </c>
      <c r="K30" s="90" t="s">
        <v>19</v>
      </c>
      <c r="L30" s="91"/>
      <c r="M30" s="92"/>
      <c r="N30" s="92"/>
      <c r="O30" s="93" t="s">
        <v>56</v>
      </c>
      <c r="P30" s="98">
        <f>12888.69/1050</f>
        <v>12.274942857142857</v>
      </c>
      <c r="Q30" s="95">
        <f>+O9-P30</f>
        <v>3.4750571428571426</v>
      </c>
      <c r="S30" s="48">
        <f t="shared" si="8"/>
        <v>4.5441269841271605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8.8684774839171041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8.5774000000000008</v>
      </c>
      <c r="H33" s="102"/>
      <c r="I33" s="73" t="s">
        <v>57</v>
      </c>
      <c r="J33" s="103">
        <v>50</v>
      </c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-1.4460328806289908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45785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-185</v>
      </c>
      <c r="K36" s="116" t="s">
        <v>32</v>
      </c>
      <c r="L36" s="123">
        <v>3460.9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900.86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960.2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401</v>
      </c>
      <c r="C38" s="134">
        <v>592.59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45785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3460.9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1301.8600000000001</v>
      </c>
      <c r="C40" s="150">
        <f>SUM(C37:C39)</f>
        <v>592.59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4421.1000000000004</v>
      </c>
      <c r="M40" s="158" t="s">
        <v>0</v>
      </c>
      <c r="N40" s="159" t="s">
        <v>29</v>
      </c>
      <c r="O40" s="160">
        <f>+L37</f>
        <v>960.2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1894.4500000000003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4421.1000000000004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103.10984126984127</v>
      </c>
      <c r="C44" s="181">
        <v>15.75</v>
      </c>
      <c r="D44" s="182">
        <v>1623.98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106.73195139385275</v>
      </c>
      <c r="C45" s="181">
        <v>13.99</v>
      </c>
      <c r="D45" s="182">
        <v>1493.18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139.94853466761973</v>
      </c>
      <c r="C47" s="181">
        <v>13.99</v>
      </c>
      <c r="D47" s="182">
        <v>1957.88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222.15021459227469</v>
      </c>
      <c r="C48" s="181">
        <v>6.99</v>
      </c>
      <c r="D48" s="182">
        <v>1552.8300000000002</v>
      </c>
      <c r="E48" s="183"/>
      <c r="F48" s="183"/>
      <c r="G48" s="178"/>
      <c r="H48" s="209">
        <f>(L36+B40+P23+P24+P22+L38)-SUM(D44:D47)+(P20+P21)</f>
        <v>-3.2599999999547435E-2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571.9405419235884</v>
      </c>
      <c r="C49" s="212"/>
      <c r="D49" s="213">
        <f>SUM(D44:D48)</f>
        <v>6627.87</v>
      </c>
      <c r="E49" s="213">
        <v>6627.87</v>
      </c>
      <c r="F49" s="183"/>
      <c r="G49" s="178"/>
      <c r="H49" s="214">
        <f>(C38+L37+L39)-D48</f>
        <v>-4.0000000000190994E-2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07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X154"/>
  <sheetViews>
    <sheetView zoomScale="90" workbookViewId="0">
      <selection activeCell="A12" sqref="A12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" style="1" customWidth="1"/>
    <col min="9" max="9" width="12.109375" style="1" customWidth="1"/>
    <col min="10" max="10" width="11.44140625" style="1" customWidth="1"/>
    <col min="11" max="11" width="12.109375" style="1" bestFit="1" customWidth="1"/>
    <col min="12" max="12" width="13.33203125" style="1" bestFit="1" customWidth="1"/>
    <col min="13" max="13" width="12.44140625" style="1" customWidth="1"/>
    <col min="14" max="14" width="14.6640625" style="1" customWidth="1"/>
    <col min="15" max="15" width="15" style="1" customWidth="1"/>
    <col min="16" max="16" width="16" style="1" customWidth="1"/>
    <col min="17" max="17" width="11.44140625" style="2" bestFit="1" customWidth="1"/>
    <col min="18" max="18" width="3.44140625" style="1" customWidth="1"/>
    <col min="19" max="19" width="13.109375" style="1" customWidth="1"/>
    <col min="20" max="20" width="12" style="1" bestFit="1" customWidth="1"/>
    <col min="21" max="16384" width="11.44140625" style="1"/>
  </cols>
  <sheetData>
    <row r="1" spans="1:24" x14ac:dyDescent="0.3">
      <c r="A1" s="335" t="s">
        <v>139</v>
      </c>
      <c r="B1" s="336"/>
      <c r="C1" s="336"/>
      <c r="D1" s="336"/>
      <c r="E1" s="336"/>
      <c r="F1" s="336"/>
      <c r="G1" s="336"/>
      <c r="H1" s="337"/>
      <c r="I1" s="292" t="s">
        <v>138</v>
      </c>
      <c r="J1" s="294"/>
      <c r="K1" s="292" t="s">
        <v>16</v>
      </c>
      <c r="L1" s="293"/>
      <c r="M1" s="294"/>
      <c r="N1" s="3" t="s">
        <v>137</v>
      </c>
      <c r="O1" s="298">
        <v>38</v>
      </c>
      <c r="P1" s="299"/>
      <c r="Q1" s="4"/>
    </row>
    <row r="2" spans="1:24" x14ac:dyDescent="0.3">
      <c r="A2" s="338"/>
      <c r="B2" s="339"/>
      <c r="C2" s="339"/>
      <c r="D2" s="339"/>
      <c r="E2" s="339"/>
      <c r="F2" s="339"/>
      <c r="G2" s="339"/>
      <c r="H2" s="340"/>
      <c r="I2" s="295" t="s">
        <v>136</v>
      </c>
      <c r="J2" s="297"/>
      <c r="K2" s="295" t="s">
        <v>135</v>
      </c>
      <c r="L2" s="296"/>
      <c r="M2" s="297"/>
      <c r="N2" s="5" t="s">
        <v>134</v>
      </c>
      <c r="O2" s="312">
        <v>45786</v>
      </c>
      <c r="P2" s="313"/>
      <c r="Q2" s="6">
        <v>45658</v>
      </c>
    </row>
    <row r="3" spans="1:24" x14ac:dyDescent="0.3">
      <c r="A3" s="341"/>
      <c r="B3" s="342"/>
      <c r="C3" s="342"/>
      <c r="D3" s="342"/>
      <c r="E3" s="342"/>
      <c r="F3" s="342"/>
      <c r="G3" s="342"/>
      <c r="H3" s="343"/>
      <c r="I3" s="304" t="s">
        <v>133</v>
      </c>
      <c r="J3" s="306"/>
      <c r="K3" s="304" t="s">
        <v>132</v>
      </c>
      <c r="L3" s="305"/>
      <c r="M3" s="306"/>
      <c r="N3" s="7" t="s">
        <v>131</v>
      </c>
      <c r="O3" s="290">
        <f>+O2-Q2+1</f>
        <v>129</v>
      </c>
      <c r="P3" s="291"/>
      <c r="Q3" s="6">
        <v>44197</v>
      </c>
      <c r="R3" s="8"/>
    </row>
    <row r="4" spans="1:24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48" t="e">
        <f>INT(Q2-O2)&amp;"días "&amp;TEXT(Q2-O2,"h"" hrs ""m"" min ""s"" seg""")</f>
        <v>#VALUE!</v>
      </c>
      <c r="P4" s="349"/>
      <c r="Q4" s="4"/>
    </row>
    <row r="5" spans="1:24" s="11" customFormat="1" x14ac:dyDescent="0.3">
      <c r="A5" s="12" t="s">
        <v>130</v>
      </c>
      <c r="B5" s="13" t="s">
        <v>127</v>
      </c>
      <c r="C5" s="267" t="s">
        <v>129</v>
      </c>
      <c r="D5" s="268"/>
      <c r="E5" s="268"/>
      <c r="F5" s="269"/>
      <c r="G5" s="267" t="s">
        <v>128</v>
      </c>
      <c r="H5" s="268"/>
      <c r="I5" s="268"/>
      <c r="J5" s="269"/>
      <c r="K5" s="13" t="s">
        <v>127</v>
      </c>
      <c r="L5" s="267" t="s">
        <v>126</v>
      </c>
      <c r="M5" s="269"/>
      <c r="N5" s="267" t="s">
        <v>125</v>
      </c>
      <c r="O5" s="268"/>
      <c r="P5" s="311"/>
      <c r="Q5" s="14"/>
    </row>
    <row r="6" spans="1:24" s="11" customFormat="1" ht="20.399999999999999" x14ac:dyDescent="0.3">
      <c r="A6" s="15" t="s">
        <v>107</v>
      </c>
      <c r="B6" s="16" t="s">
        <v>118</v>
      </c>
      <c r="C6" s="17" t="s">
        <v>124</v>
      </c>
      <c r="D6" s="17" t="s">
        <v>121</v>
      </c>
      <c r="E6" s="17" t="s">
        <v>120</v>
      </c>
      <c r="F6" s="17" t="s">
        <v>123</v>
      </c>
      <c r="G6" s="17" t="s">
        <v>122</v>
      </c>
      <c r="H6" s="17" t="s">
        <v>121</v>
      </c>
      <c r="I6" s="17" t="s">
        <v>120</v>
      </c>
      <c r="J6" s="17" t="s">
        <v>119</v>
      </c>
      <c r="K6" s="16" t="s">
        <v>117</v>
      </c>
      <c r="L6" s="17" t="s">
        <v>118</v>
      </c>
      <c r="M6" s="17" t="s">
        <v>117</v>
      </c>
      <c r="N6" s="17" t="s">
        <v>116</v>
      </c>
      <c r="O6" s="17" t="s">
        <v>115</v>
      </c>
      <c r="P6" s="18" t="s">
        <v>114</v>
      </c>
      <c r="Q6" s="19" t="s">
        <v>113</v>
      </c>
      <c r="R6" s="20"/>
    </row>
    <row r="7" spans="1:24" s="21" customFormat="1" ht="15" customHeight="1" x14ac:dyDescent="0.3">
      <c r="A7" s="22" t="s">
        <v>0</v>
      </c>
      <c r="B7" s="23">
        <f>+'08'!K7</f>
        <v>2961.0775535885809</v>
      </c>
      <c r="C7" s="24">
        <f>L28+L29</f>
        <v>0</v>
      </c>
      <c r="D7" s="25"/>
      <c r="E7" s="25"/>
      <c r="F7" s="26">
        <f t="shared" ref="F7:F12" si="0">+B7+C7+D7+E7</f>
        <v>2961.0775535885809</v>
      </c>
      <c r="G7" s="27">
        <f>B48-H7</f>
        <v>233.62517882689559</v>
      </c>
      <c r="H7" s="24"/>
      <c r="I7" s="28"/>
      <c r="J7" s="23">
        <f t="shared" ref="J7:J12" si="1">+G7+H7+I7</f>
        <v>233.62517882689559</v>
      </c>
      <c r="K7" s="23">
        <f t="shared" ref="K7:K12" si="2">+F7-J7</f>
        <v>2727.4523747616854</v>
      </c>
      <c r="L7" s="29">
        <f>+'08'!M7</f>
        <v>2961.0775535885809</v>
      </c>
      <c r="M7" s="30">
        <v>2727.4523747616854</v>
      </c>
      <c r="N7" s="26">
        <f t="shared" ref="N7:N12" si="3">+G7</f>
        <v>233.62517882689559</v>
      </c>
      <c r="O7" s="26">
        <f>+C48</f>
        <v>6.99</v>
      </c>
      <c r="P7" s="31">
        <f t="shared" ref="P7:P12" si="4">+N7*O7</f>
        <v>1633.0400000000002</v>
      </c>
      <c r="Q7" s="32">
        <f t="shared" ref="Q7:Q12" si="5">(M7-K7)</f>
        <v>0</v>
      </c>
      <c r="S7" s="33"/>
      <c r="T7" s="33"/>
      <c r="U7" s="33"/>
      <c r="V7" s="33"/>
      <c r="W7" s="33"/>
      <c r="X7" s="33"/>
    </row>
    <row r="8" spans="1:24" s="21" customFormat="1" ht="15" hidden="1" customHeight="1" x14ac:dyDescent="0.3">
      <c r="A8" s="22"/>
      <c r="B8" s="23">
        <f>+'08'!K8</f>
        <v>0</v>
      </c>
      <c r="C8" s="24">
        <f>L29</f>
        <v>0</v>
      </c>
      <c r="D8" s="34"/>
      <c r="E8" s="25"/>
      <c r="F8" s="26">
        <f t="shared" si="0"/>
        <v>0</v>
      </c>
      <c r="G8" s="27"/>
      <c r="H8" s="24"/>
      <c r="I8" s="28"/>
      <c r="J8" s="23">
        <f t="shared" si="1"/>
        <v>0</v>
      </c>
      <c r="K8" s="23">
        <f t="shared" si="2"/>
        <v>0</v>
      </c>
      <c r="L8" s="29">
        <f>+'08'!M8</f>
        <v>0</v>
      </c>
      <c r="M8" s="30">
        <v>0</v>
      </c>
      <c r="N8" s="26">
        <f t="shared" si="3"/>
        <v>0</v>
      </c>
      <c r="O8" s="26"/>
      <c r="P8" s="31">
        <f t="shared" si="4"/>
        <v>0</v>
      </c>
      <c r="Q8" s="32">
        <f t="shared" si="5"/>
        <v>0</v>
      </c>
      <c r="R8" s="35"/>
      <c r="S8" s="33"/>
      <c r="T8" s="33"/>
      <c r="U8" s="33"/>
      <c r="V8" s="33"/>
      <c r="W8" s="33"/>
      <c r="X8" s="33"/>
    </row>
    <row r="9" spans="1:24" s="21" customFormat="1" x14ac:dyDescent="0.3">
      <c r="A9" s="22" t="s">
        <v>19</v>
      </c>
      <c r="B9" s="23">
        <f>+'08'!K9</f>
        <v>694.54412698412716</v>
      </c>
      <c r="C9" s="24">
        <f>L30</f>
        <v>980</v>
      </c>
      <c r="D9" s="34"/>
      <c r="E9" s="25"/>
      <c r="F9" s="26">
        <f t="shared" si="0"/>
        <v>1674.5441269841272</v>
      </c>
      <c r="G9" s="27">
        <f>+B44-H9</f>
        <v>86.464761904761914</v>
      </c>
      <c r="H9" s="24">
        <f>+E9</f>
        <v>0</v>
      </c>
      <c r="I9" s="28"/>
      <c r="J9" s="23">
        <f t="shared" si="1"/>
        <v>86.464761904761914</v>
      </c>
      <c r="K9" s="23">
        <f t="shared" si="2"/>
        <v>1588.0793650793653</v>
      </c>
      <c r="L9" s="29">
        <f>+'08'!M9</f>
        <v>690</v>
      </c>
      <c r="M9" s="30">
        <v>1580</v>
      </c>
      <c r="N9" s="26">
        <f t="shared" si="3"/>
        <v>86.464761904761914</v>
      </c>
      <c r="O9" s="26">
        <f>+C44</f>
        <v>15.75</v>
      </c>
      <c r="P9" s="31">
        <f t="shared" si="4"/>
        <v>1361.8200000000002</v>
      </c>
      <c r="Q9" s="32">
        <f t="shared" si="5"/>
        <v>-8.0793650793652887</v>
      </c>
      <c r="S9" s="33"/>
      <c r="T9" s="36">
        <v>150</v>
      </c>
      <c r="U9" s="33"/>
      <c r="V9" s="33"/>
    </row>
    <row r="10" spans="1:24" s="21" customFormat="1" x14ac:dyDescent="0.3">
      <c r="A10" s="37" t="s">
        <v>15</v>
      </c>
      <c r="B10" s="23">
        <f>+'08'!K10</f>
        <v>1328.8684774839171</v>
      </c>
      <c r="C10" s="24">
        <f>L31</f>
        <v>0</v>
      </c>
      <c r="D10" s="34"/>
      <c r="E10" s="25"/>
      <c r="F10" s="26">
        <f t="shared" si="0"/>
        <v>1328.8684774839171</v>
      </c>
      <c r="G10" s="27">
        <f>+B45-H10</f>
        <v>108.26161543959972</v>
      </c>
      <c r="H10" s="24">
        <f>+E10</f>
        <v>0</v>
      </c>
      <c r="I10" s="28"/>
      <c r="J10" s="23">
        <f t="shared" si="1"/>
        <v>108.26161543959972</v>
      </c>
      <c r="K10" s="23">
        <f t="shared" si="2"/>
        <v>1220.6068620443175</v>
      </c>
      <c r="L10" s="29">
        <f>+'08'!M10</f>
        <v>1320</v>
      </c>
      <c r="M10" s="30">
        <v>1210</v>
      </c>
      <c r="N10" s="26">
        <f t="shared" si="3"/>
        <v>108.26161543959972</v>
      </c>
      <c r="O10" s="26">
        <f>+C45</f>
        <v>13.99</v>
      </c>
      <c r="P10" s="31">
        <f t="shared" si="4"/>
        <v>1514.5800000000002</v>
      </c>
      <c r="Q10" s="32">
        <f t="shared" si="5"/>
        <v>-10.606862044317495</v>
      </c>
      <c r="R10" s="35"/>
      <c r="S10" s="33"/>
      <c r="T10" s="38">
        <v>160</v>
      </c>
      <c r="U10" s="33"/>
    </row>
    <row r="11" spans="1:24" s="21" customFormat="1" hidden="1" x14ac:dyDescent="0.3">
      <c r="A11" s="37" t="s">
        <v>39</v>
      </c>
      <c r="B11" s="23">
        <f>+'08'!K11</f>
        <v>0</v>
      </c>
      <c r="C11" s="24">
        <f>L32</f>
        <v>0</v>
      </c>
      <c r="D11" s="34"/>
      <c r="E11" s="25"/>
      <c r="F11" s="26">
        <f t="shared" si="0"/>
        <v>0</v>
      </c>
      <c r="G11" s="27">
        <f>+B46-H11</f>
        <v>0</v>
      </c>
      <c r="H11" s="24"/>
      <c r="I11" s="28"/>
      <c r="J11" s="23">
        <f t="shared" si="1"/>
        <v>0</v>
      </c>
      <c r="K11" s="23">
        <f t="shared" si="2"/>
        <v>0</v>
      </c>
      <c r="L11" s="29">
        <f>+'08'!M11</f>
        <v>0</v>
      </c>
      <c r="M11" s="30">
        <v>0</v>
      </c>
      <c r="N11" s="26">
        <f t="shared" si="3"/>
        <v>0</v>
      </c>
      <c r="O11" s="26">
        <f>+C46</f>
        <v>17.89</v>
      </c>
      <c r="P11" s="31">
        <f t="shared" si="4"/>
        <v>0</v>
      </c>
      <c r="Q11" s="32">
        <f t="shared" si="5"/>
        <v>0</v>
      </c>
      <c r="R11" s="35"/>
      <c r="S11" s="33"/>
      <c r="T11" s="38"/>
      <c r="U11" s="33"/>
    </row>
    <row r="12" spans="1:24" s="21" customFormat="1" x14ac:dyDescent="0.3">
      <c r="A12" s="39" t="s">
        <v>173</v>
      </c>
      <c r="B12" s="23">
        <f>+'08'!K12</f>
        <v>1713.553967119371</v>
      </c>
      <c r="C12" s="40">
        <f>L33</f>
        <v>0</v>
      </c>
      <c r="D12" s="41"/>
      <c r="E12" s="42"/>
      <c r="F12" s="26">
        <f t="shared" si="0"/>
        <v>1713.553967119371</v>
      </c>
      <c r="G12" s="43">
        <f>+B47-H12</f>
        <v>82.933523945675475</v>
      </c>
      <c r="H12" s="40">
        <f>+E12</f>
        <v>0</v>
      </c>
      <c r="I12" s="28"/>
      <c r="J12" s="44">
        <f t="shared" si="1"/>
        <v>82.933523945675475</v>
      </c>
      <c r="K12" s="44">
        <f t="shared" si="2"/>
        <v>1630.6204431736955</v>
      </c>
      <c r="L12" s="29">
        <f>+'08'!M12</f>
        <v>1715</v>
      </c>
      <c r="M12" s="30">
        <v>1630</v>
      </c>
      <c r="N12" s="42">
        <f t="shared" si="3"/>
        <v>82.933523945675475</v>
      </c>
      <c r="O12" s="42">
        <f>+C47</f>
        <v>13.99</v>
      </c>
      <c r="P12" s="45">
        <f t="shared" si="4"/>
        <v>1160.24</v>
      </c>
      <c r="Q12" s="32">
        <f t="shared" si="5"/>
        <v>-0.62044317369554847</v>
      </c>
      <c r="R12" s="35"/>
      <c r="S12" s="33"/>
      <c r="T12" s="38">
        <v>190</v>
      </c>
      <c r="U12" s="33"/>
    </row>
    <row r="13" spans="1:24" s="21" customFormat="1" x14ac:dyDescent="0.3">
      <c r="A13" s="46" t="s">
        <v>10</v>
      </c>
      <c r="B13" s="23">
        <f t="shared" ref="B13:N13" si="6">SUM(B7:B12)</f>
        <v>6698.0441251759967</v>
      </c>
      <c r="C13" s="23">
        <f t="shared" si="6"/>
        <v>980</v>
      </c>
      <c r="D13" s="23">
        <f t="shared" si="6"/>
        <v>0</v>
      </c>
      <c r="E13" s="23">
        <f t="shared" si="6"/>
        <v>0</v>
      </c>
      <c r="F13" s="23">
        <f t="shared" si="6"/>
        <v>7678.0441251759967</v>
      </c>
      <c r="G13" s="23">
        <f t="shared" si="6"/>
        <v>511.2850801169327</v>
      </c>
      <c r="H13" s="23">
        <f t="shared" si="6"/>
        <v>0</v>
      </c>
      <c r="I13" s="23">
        <f t="shared" si="6"/>
        <v>0</v>
      </c>
      <c r="J13" s="23">
        <f t="shared" si="6"/>
        <v>511.2850801169327</v>
      </c>
      <c r="K13" s="23">
        <f t="shared" si="6"/>
        <v>7166.7590450590633</v>
      </c>
      <c r="L13" s="29">
        <f t="shared" si="6"/>
        <v>6686.0775535885805</v>
      </c>
      <c r="M13" s="23">
        <f t="shared" si="6"/>
        <v>7147.4523747616859</v>
      </c>
      <c r="N13" s="23">
        <f t="shared" si="6"/>
        <v>511.2850801169327</v>
      </c>
      <c r="O13" s="23"/>
      <c r="P13" s="23">
        <f>SUM(P7:P12)</f>
        <v>5669.68</v>
      </c>
      <c r="Q13" s="47"/>
    </row>
    <row r="14" spans="1:24" ht="17.25" customHeight="1" x14ac:dyDescent="0.3">
      <c r="A14" s="332" t="s">
        <v>112</v>
      </c>
      <c r="B14" s="333"/>
      <c r="C14" s="333"/>
      <c r="D14" s="333"/>
      <c r="E14" s="333"/>
      <c r="F14" s="333"/>
      <c r="G14" s="333"/>
      <c r="H14" s="334"/>
      <c r="I14" s="329" t="s">
        <v>111</v>
      </c>
      <c r="J14" s="330"/>
      <c r="K14" s="330"/>
      <c r="L14" s="331"/>
      <c r="M14" s="310" t="s">
        <v>110</v>
      </c>
      <c r="N14" s="268"/>
      <c r="O14" s="268"/>
      <c r="P14" s="311"/>
      <c r="Q14" s="48"/>
      <c r="R14" s="21"/>
    </row>
    <row r="15" spans="1:24" x14ac:dyDescent="0.3">
      <c r="A15" s="346" t="s">
        <v>109</v>
      </c>
      <c r="B15" s="347"/>
      <c r="C15" s="49" t="s">
        <v>108</v>
      </c>
      <c r="D15" s="49" t="s">
        <v>107</v>
      </c>
      <c r="E15" s="49" t="s">
        <v>106</v>
      </c>
      <c r="F15" s="49" t="s">
        <v>105</v>
      </c>
      <c r="G15" s="49" t="s">
        <v>99</v>
      </c>
      <c r="H15" s="50" t="s">
        <v>104</v>
      </c>
      <c r="I15" s="314" t="s">
        <v>103</v>
      </c>
      <c r="J15" s="315"/>
      <c r="K15" s="52" t="s">
        <v>102</v>
      </c>
      <c r="L15" s="51" t="s">
        <v>101</v>
      </c>
      <c r="M15" s="300" t="s">
        <v>100</v>
      </c>
      <c r="N15" s="301"/>
      <c r="O15" s="53" t="s">
        <v>50</v>
      </c>
      <c r="P15" s="54" t="s">
        <v>99</v>
      </c>
      <c r="Q15" s="48"/>
    </row>
    <row r="16" spans="1:24" x14ac:dyDescent="0.3">
      <c r="A16" s="270" t="s">
        <v>98</v>
      </c>
      <c r="B16" s="271"/>
      <c r="C16" s="57" t="s">
        <v>59</v>
      </c>
      <c r="D16" s="58" t="s">
        <v>58</v>
      </c>
      <c r="E16" s="59"/>
      <c r="F16" s="60">
        <v>0</v>
      </c>
      <c r="G16" s="61">
        <f t="shared" ref="G16:G32" si="7">+E16*F16</f>
        <v>0</v>
      </c>
      <c r="H16" s="62"/>
      <c r="I16" s="275" t="s">
        <v>97</v>
      </c>
      <c r="J16" s="276"/>
      <c r="K16" s="63"/>
      <c r="L16" s="63"/>
      <c r="M16" s="300" t="s">
        <v>96</v>
      </c>
      <c r="N16" s="301"/>
      <c r="O16" s="64">
        <f>+G13</f>
        <v>511.2850801169327</v>
      </c>
      <c r="P16" s="65">
        <f>+P13</f>
        <v>5669.68</v>
      </c>
      <c r="Q16" s="48"/>
    </row>
    <row r="17" spans="1:19" x14ac:dyDescent="0.3">
      <c r="A17" s="270" t="s">
        <v>95</v>
      </c>
      <c r="B17" s="271"/>
      <c r="C17" s="57" t="s">
        <v>59</v>
      </c>
      <c r="D17" s="58" t="s">
        <v>62</v>
      </c>
      <c r="E17" s="59"/>
      <c r="F17" s="60">
        <v>0.2</v>
      </c>
      <c r="G17" s="61">
        <f t="shared" si="7"/>
        <v>0</v>
      </c>
      <c r="H17" s="62"/>
      <c r="I17" s="344" t="s">
        <v>94</v>
      </c>
      <c r="J17" s="345"/>
      <c r="K17" s="66"/>
      <c r="L17" s="66"/>
      <c r="M17" s="300" t="s">
        <v>93</v>
      </c>
      <c r="N17" s="301"/>
      <c r="O17" s="67" t="s">
        <v>32</v>
      </c>
      <c r="P17" s="65">
        <f>+B40</f>
        <v>1346.92</v>
      </c>
      <c r="Q17" s="48">
        <f>+Q7/60</f>
        <v>0</v>
      </c>
    </row>
    <row r="18" spans="1:19" ht="15.75" customHeight="1" x14ac:dyDescent="0.3">
      <c r="A18" s="270" t="s">
        <v>89</v>
      </c>
      <c r="B18" s="271"/>
      <c r="C18" s="57" t="s">
        <v>59</v>
      </c>
      <c r="D18" s="58" t="s">
        <v>74</v>
      </c>
      <c r="E18" s="59"/>
      <c r="F18" s="60">
        <v>0.2</v>
      </c>
      <c r="G18" s="61">
        <f t="shared" si="7"/>
        <v>0</v>
      </c>
      <c r="H18" s="62"/>
      <c r="I18" s="307"/>
      <c r="J18" s="308"/>
      <c r="K18" s="308"/>
      <c r="L18" s="309"/>
      <c r="M18" s="300" t="s">
        <v>93</v>
      </c>
      <c r="N18" s="301"/>
      <c r="O18" s="67" t="s">
        <v>0</v>
      </c>
      <c r="P18" s="65">
        <f>+C40</f>
        <v>489.08</v>
      </c>
      <c r="Q18" s="48"/>
    </row>
    <row r="19" spans="1:19" ht="15.75" customHeight="1" x14ac:dyDescent="0.3">
      <c r="A19" s="270" t="s">
        <v>89</v>
      </c>
      <c r="B19" s="271"/>
      <c r="C19" s="57" t="s">
        <v>59</v>
      </c>
      <c r="D19" s="58" t="s">
        <v>67</v>
      </c>
      <c r="E19" s="68"/>
      <c r="F19" s="60">
        <v>0.2</v>
      </c>
      <c r="G19" s="61">
        <f t="shared" si="7"/>
        <v>0</v>
      </c>
      <c r="H19" s="62"/>
      <c r="I19" s="279" t="s">
        <v>92</v>
      </c>
      <c r="J19" s="280"/>
      <c r="K19" s="302" t="s">
        <v>91</v>
      </c>
      <c r="L19" s="303"/>
      <c r="M19" s="326" t="s">
        <v>90</v>
      </c>
      <c r="N19" s="316"/>
      <c r="O19" s="317"/>
      <c r="P19" s="69">
        <v>0.27999999999974534</v>
      </c>
    </row>
    <row r="20" spans="1:19" ht="15.75" customHeight="1" x14ac:dyDescent="0.3">
      <c r="A20" s="270" t="s">
        <v>89</v>
      </c>
      <c r="B20" s="271"/>
      <c r="C20" s="58" t="s">
        <v>59</v>
      </c>
      <c r="D20" s="58" t="s">
        <v>58</v>
      </c>
      <c r="E20" s="59"/>
      <c r="F20" s="60">
        <v>0.2</v>
      </c>
      <c r="G20" s="61">
        <f t="shared" si="7"/>
        <v>0</v>
      </c>
      <c r="H20" s="70"/>
      <c r="I20" s="277" t="s">
        <v>88</v>
      </c>
      <c r="J20" s="278"/>
      <c r="K20" s="265" t="s">
        <v>87</v>
      </c>
      <c r="L20" s="266"/>
      <c r="M20" s="316"/>
      <c r="N20" s="316"/>
      <c r="O20" s="317"/>
      <c r="P20" s="69"/>
    </row>
    <row r="21" spans="1:19" ht="15" customHeight="1" x14ac:dyDescent="0.3">
      <c r="A21" s="270" t="s">
        <v>86</v>
      </c>
      <c r="B21" s="271"/>
      <c r="C21" s="58" t="s">
        <v>59</v>
      </c>
      <c r="D21" s="58" t="s">
        <v>58</v>
      </c>
      <c r="E21" s="68"/>
      <c r="F21" s="60">
        <v>0.2</v>
      </c>
      <c r="G21" s="61">
        <f t="shared" si="7"/>
        <v>0</v>
      </c>
      <c r="H21" s="62"/>
      <c r="I21" s="71" t="s">
        <v>38</v>
      </c>
      <c r="J21" s="72">
        <f>+'[1]14'!J25</f>
        <v>4978.1557799999991</v>
      </c>
      <c r="K21" s="71" t="s">
        <v>38</v>
      </c>
      <c r="L21" s="72">
        <f>+'[2]07'!L25</f>
        <v>0</v>
      </c>
      <c r="M21" s="259"/>
      <c r="N21" s="260"/>
      <c r="O21" s="261"/>
      <c r="P21" s="69"/>
    </row>
    <row r="22" spans="1:19" ht="15" customHeight="1" x14ac:dyDescent="0.3">
      <c r="A22" s="270" t="s">
        <v>86</v>
      </c>
      <c r="B22" s="271"/>
      <c r="C22" s="58" t="s">
        <v>59</v>
      </c>
      <c r="D22" s="58" t="s">
        <v>62</v>
      </c>
      <c r="E22" s="59"/>
      <c r="F22" s="60">
        <v>0.2</v>
      </c>
      <c r="G22" s="61">
        <f t="shared" si="7"/>
        <v>0</v>
      </c>
      <c r="H22" s="62"/>
      <c r="I22" s="73" t="s">
        <v>34</v>
      </c>
      <c r="J22" s="74"/>
      <c r="K22" s="75" t="s">
        <v>34</v>
      </c>
      <c r="L22" s="72">
        <f>+E26*(O12-F26)+E27*(O9-F27)+E28*(O10-F28)+E29*(O7-F29)</f>
        <v>0</v>
      </c>
      <c r="M22" s="326" t="s">
        <v>85</v>
      </c>
      <c r="N22" s="316"/>
      <c r="O22" s="317"/>
      <c r="P22" s="76">
        <f>+L22</f>
        <v>0</v>
      </c>
    </row>
    <row r="23" spans="1:19" ht="15" customHeight="1" x14ac:dyDescent="0.3">
      <c r="A23" s="270" t="s">
        <v>84</v>
      </c>
      <c r="B23" s="271"/>
      <c r="C23" s="58" t="s">
        <v>59</v>
      </c>
      <c r="D23" s="58" t="s">
        <v>58</v>
      </c>
      <c r="E23" s="59"/>
      <c r="F23" s="60">
        <v>0.2</v>
      </c>
      <c r="G23" s="61">
        <f t="shared" si="7"/>
        <v>0</v>
      </c>
      <c r="H23" s="62"/>
      <c r="I23" s="73"/>
      <c r="J23" s="72"/>
      <c r="K23" s="75" t="s">
        <v>83</v>
      </c>
      <c r="L23" s="72"/>
      <c r="M23" s="326" t="s">
        <v>82</v>
      </c>
      <c r="N23" s="316"/>
      <c r="O23" s="317"/>
      <c r="P23" s="76">
        <f>+G33</f>
        <v>0</v>
      </c>
    </row>
    <row r="24" spans="1:19" ht="15" customHeight="1" x14ac:dyDescent="0.3">
      <c r="A24" s="270" t="s">
        <v>81</v>
      </c>
      <c r="B24" s="271"/>
      <c r="C24" s="58" t="s">
        <v>59</v>
      </c>
      <c r="D24" s="58" t="s">
        <v>58</v>
      </c>
      <c r="E24" s="59"/>
      <c r="F24" s="60">
        <v>0.2</v>
      </c>
      <c r="G24" s="61">
        <f t="shared" si="7"/>
        <v>0</v>
      </c>
      <c r="H24" s="70"/>
      <c r="I24" s="73" t="s">
        <v>30</v>
      </c>
      <c r="J24" s="74"/>
      <c r="K24" s="75" t="s">
        <v>30</v>
      </c>
      <c r="L24" s="77">
        <v>183.66</v>
      </c>
      <c r="M24" s="326" t="s">
        <v>80</v>
      </c>
      <c r="N24" s="316"/>
      <c r="O24" s="317"/>
      <c r="P24" s="76">
        <f>+J39+J22+J28+J33+J34</f>
        <v>200</v>
      </c>
    </row>
    <row r="25" spans="1:19" ht="15" customHeight="1" x14ac:dyDescent="0.3">
      <c r="A25" s="270" t="s">
        <v>79</v>
      </c>
      <c r="B25" s="271"/>
      <c r="C25" s="58" t="s">
        <v>59</v>
      </c>
      <c r="D25" s="58" t="s">
        <v>58</v>
      </c>
      <c r="E25" s="59"/>
      <c r="F25" s="60">
        <v>0.2</v>
      </c>
      <c r="G25" s="61">
        <f t="shared" si="7"/>
        <v>0</v>
      </c>
      <c r="H25" s="70"/>
      <c r="I25" s="78" t="s">
        <v>27</v>
      </c>
      <c r="J25" s="79">
        <f>+J21+J22-J24</f>
        <v>4978.1557799999991</v>
      </c>
      <c r="K25" s="80" t="s">
        <v>27</v>
      </c>
      <c r="L25" s="81">
        <f>+L21-L22+L24+L23</f>
        <v>183.66</v>
      </c>
      <c r="M25" s="327" t="s">
        <v>78</v>
      </c>
      <c r="N25" s="328"/>
      <c r="O25" s="82"/>
      <c r="P25" s="83">
        <f>P16-SUM(P17:P24)</f>
        <v>3633.4000000000005</v>
      </c>
      <c r="Q25" s="48"/>
    </row>
    <row r="26" spans="1:19" ht="15" customHeight="1" x14ac:dyDescent="0.3">
      <c r="A26" s="270" t="s">
        <v>65</v>
      </c>
      <c r="B26" s="271"/>
      <c r="C26" s="58" t="s">
        <v>59</v>
      </c>
      <c r="D26" s="58" t="s">
        <v>58</v>
      </c>
      <c r="E26" s="59"/>
      <c r="F26" s="60">
        <v>0</v>
      </c>
      <c r="G26" s="61">
        <f t="shared" si="7"/>
        <v>0</v>
      </c>
      <c r="H26" s="70"/>
      <c r="I26" s="277" t="s">
        <v>76</v>
      </c>
      <c r="J26" s="278"/>
      <c r="K26" s="262" t="s">
        <v>75</v>
      </c>
      <c r="L26" s="263"/>
      <c r="M26" s="263"/>
      <c r="N26" s="263"/>
      <c r="O26" s="263"/>
      <c r="P26" s="264"/>
      <c r="Q26" s="84"/>
    </row>
    <row r="27" spans="1:19" ht="15.75" customHeight="1" x14ac:dyDescent="0.3">
      <c r="A27" s="270" t="s">
        <v>65</v>
      </c>
      <c r="B27" s="271"/>
      <c r="C27" s="58" t="s">
        <v>59</v>
      </c>
      <c r="D27" s="58" t="s">
        <v>74</v>
      </c>
      <c r="E27" s="59"/>
      <c r="F27" s="60">
        <v>0</v>
      </c>
      <c r="G27" s="61">
        <f t="shared" si="7"/>
        <v>0</v>
      </c>
      <c r="H27" s="70"/>
      <c r="I27" s="71" t="s">
        <v>38</v>
      </c>
      <c r="J27" s="85">
        <f>+'[1]14'!J30</f>
        <v>2860.0556350000002</v>
      </c>
      <c r="K27" s="86" t="s">
        <v>73</v>
      </c>
      <c r="L27" s="53" t="s">
        <v>72</v>
      </c>
      <c r="M27" s="87" t="s">
        <v>71</v>
      </c>
      <c r="N27" s="87" t="s">
        <v>70</v>
      </c>
      <c r="O27" s="88" t="s">
        <v>69</v>
      </c>
      <c r="P27" s="89" t="s">
        <v>68</v>
      </c>
      <c r="Q27" s="1"/>
    </row>
    <row r="28" spans="1:19" x14ac:dyDescent="0.3">
      <c r="A28" s="270" t="s">
        <v>65</v>
      </c>
      <c r="B28" s="271"/>
      <c r="C28" s="58" t="s">
        <v>59</v>
      </c>
      <c r="D28" s="58" t="s">
        <v>67</v>
      </c>
      <c r="E28" s="59"/>
      <c r="F28" s="60">
        <v>0</v>
      </c>
      <c r="G28" s="61">
        <f t="shared" si="7"/>
        <v>0</v>
      </c>
      <c r="H28" s="70"/>
      <c r="I28" s="73" t="s">
        <v>34</v>
      </c>
      <c r="J28" s="85"/>
      <c r="K28" s="90" t="s">
        <v>66</v>
      </c>
      <c r="L28" s="91">
        <f>+K44</f>
        <v>0</v>
      </c>
      <c r="M28" s="92"/>
      <c r="N28" s="92"/>
      <c r="O28" s="93"/>
      <c r="P28" s="94" t="str">
        <f>+I44&amp;"   "&amp;"kg"</f>
        <v xml:space="preserve">   kg</v>
      </c>
      <c r="Q28" s="95">
        <f>14028.78/1912.31</f>
        <v>7.336038612986389</v>
      </c>
      <c r="R28" s="1" t="s">
        <v>4</v>
      </c>
      <c r="S28" s="48">
        <f t="shared" ref="S28:S33" si="8">+Q7*-1</f>
        <v>0</v>
      </c>
    </row>
    <row r="29" spans="1:19" x14ac:dyDescent="0.3">
      <c r="A29" s="55" t="s">
        <v>65</v>
      </c>
      <c r="B29" s="56"/>
      <c r="C29" s="58" t="s">
        <v>59</v>
      </c>
      <c r="D29" s="58" t="s">
        <v>0</v>
      </c>
      <c r="E29" s="59"/>
      <c r="F29" s="60">
        <v>0</v>
      </c>
      <c r="G29" s="61">
        <f t="shared" si="7"/>
        <v>0</v>
      </c>
      <c r="H29" s="62"/>
      <c r="I29" s="73" t="s">
        <v>30</v>
      </c>
      <c r="J29" s="85"/>
      <c r="K29" s="90" t="s">
        <v>0</v>
      </c>
      <c r="L29" s="91"/>
      <c r="M29" s="92"/>
      <c r="N29" s="92"/>
      <c r="O29" s="93" t="s">
        <v>64</v>
      </c>
      <c r="P29" s="96"/>
      <c r="Q29" s="95"/>
      <c r="S29" s="48">
        <f t="shared" si="8"/>
        <v>0</v>
      </c>
    </row>
    <row r="30" spans="1:19" ht="15.75" customHeight="1" x14ac:dyDescent="0.3">
      <c r="A30" s="55" t="s">
        <v>63</v>
      </c>
      <c r="B30" s="56"/>
      <c r="C30" s="58" t="s">
        <v>59</v>
      </c>
      <c r="D30" s="58" t="s">
        <v>62</v>
      </c>
      <c r="E30" s="68"/>
      <c r="F30" s="60">
        <v>0.2</v>
      </c>
      <c r="G30" s="61">
        <f t="shared" si="7"/>
        <v>0</v>
      </c>
      <c r="H30" s="62"/>
      <c r="I30" s="97" t="s">
        <v>27</v>
      </c>
      <c r="J30" s="85">
        <f>+J27+J28-J29</f>
        <v>2860.0556350000002</v>
      </c>
      <c r="K30" s="90" t="s">
        <v>19</v>
      </c>
      <c r="L30" s="91">
        <v>980</v>
      </c>
      <c r="M30" s="92" t="s">
        <v>157</v>
      </c>
      <c r="N30" s="92" t="s">
        <v>154</v>
      </c>
      <c r="O30" s="93" t="s">
        <v>53</v>
      </c>
      <c r="P30" s="98">
        <f>12888.69/1050</f>
        <v>12.274942857142857</v>
      </c>
      <c r="Q30" s="95">
        <f>+O9-P30</f>
        <v>3.4750571428571426</v>
      </c>
      <c r="S30" s="48">
        <f t="shared" si="8"/>
        <v>8.0793650793652887</v>
      </c>
    </row>
    <row r="31" spans="1:19" ht="15" customHeight="1" x14ac:dyDescent="0.3">
      <c r="A31" s="55" t="s">
        <v>61</v>
      </c>
      <c r="B31" s="56"/>
      <c r="C31" s="58" t="s">
        <v>59</v>
      </c>
      <c r="D31" s="58" t="s">
        <v>58</v>
      </c>
      <c r="E31" s="68"/>
      <c r="F31" s="60">
        <v>0.2</v>
      </c>
      <c r="G31" s="61">
        <f t="shared" si="7"/>
        <v>0</v>
      </c>
      <c r="H31" s="62"/>
      <c r="I31" s="277" t="s">
        <v>61</v>
      </c>
      <c r="J31" s="278"/>
      <c r="K31" s="99" t="s">
        <v>15</v>
      </c>
      <c r="L31" s="91"/>
      <c r="M31" s="92"/>
      <c r="N31" s="92"/>
      <c r="O31" s="93" t="s">
        <v>53</v>
      </c>
      <c r="P31" s="98">
        <f>11096.5/990</f>
        <v>11.208585858585858</v>
      </c>
      <c r="Q31" s="95">
        <f>+O10-P31</f>
        <v>2.7814141414141424</v>
      </c>
      <c r="S31" s="48">
        <f t="shared" si="8"/>
        <v>10.606862044317495</v>
      </c>
    </row>
    <row r="32" spans="1:19" ht="15" customHeight="1" x14ac:dyDescent="0.3">
      <c r="A32" s="55" t="s">
        <v>60</v>
      </c>
      <c r="B32" s="56"/>
      <c r="C32" s="58" t="s">
        <v>59</v>
      </c>
      <c r="D32" s="58" t="s">
        <v>58</v>
      </c>
      <c r="E32" s="68"/>
      <c r="F32" s="60">
        <v>0.2</v>
      </c>
      <c r="G32" s="61">
        <f t="shared" si="7"/>
        <v>0</v>
      </c>
      <c r="H32" s="62"/>
      <c r="I32" s="71" t="s">
        <v>27</v>
      </c>
      <c r="J32" s="74">
        <f>+'[1]14'!J32</f>
        <v>-135</v>
      </c>
      <c r="K32" s="99" t="s">
        <v>39</v>
      </c>
      <c r="L32" s="91"/>
      <c r="M32" s="92"/>
      <c r="N32" s="92"/>
      <c r="O32" s="93" t="s">
        <v>56</v>
      </c>
      <c r="P32" s="98"/>
      <c r="Q32" s="95"/>
      <c r="S32" s="48">
        <f t="shared" si="8"/>
        <v>0</v>
      </c>
    </row>
    <row r="33" spans="1:19" x14ac:dyDescent="0.3">
      <c r="A33" s="270"/>
      <c r="B33" s="271"/>
      <c r="C33" s="58"/>
      <c r="D33" s="58"/>
      <c r="E33" s="100"/>
      <c r="F33" s="60" t="s">
        <v>25</v>
      </c>
      <c r="G33" s="101">
        <f>SUM(G16:G32)</f>
        <v>0</v>
      </c>
      <c r="H33" s="102"/>
      <c r="I33" s="73" t="s">
        <v>57</v>
      </c>
      <c r="J33" s="103">
        <f>50+150</f>
        <v>200</v>
      </c>
      <c r="K33" s="104" t="s">
        <v>35</v>
      </c>
      <c r="L33" s="91"/>
      <c r="M33" s="92"/>
      <c r="N33" s="92"/>
      <c r="O33" s="93"/>
      <c r="P33" s="98">
        <f>12543.64/1050</f>
        <v>11.946323809523809</v>
      </c>
      <c r="Q33" s="95">
        <f>+O12-P33</f>
        <v>2.0436761904761909</v>
      </c>
      <c r="R33" s="1" t="s">
        <v>55</v>
      </c>
      <c r="S33" s="48">
        <f t="shared" si="8"/>
        <v>0.62044317369554847</v>
      </c>
    </row>
    <row r="34" spans="1:19" x14ac:dyDescent="0.3">
      <c r="A34" s="281"/>
      <c r="B34" s="282"/>
      <c r="C34" s="282"/>
      <c r="D34" s="283"/>
      <c r="E34" s="283"/>
      <c r="F34" s="283"/>
      <c r="G34" s="283"/>
      <c r="H34" s="284"/>
      <c r="I34" s="73" t="s">
        <v>54</v>
      </c>
      <c r="J34" s="103"/>
      <c r="K34" s="105"/>
      <c r="L34" s="106"/>
      <c r="M34" s="92"/>
      <c r="N34" s="92"/>
      <c r="O34" s="93" t="s">
        <v>53</v>
      </c>
      <c r="P34" s="94"/>
      <c r="Q34" s="95"/>
      <c r="R34" s="107"/>
    </row>
    <row r="35" spans="1:19" x14ac:dyDescent="0.3">
      <c r="A35" s="272" t="s">
        <v>52</v>
      </c>
      <c r="B35" s="273"/>
      <c r="C35" s="274"/>
      <c r="D35" s="108" t="s">
        <v>51</v>
      </c>
      <c r="E35" s="109" t="s">
        <v>50</v>
      </c>
      <c r="F35" s="109" t="s">
        <v>49</v>
      </c>
      <c r="G35" s="109" t="s">
        <v>48</v>
      </c>
      <c r="H35" s="110" t="s">
        <v>47</v>
      </c>
      <c r="I35" s="73" t="s">
        <v>30</v>
      </c>
      <c r="J35" s="111"/>
      <c r="K35" s="112" t="s">
        <v>46</v>
      </c>
      <c r="L35" s="113">
        <f>+O2</f>
        <v>45786</v>
      </c>
      <c r="M35" s="318" t="s">
        <v>45</v>
      </c>
      <c r="N35" s="319"/>
      <c r="O35" s="319"/>
      <c r="P35" s="320"/>
      <c r="Q35" s="114"/>
      <c r="R35" s="107"/>
    </row>
    <row r="36" spans="1:19" ht="15.75" customHeight="1" x14ac:dyDescent="0.3">
      <c r="B36" s="1" t="s">
        <v>32</v>
      </c>
      <c r="C36" s="115" t="s">
        <v>0</v>
      </c>
      <c r="D36" s="116" t="s">
        <v>44</v>
      </c>
      <c r="E36" s="117"/>
      <c r="F36" s="118">
        <f>+C44</f>
        <v>15.75</v>
      </c>
      <c r="G36" s="119">
        <v>15.99</v>
      </c>
      <c r="H36" s="120">
        <f>+E36*(F36-G36)</f>
        <v>0</v>
      </c>
      <c r="I36" s="121" t="s">
        <v>27</v>
      </c>
      <c r="J36" s="122">
        <f>+J32-J33-J34+J35</f>
        <v>-335</v>
      </c>
      <c r="K36" s="116" t="s">
        <v>32</v>
      </c>
      <c r="L36" s="123">
        <v>2489.6000000000004</v>
      </c>
      <c r="M36" s="321"/>
      <c r="N36" s="321"/>
      <c r="O36" s="321"/>
      <c r="P36" s="322"/>
      <c r="Q36" s="114"/>
      <c r="R36" s="107"/>
    </row>
    <row r="37" spans="1:19" ht="15.75" customHeight="1" x14ac:dyDescent="0.3">
      <c r="A37" s="124" t="s">
        <v>43</v>
      </c>
      <c r="B37" s="125">
        <v>825.19</v>
      </c>
      <c r="C37" s="125"/>
      <c r="D37" s="126" t="s">
        <v>42</v>
      </c>
      <c r="E37" s="127"/>
      <c r="F37" s="128">
        <f>+C45</f>
        <v>13.99</v>
      </c>
      <c r="G37" s="129">
        <v>15.08</v>
      </c>
      <c r="H37" s="130">
        <f>+E37*(F37-G37)</f>
        <v>0</v>
      </c>
      <c r="I37" s="325" t="s">
        <v>41</v>
      </c>
      <c r="J37" s="325"/>
      <c r="K37" s="131" t="s">
        <v>0</v>
      </c>
      <c r="L37" s="132">
        <v>1143.8</v>
      </c>
      <c r="M37" s="323"/>
      <c r="N37" s="323"/>
      <c r="O37" s="323"/>
      <c r="P37" s="324"/>
      <c r="Q37" s="114"/>
      <c r="R37" s="107"/>
    </row>
    <row r="38" spans="1:19" ht="15.75" customHeight="1" x14ac:dyDescent="0.3">
      <c r="A38" s="133" t="s">
        <v>40</v>
      </c>
      <c r="B38" s="134">
        <v>521.73</v>
      </c>
      <c r="C38" s="134">
        <v>489.08</v>
      </c>
      <c r="D38" s="126" t="s">
        <v>39</v>
      </c>
      <c r="E38" s="127"/>
      <c r="F38" s="128"/>
      <c r="G38" s="129">
        <v>0</v>
      </c>
      <c r="H38" s="130">
        <f>+E38*(F38-G38)</f>
        <v>0</v>
      </c>
      <c r="I38" s="135" t="s">
        <v>38</v>
      </c>
      <c r="J38" s="136">
        <f>+'[3]03'!J41</f>
        <v>274.83</v>
      </c>
      <c r="K38" s="126" t="s">
        <v>37</v>
      </c>
      <c r="L38" s="132"/>
      <c r="M38" s="285" t="s">
        <v>36</v>
      </c>
      <c r="N38" s="285"/>
      <c r="O38" s="137">
        <f>+L35</f>
        <v>45786</v>
      </c>
      <c r="P38" s="137"/>
      <c r="Q38" s="114"/>
      <c r="R38" s="107"/>
    </row>
    <row r="39" spans="1:19" ht="15.6" x14ac:dyDescent="0.3">
      <c r="A39" s="133"/>
      <c r="B39" s="138"/>
      <c r="C39" s="139"/>
      <c r="D39" s="126" t="s">
        <v>35</v>
      </c>
      <c r="E39" s="127"/>
      <c r="F39" s="128">
        <f>+C47</f>
        <v>13.99</v>
      </c>
      <c r="G39" s="129">
        <v>14.18</v>
      </c>
      <c r="H39" s="130">
        <f>+E39*(F39-G39)</f>
        <v>0</v>
      </c>
      <c r="I39" s="75" t="s">
        <v>34</v>
      </c>
      <c r="J39" s="140"/>
      <c r="K39" s="141" t="s">
        <v>33</v>
      </c>
      <c r="L39" s="142"/>
      <c r="M39" s="143" t="s">
        <v>32</v>
      </c>
      <c r="N39" s="144" t="s">
        <v>8</v>
      </c>
      <c r="O39" s="145">
        <f>+L36</f>
        <v>2489.6000000000004</v>
      </c>
      <c r="P39" s="146"/>
      <c r="Q39" s="147"/>
      <c r="R39" s="107"/>
    </row>
    <row r="40" spans="1:19" ht="15.6" x14ac:dyDescent="0.3">
      <c r="A40" s="148" t="s">
        <v>31</v>
      </c>
      <c r="B40" s="149">
        <f>SUM(B37:B39)</f>
        <v>1346.92</v>
      </c>
      <c r="C40" s="150">
        <f>SUM(C37:C39)</f>
        <v>489.08</v>
      </c>
      <c r="D40" s="141" t="s">
        <v>0</v>
      </c>
      <c r="E40" s="151"/>
      <c r="F40" s="152">
        <f>+C48</f>
        <v>6.99</v>
      </c>
      <c r="G40" s="153">
        <v>7.14</v>
      </c>
      <c r="H40" s="154">
        <f>+E40*(F40-G40)</f>
        <v>0</v>
      </c>
      <c r="I40" s="75" t="s">
        <v>30</v>
      </c>
      <c r="J40" s="155"/>
      <c r="K40" s="156" t="s">
        <v>25</v>
      </c>
      <c r="L40" s="157">
        <f>SUM(L36:L39)</f>
        <v>3633.4000000000005</v>
      </c>
      <c r="M40" s="158" t="s">
        <v>0</v>
      </c>
      <c r="N40" s="159" t="s">
        <v>29</v>
      </c>
      <c r="O40" s="160">
        <f>+L37</f>
        <v>1143.8</v>
      </c>
      <c r="P40" s="161"/>
      <c r="Q40" s="147"/>
      <c r="R40" s="107"/>
    </row>
    <row r="41" spans="1:19" ht="23.4" x14ac:dyDescent="0.45">
      <c r="A41" s="162" t="s">
        <v>28</v>
      </c>
      <c r="B41" s="163">
        <f>SUM(B40:C40)</f>
        <v>1836</v>
      </c>
      <c r="C41" s="164"/>
      <c r="D41" s="165"/>
      <c r="E41" s="166">
        <f>SUM(E37:E40)</f>
        <v>0</v>
      </c>
      <c r="F41" s="167"/>
      <c r="G41" s="168">
        <f>SUM(G36:G40)</f>
        <v>52.39</v>
      </c>
      <c r="H41" s="169">
        <f>SUM(H36:H40)</f>
        <v>0</v>
      </c>
      <c r="I41" s="97" t="s">
        <v>27</v>
      </c>
      <c r="J41" s="122">
        <f>+J38+J39-J40</f>
        <v>274.83</v>
      </c>
      <c r="K41" s="170" t="s">
        <v>26</v>
      </c>
      <c r="L41" s="171">
        <f>+P25-L40</f>
        <v>0</v>
      </c>
      <c r="M41" s="286" t="s">
        <v>25</v>
      </c>
      <c r="N41" s="287"/>
      <c r="O41" s="288">
        <f>SUM(O39:P40)</f>
        <v>3633.4000000000005</v>
      </c>
      <c r="P41" s="289"/>
      <c r="Q41" s="147"/>
      <c r="R41" s="107"/>
    </row>
    <row r="42" spans="1:19" x14ac:dyDescent="0.3">
      <c r="A42" s="172"/>
      <c r="B42" s="172"/>
      <c r="C42" s="172"/>
      <c r="D42" s="172"/>
      <c r="E42" s="172"/>
      <c r="F42" s="172"/>
      <c r="G42" s="173"/>
      <c r="H42" s="173"/>
      <c r="I42" s="173"/>
      <c r="J42" s="173"/>
      <c r="K42" s="173"/>
      <c r="L42" s="173"/>
      <c r="M42" s="173"/>
      <c r="N42" s="174"/>
      <c r="O42" s="173"/>
      <c r="P42" s="107"/>
      <c r="Q42" s="147"/>
      <c r="R42" s="107"/>
    </row>
    <row r="43" spans="1:19" x14ac:dyDescent="0.3">
      <c r="A43" s="175" t="s">
        <v>24</v>
      </c>
      <c r="B43" s="175" t="s">
        <v>23</v>
      </c>
      <c r="C43" s="175" t="s">
        <v>22</v>
      </c>
      <c r="D43" s="175" t="s">
        <v>21</v>
      </c>
      <c r="E43" s="176"/>
      <c r="F43" s="177"/>
      <c r="G43" s="178"/>
      <c r="H43" s="256" t="s">
        <v>20</v>
      </c>
      <c r="I43" s="257"/>
      <c r="J43" s="257"/>
      <c r="K43" s="257"/>
      <c r="L43" s="258"/>
      <c r="P43" s="179"/>
      <c r="Q43" s="147"/>
    </row>
    <row r="44" spans="1:19" ht="15.6" x14ac:dyDescent="0.3">
      <c r="A44" s="180" t="s">
        <v>19</v>
      </c>
      <c r="B44" s="178">
        <f>IF(D44&gt;"0",0,(D44/C44))</f>
        <v>86.464761904761914</v>
      </c>
      <c r="C44" s="181">
        <v>15.75</v>
      </c>
      <c r="D44" s="182">
        <v>1361.8200000000002</v>
      </c>
      <c r="E44" s="183"/>
      <c r="F44" s="183"/>
      <c r="G44" s="178"/>
      <c r="H44" s="184" t="s">
        <v>18</v>
      </c>
      <c r="I44" s="185"/>
      <c r="J44" s="186">
        <v>2.0185</v>
      </c>
      <c r="K44" s="187">
        <f>+I44/J44</f>
        <v>0</v>
      </c>
      <c r="L44" s="188" t="s">
        <v>17</v>
      </c>
      <c r="M44" s="189"/>
      <c r="N44" s="190" t="s">
        <v>16</v>
      </c>
      <c r="O44" s="191"/>
      <c r="Q44" s="1"/>
    </row>
    <row r="45" spans="1:19" ht="15.6" x14ac:dyDescent="0.3">
      <c r="A45" s="180" t="s">
        <v>15</v>
      </c>
      <c r="B45" s="178">
        <f>IF(D45&gt;"0",0,(D45/C45))</f>
        <v>108.26161543959972</v>
      </c>
      <c r="C45" s="181">
        <v>13.99</v>
      </c>
      <c r="D45" s="182">
        <v>1514.5800000000002</v>
      </c>
      <c r="E45" s="183"/>
      <c r="F45" s="183"/>
      <c r="G45" s="178"/>
      <c r="H45" s="192" t="s">
        <v>14</v>
      </c>
      <c r="I45" s="193">
        <f>+K45/J45</f>
        <v>1.8465683943572675</v>
      </c>
      <c r="J45" s="194">
        <v>3.7854000000000001</v>
      </c>
      <c r="K45" s="195">
        <f>+C48</f>
        <v>6.99</v>
      </c>
      <c r="L45" s="196" t="s">
        <v>13</v>
      </c>
      <c r="M45" s="197"/>
      <c r="N45" s="190" t="s">
        <v>12</v>
      </c>
      <c r="O45" s="191"/>
      <c r="P45" s="198"/>
      <c r="Q45" s="1"/>
    </row>
    <row r="46" spans="1:19" ht="15.6" hidden="1" x14ac:dyDescent="0.3">
      <c r="A46" s="172">
        <v>84</v>
      </c>
      <c r="B46" s="178">
        <f>IF(D46&gt;"0",0,(D46/C46))</f>
        <v>0</v>
      </c>
      <c r="C46" s="181">
        <v>17.89</v>
      </c>
      <c r="D46" s="182"/>
      <c r="E46" s="183"/>
      <c r="F46" s="183"/>
      <c r="G46" s="178"/>
      <c r="H46" s="199"/>
      <c r="I46" s="200"/>
      <c r="J46" s="200"/>
      <c r="K46" s="200"/>
      <c r="L46" s="201"/>
      <c r="M46" s="197"/>
      <c r="N46" s="202"/>
      <c r="O46" s="191"/>
      <c r="Q46" s="1"/>
    </row>
    <row r="47" spans="1:19" ht="15.6" x14ac:dyDescent="0.3">
      <c r="A47" s="180" t="s">
        <v>1</v>
      </c>
      <c r="B47" s="178">
        <f>IF(D47&gt;"0",0,(D47/C47))</f>
        <v>82.933523945675475</v>
      </c>
      <c r="C47" s="181">
        <v>13.99</v>
      </c>
      <c r="D47" s="182">
        <v>1160.24</v>
      </c>
      <c r="E47" s="183"/>
      <c r="F47" s="178"/>
      <c r="G47" s="178"/>
      <c r="H47" s="203" t="s">
        <v>11</v>
      </c>
      <c r="I47" s="204" t="e">
        <f>+K47/J47</f>
        <v>#DIV/0!</v>
      </c>
      <c r="J47" s="205">
        <f>+J45</f>
        <v>3.7854000000000001</v>
      </c>
      <c r="K47" s="206" t="e">
        <f>+L47/I44</f>
        <v>#DIV/0!</v>
      </c>
      <c r="L47" s="207">
        <v>25000</v>
      </c>
      <c r="M47" s="197" t="s">
        <v>10</v>
      </c>
      <c r="N47" s="208" t="s">
        <v>9</v>
      </c>
      <c r="O47" s="1" t="s">
        <v>8</v>
      </c>
      <c r="P47" s="198"/>
      <c r="Q47" s="1"/>
      <c r="R47" s="198"/>
    </row>
    <row r="48" spans="1:19" ht="15.6" x14ac:dyDescent="0.3">
      <c r="A48" s="180" t="s">
        <v>0</v>
      </c>
      <c r="B48" s="178">
        <f>IF(D48&gt;"0",0,(D48/C48))</f>
        <v>233.62517882689559</v>
      </c>
      <c r="C48" s="181">
        <v>6.99</v>
      </c>
      <c r="D48" s="182">
        <v>1633.0400000000002</v>
      </c>
      <c r="E48" s="183"/>
      <c r="F48" s="183"/>
      <c r="G48" s="178"/>
      <c r="H48" s="209">
        <f>(L36+B40+P23+P24+P22+L38)-SUM(D44:D47)+(P20+P21)</f>
        <v>-0.11999999999989086</v>
      </c>
      <c r="I48" s="200" t="s">
        <v>7</v>
      </c>
      <c r="J48" s="193" t="s">
        <v>6</v>
      </c>
      <c r="K48" s="210">
        <v>2.1061999999999999</v>
      </c>
      <c r="L48" s="211"/>
      <c r="M48" s="197"/>
      <c r="N48" s="1" t="s">
        <v>5</v>
      </c>
      <c r="O48" s="191"/>
      <c r="P48" s="198"/>
      <c r="Q48" s="1"/>
      <c r="R48" s="198"/>
    </row>
    <row r="49" spans="1:18" ht="16.5" customHeight="1" x14ac:dyDescent="0.3">
      <c r="A49" s="177"/>
      <c r="B49" s="212">
        <f>SUM(B44:B48)</f>
        <v>511.2850801169327</v>
      </c>
      <c r="C49" s="212"/>
      <c r="D49" s="213">
        <f>SUM(D44:D48)</f>
        <v>5669.68</v>
      </c>
      <c r="E49" s="213">
        <v>5669.68</v>
      </c>
      <c r="F49" s="183"/>
      <c r="G49" s="178"/>
      <c r="H49" s="214">
        <f>(C38+L37+L39)-D48</f>
        <v>-0.16000000000030923</v>
      </c>
      <c r="I49" s="215" t="s">
        <v>4</v>
      </c>
      <c r="J49" s="216" t="s">
        <v>3</v>
      </c>
      <c r="K49" s="217">
        <v>2.0185</v>
      </c>
      <c r="L49" s="218" t="e">
        <f>+K47-K45</f>
        <v>#DIV/0!</v>
      </c>
      <c r="M49" s="197"/>
      <c r="N49" s="202" t="s">
        <v>2</v>
      </c>
      <c r="O49" s="191"/>
      <c r="P49" s="198"/>
      <c r="Q49" s="1"/>
      <c r="R49" s="198"/>
    </row>
    <row r="50" spans="1:18" ht="15.6" x14ac:dyDescent="0.3">
      <c r="A50" s="177"/>
      <c r="B50" s="177"/>
      <c r="C50" s="177"/>
      <c r="D50" s="177"/>
      <c r="E50" s="178">
        <f>+D49-E49+F49-F50</f>
        <v>0</v>
      </c>
      <c r="F50" s="183"/>
      <c r="G50" s="178"/>
      <c r="H50" s="178"/>
      <c r="I50" s="178"/>
      <c r="J50" s="178"/>
      <c r="K50" s="202"/>
      <c r="L50" s="219"/>
      <c r="M50" s="197"/>
      <c r="N50" s="198"/>
      <c r="O50" s="191"/>
      <c r="P50" s="198"/>
      <c r="Q50" s="1"/>
    </row>
    <row r="51" spans="1:18" ht="16.5" customHeight="1" x14ac:dyDescent="0.3">
      <c r="A51" s="177"/>
      <c r="B51" s="177"/>
      <c r="C51" s="177"/>
      <c r="D51" s="177"/>
      <c r="E51" s="178"/>
      <c r="F51" s="220"/>
      <c r="G51" s="178"/>
      <c r="H51" s="178"/>
      <c r="I51" s="178"/>
      <c r="J51" s="178"/>
      <c r="K51" s="202"/>
      <c r="L51" s="202"/>
      <c r="M51" s="197"/>
      <c r="N51" s="198"/>
      <c r="O51" s="191"/>
      <c r="P51" s="221"/>
      <c r="Q51" s="1"/>
    </row>
    <row r="52" spans="1:18" ht="15.6" x14ac:dyDescent="0.3">
      <c r="A52" s="177"/>
      <c r="B52" s="177"/>
      <c r="C52" s="177"/>
      <c r="D52" s="177"/>
      <c r="E52" s="178"/>
      <c r="F52" s="220"/>
      <c r="G52" s="178"/>
      <c r="H52" s="222"/>
      <c r="I52" s="178"/>
      <c r="J52" s="178"/>
      <c r="K52" s="202"/>
      <c r="L52" s="198"/>
      <c r="M52" s="197"/>
      <c r="N52" s="198"/>
      <c r="O52" s="191"/>
      <c r="P52" s="221"/>
      <c r="Q52" s="1"/>
    </row>
    <row r="53" spans="1:18" ht="15.6" x14ac:dyDescent="0.3">
      <c r="A53" s="177"/>
      <c r="B53" s="223"/>
      <c r="C53" s="223"/>
      <c r="D53" s="224"/>
      <c r="E53" s="225"/>
      <c r="F53" s="220"/>
      <c r="G53" s="178"/>
      <c r="H53" s="226"/>
      <c r="I53" s="227"/>
      <c r="J53" s="228"/>
      <c r="K53" s="229"/>
      <c r="L53" s="230"/>
      <c r="M53" s="231"/>
      <c r="O53" s="191"/>
      <c r="Q53" s="1"/>
    </row>
    <row r="54" spans="1:18" ht="15.6" x14ac:dyDescent="0.3">
      <c r="A54" s="177"/>
      <c r="B54" s="223"/>
      <c r="C54" s="223"/>
      <c r="D54" s="224"/>
      <c r="E54" s="231"/>
      <c r="F54" s="220"/>
      <c r="G54" s="178"/>
      <c r="H54" s="226"/>
      <c r="I54" s="223"/>
      <c r="J54" s="228"/>
      <c r="K54" s="229"/>
      <c r="L54" s="230"/>
      <c r="M54" s="231"/>
      <c r="O54" s="233"/>
      <c r="Q54" s="1"/>
    </row>
    <row r="55" spans="1:18" ht="15.6" x14ac:dyDescent="0.3">
      <c r="A55" s="234"/>
      <c r="B55" s="235"/>
      <c r="C55" s="235"/>
      <c r="D55" s="236"/>
      <c r="E55" s="235"/>
      <c r="F55" s="220"/>
      <c r="G55" s="178"/>
      <c r="H55" s="226"/>
      <c r="I55" s="223"/>
      <c r="J55" s="228"/>
      <c r="K55" s="229"/>
      <c r="L55" s="230"/>
      <c r="M55" s="231"/>
      <c r="Q55" s="1"/>
    </row>
    <row r="56" spans="1:18" ht="15.6" x14ac:dyDescent="0.3">
      <c r="A56" s="234"/>
      <c r="B56" s="237"/>
      <c r="C56" s="237"/>
      <c r="D56" s="236"/>
      <c r="E56" s="238"/>
      <c r="F56" s="220"/>
      <c r="G56" s="178"/>
      <c r="H56" s="226"/>
      <c r="I56" s="223"/>
      <c r="J56" s="228"/>
      <c r="K56" s="229"/>
      <c r="L56" s="230"/>
      <c r="M56" s="231"/>
      <c r="Q56" s="1"/>
    </row>
    <row r="57" spans="1:18" ht="15.6" x14ac:dyDescent="0.3">
      <c r="A57" s="234"/>
      <c r="D57" s="224"/>
      <c r="E57" s="198"/>
      <c r="F57" s="220"/>
      <c r="G57" s="178"/>
      <c r="H57" s="223"/>
      <c r="I57" s="255"/>
      <c r="J57" s="228"/>
      <c r="K57" s="229"/>
      <c r="L57" s="230"/>
      <c r="M57" s="231"/>
      <c r="Q57" s="1"/>
    </row>
    <row r="58" spans="1:18" ht="15.6" x14ac:dyDescent="0.3">
      <c r="A58" s="239"/>
      <c r="D58" s="224"/>
      <c r="E58" s="107"/>
      <c r="F58" s="240"/>
      <c r="G58" s="178"/>
      <c r="H58" s="223"/>
      <c r="I58" s="223"/>
      <c r="J58" s="228"/>
      <c r="K58" s="229"/>
      <c r="L58" s="230"/>
      <c r="M58" s="231"/>
      <c r="Q58" s="1"/>
    </row>
    <row r="59" spans="1:18" ht="15.6" x14ac:dyDescent="0.3">
      <c r="A59" s="241"/>
      <c r="D59" s="224"/>
      <c r="F59" s="220"/>
      <c r="G59" s="178"/>
      <c r="H59" s="223"/>
      <c r="I59" s="223"/>
      <c r="J59" s="226"/>
      <c r="K59" s="226"/>
      <c r="L59" s="230"/>
      <c r="M59" s="223"/>
      <c r="Q59" s="1"/>
    </row>
    <row r="60" spans="1:18" ht="15.6" x14ac:dyDescent="0.3">
      <c r="A60" s="234"/>
      <c r="D60" s="224"/>
      <c r="F60" s="242"/>
      <c r="G60" s="178"/>
      <c r="J60" s="177"/>
      <c r="K60" s="177"/>
      <c r="L60" s="243"/>
      <c r="O60" s="107"/>
      <c r="P60" s="107"/>
      <c r="Q60" s="1"/>
    </row>
    <row r="61" spans="1:18" ht="15.6" x14ac:dyDescent="0.3">
      <c r="A61" s="234"/>
      <c r="D61" s="224"/>
      <c r="F61" s="240"/>
      <c r="G61" s="178"/>
      <c r="J61" s="177"/>
      <c r="K61" s="177"/>
      <c r="N61" s="107"/>
      <c r="O61" s="107"/>
      <c r="P61" s="107"/>
      <c r="Q61" s="1"/>
    </row>
    <row r="62" spans="1:18" ht="15.6" x14ac:dyDescent="0.3">
      <c r="A62" s="234"/>
      <c r="B62" s="107"/>
      <c r="C62" s="107"/>
      <c r="D62" s="224"/>
      <c r="E62" s="107"/>
      <c r="F62" s="244"/>
      <c r="G62" s="178"/>
      <c r="K62" s="177"/>
      <c r="N62" s="107"/>
      <c r="O62" s="107"/>
      <c r="P62" s="107"/>
      <c r="Q62" s="1"/>
    </row>
    <row r="63" spans="1:18" ht="15.6" x14ac:dyDescent="0.3">
      <c r="A63" s="239"/>
      <c r="D63" s="224"/>
      <c r="E63" s="107"/>
      <c r="F63" s="244"/>
      <c r="G63" s="178"/>
      <c r="N63" s="107"/>
      <c r="O63" s="107"/>
      <c r="P63" s="107"/>
      <c r="Q63" s="1"/>
    </row>
    <row r="64" spans="1:18" ht="15.6" x14ac:dyDescent="0.3">
      <c r="A64" s="239"/>
      <c r="D64" s="224"/>
      <c r="F64" s="245"/>
      <c r="G64" s="178"/>
      <c r="N64" s="107"/>
      <c r="O64" s="107"/>
      <c r="P64" s="107"/>
      <c r="Q64" s="1"/>
    </row>
    <row r="65" spans="1:20" x14ac:dyDescent="0.3">
      <c r="A65" s="234"/>
      <c r="D65" s="107"/>
      <c r="F65" s="244"/>
      <c r="G65" s="232">
        <f>SUM(G43:G64)</f>
        <v>0</v>
      </c>
      <c r="H65" s="232"/>
      <c r="I65" s="232">
        <f>SUM(I51:I64)</f>
        <v>0</v>
      </c>
      <c r="N65" s="107"/>
      <c r="O65" s="107"/>
      <c r="P65" s="107"/>
      <c r="Q65" s="1"/>
    </row>
    <row r="66" spans="1:20" x14ac:dyDescent="0.3">
      <c r="A66" s="234"/>
      <c r="F66" s="244"/>
      <c r="G66" s="178"/>
      <c r="N66" s="107"/>
      <c r="O66" s="107"/>
      <c r="P66" s="107"/>
      <c r="Q66" s="1"/>
    </row>
    <row r="67" spans="1:20" x14ac:dyDescent="0.3">
      <c r="A67" s="234">
        <v>84</v>
      </c>
      <c r="F67" s="246"/>
      <c r="G67" s="222"/>
      <c r="N67" s="107"/>
      <c r="Q67" s="1"/>
    </row>
    <row r="68" spans="1:20" x14ac:dyDescent="0.3">
      <c r="A68" s="239" t="s">
        <v>1</v>
      </c>
      <c r="F68" s="244"/>
      <c r="G68" s="222"/>
      <c r="N68" s="107"/>
      <c r="Q68" s="1"/>
    </row>
    <row r="69" spans="1:20" x14ac:dyDescent="0.3">
      <c r="A69" s="84"/>
      <c r="F69" s="242"/>
      <c r="G69" s="222"/>
      <c r="N69" s="107"/>
      <c r="Q69" s="1"/>
    </row>
    <row r="70" spans="1:20" x14ac:dyDescent="0.3">
      <c r="A70" s="234">
        <v>95</v>
      </c>
      <c r="F70" s="244"/>
      <c r="G70" s="222"/>
      <c r="H70" s="2"/>
      <c r="I70" s="2"/>
      <c r="J70" s="2"/>
      <c r="K70" s="2"/>
      <c r="L70" s="2"/>
      <c r="M70" s="2"/>
      <c r="N70" s="107"/>
      <c r="P70" s="198"/>
      <c r="Q70" s="1"/>
    </row>
    <row r="71" spans="1:20" x14ac:dyDescent="0.3">
      <c r="A71" s="234">
        <v>90</v>
      </c>
      <c r="F71" s="244"/>
      <c r="G71" s="222"/>
      <c r="H71" s="2"/>
      <c r="I71" s="2"/>
      <c r="J71" s="2"/>
      <c r="K71" s="2"/>
      <c r="L71" s="2"/>
      <c r="M71" s="2"/>
      <c r="N71" s="107"/>
      <c r="Q71" s="1"/>
    </row>
    <row r="72" spans="1:20" x14ac:dyDescent="0.3">
      <c r="A72" s="234">
        <v>84</v>
      </c>
      <c r="F72" s="247"/>
      <c r="G72" s="222"/>
      <c r="H72" s="2"/>
      <c r="I72" s="2"/>
      <c r="J72" s="2"/>
      <c r="K72" s="2"/>
      <c r="L72" s="2"/>
      <c r="M72" s="2"/>
      <c r="N72" s="107"/>
      <c r="O72" s="107"/>
      <c r="P72" s="107"/>
      <c r="Q72" s="107"/>
      <c r="R72" s="107"/>
    </row>
    <row r="73" spans="1:20" x14ac:dyDescent="0.3">
      <c r="A73" s="239" t="s">
        <v>1</v>
      </c>
      <c r="F73" s="247"/>
      <c r="G73" s="222"/>
      <c r="H73" s="2"/>
      <c r="I73" s="2"/>
      <c r="J73" s="2"/>
      <c r="K73" s="2"/>
      <c r="L73" s="2"/>
      <c r="M73" s="2"/>
      <c r="N73" s="107"/>
      <c r="O73" s="107"/>
      <c r="P73" s="107"/>
      <c r="Q73" s="107"/>
      <c r="R73" s="107"/>
    </row>
    <row r="74" spans="1:20" x14ac:dyDescent="0.3">
      <c r="A74" s="84"/>
      <c r="F74" s="84"/>
      <c r="G74" s="222"/>
      <c r="H74" s="2"/>
      <c r="I74" s="2"/>
      <c r="J74" s="2"/>
      <c r="K74" s="2"/>
      <c r="L74" s="2"/>
      <c r="M74" s="2"/>
      <c r="N74" s="107"/>
      <c r="O74" s="107"/>
      <c r="P74" s="107"/>
      <c r="Q74" s="107"/>
      <c r="R74" s="107"/>
    </row>
    <row r="75" spans="1:20" x14ac:dyDescent="0.3">
      <c r="A75" s="239" t="s">
        <v>0</v>
      </c>
      <c r="F75" s="248"/>
      <c r="G75" s="241"/>
      <c r="H75" s="2"/>
      <c r="I75" s="2"/>
      <c r="J75" s="2"/>
      <c r="K75" s="2"/>
      <c r="L75" s="2"/>
      <c r="M75" s="2"/>
      <c r="N75" s="107"/>
      <c r="O75" s="107"/>
      <c r="P75" s="107"/>
      <c r="Q75" s="107"/>
      <c r="R75" s="107"/>
    </row>
    <row r="76" spans="1:20" x14ac:dyDescent="0.3">
      <c r="A76" s="239" t="s">
        <v>0</v>
      </c>
      <c r="F76" s="250"/>
      <c r="G76" s="241"/>
      <c r="H76" s="2"/>
      <c r="I76" s="2"/>
      <c r="J76" s="2"/>
      <c r="K76" s="2"/>
      <c r="L76" s="2"/>
      <c r="M76" s="2"/>
      <c r="N76" s="107"/>
      <c r="O76" s="107"/>
      <c r="P76" s="107"/>
      <c r="Q76" s="107"/>
      <c r="R76" s="197"/>
    </row>
    <row r="77" spans="1:20" x14ac:dyDescent="0.3">
      <c r="A77" s="84"/>
      <c r="F77" s="84"/>
      <c r="G77" s="241"/>
      <c r="H77" s="2"/>
      <c r="I77" s="2"/>
      <c r="J77" s="2"/>
      <c r="K77" s="2"/>
      <c r="L77" s="2"/>
      <c r="M77" s="2"/>
      <c r="N77" s="107"/>
      <c r="O77" s="107"/>
      <c r="P77" s="107"/>
      <c r="Q77" s="107"/>
      <c r="R77" s="197"/>
    </row>
    <row r="78" spans="1:20" x14ac:dyDescent="0.3">
      <c r="A78" s="239" t="s">
        <v>0</v>
      </c>
      <c r="F78" s="250"/>
      <c r="G78" s="241"/>
      <c r="N78" s="107"/>
      <c r="O78" s="107"/>
      <c r="P78" s="107"/>
      <c r="Q78" s="107"/>
      <c r="R78" s="197"/>
      <c r="S78" s="251"/>
      <c r="T78" s="1">
        <v>3</v>
      </c>
    </row>
    <row r="79" spans="1:20" x14ac:dyDescent="0.3">
      <c r="A79" s="239" t="s">
        <v>0</v>
      </c>
      <c r="F79" s="250"/>
      <c r="G79" s="241"/>
      <c r="N79" s="107"/>
      <c r="O79" s="107"/>
      <c r="P79" s="107"/>
      <c r="Q79" s="107"/>
      <c r="R79" s="197"/>
    </row>
    <row r="80" spans="1:20" x14ac:dyDescent="0.3">
      <c r="A80" s="84"/>
      <c r="F80" s="250"/>
      <c r="G80" s="241"/>
      <c r="N80" s="107"/>
      <c r="O80" s="107"/>
      <c r="P80" s="107"/>
      <c r="Q80" s="107"/>
      <c r="R80" s="197"/>
    </row>
    <row r="81" spans="1:19" x14ac:dyDescent="0.3">
      <c r="A81" s="84"/>
      <c r="F81" s="235"/>
      <c r="G81" s="241"/>
      <c r="N81" s="107"/>
      <c r="O81" s="107"/>
      <c r="P81" s="107"/>
      <c r="Q81" s="107"/>
      <c r="R81" s="197"/>
    </row>
    <row r="82" spans="1:19" x14ac:dyDescent="0.3">
      <c r="A82" s="84"/>
      <c r="F82" s="237"/>
      <c r="G82" s="241"/>
      <c r="N82" s="107"/>
      <c r="O82" s="107"/>
      <c r="P82" s="107"/>
      <c r="Q82" s="107"/>
      <c r="R82" s="197"/>
    </row>
    <row r="83" spans="1:19" x14ac:dyDescent="0.3">
      <c r="A83" s="84"/>
      <c r="F83" s="237"/>
      <c r="G83" s="84"/>
      <c r="N83" s="107"/>
      <c r="O83" s="107"/>
      <c r="P83" s="107"/>
      <c r="Q83" s="107"/>
      <c r="R83" s="197"/>
    </row>
    <row r="84" spans="1:19" x14ac:dyDescent="0.3">
      <c r="A84" s="84"/>
      <c r="F84" s="223"/>
      <c r="G84" s="84"/>
      <c r="N84" s="107"/>
      <c r="O84" s="107"/>
      <c r="P84" s="107"/>
      <c r="Q84" s="107"/>
    </row>
    <row r="85" spans="1:19" x14ac:dyDescent="0.3">
      <c r="G85" s="84"/>
      <c r="N85" s="107"/>
      <c r="O85" s="107"/>
      <c r="P85" s="107"/>
      <c r="Q85" s="107"/>
    </row>
    <row r="86" spans="1:19" x14ac:dyDescent="0.3">
      <c r="G86" s="249"/>
      <c r="N86" s="107"/>
      <c r="O86" s="202"/>
      <c r="P86" s="202"/>
      <c r="Q86" s="107"/>
    </row>
    <row r="87" spans="1:19" x14ac:dyDescent="0.3">
      <c r="G87" s="84"/>
      <c r="N87" s="107"/>
      <c r="O87" s="202"/>
      <c r="P87" s="202"/>
      <c r="Q87" s="107"/>
    </row>
    <row r="88" spans="1:19" x14ac:dyDescent="0.3">
      <c r="G88" s="84"/>
      <c r="N88" s="107"/>
      <c r="O88" s="202"/>
      <c r="P88" s="202"/>
      <c r="Q88" s="107"/>
    </row>
    <row r="89" spans="1:19" x14ac:dyDescent="0.3">
      <c r="G89" s="84"/>
      <c r="N89" s="107"/>
      <c r="O89" s="202"/>
      <c r="P89" s="202"/>
      <c r="Q89" s="107"/>
    </row>
    <row r="90" spans="1:19" x14ac:dyDescent="0.3">
      <c r="G90" s="249"/>
      <c r="N90" s="107"/>
      <c r="O90" s="202"/>
      <c r="P90" s="202"/>
      <c r="Q90" s="107"/>
    </row>
    <row r="91" spans="1:19" x14ac:dyDescent="0.3">
      <c r="G91" s="223"/>
      <c r="N91" s="107"/>
      <c r="O91" s="202"/>
      <c r="P91" s="202"/>
      <c r="Q91" s="107"/>
      <c r="S91" s="251"/>
    </row>
    <row r="92" spans="1:19" x14ac:dyDescent="0.3">
      <c r="G92" s="223"/>
      <c r="Q92" s="1"/>
    </row>
    <row r="93" spans="1:19" x14ac:dyDescent="0.3">
      <c r="G93" s="223"/>
      <c r="Q93" s="1"/>
    </row>
    <row r="94" spans="1:19" x14ac:dyDescent="0.3">
      <c r="G94" s="223"/>
      <c r="Q94" s="1"/>
    </row>
    <row r="95" spans="1:19" s="2" customFormat="1" x14ac:dyDescent="0.3">
      <c r="G95" s="223"/>
      <c r="H95" s="1"/>
      <c r="I95" s="1"/>
      <c r="J95" s="1"/>
      <c r="K95" s="1"/>
      <c r="L95" s="1"/>
      <c r="M95" s="1"/>
    </row>
    <row r="96" spans="1:19" s="2" customFormat="1" x14ac:dyDescent="0.3">
      <c r="G96" s="1"/>
      <c r="H96" s="1"/>
      <c r="I96" s="1"/>
      <c r="J96" s="1"/>
      <c r="K96" s="1"/>
      <c r="L96" s="1"/>
      <c r="M96" s="1"/>
    </row>
    <row r="97" spans="7:19" s="2" customFormat="1" x14ac:dyDescent="0.3">
      <c r="G97" s="1"/>
      <c r="H97" s="1"/>
      <c r="I97" s="1"/>
      <c r="J97" s="1"/>
      <c r="K97" s="1"/>
      <c r="L97" s="1"/>
      <c r="M97" s="1"/>
    </row>
    <row r="98" spans="7:19" s="2" customFormat="1" x14ac:dyDescent="0.3">
      <c r="G98" s="1"/>
      <c r="H98" s="1"/>
      <c r="I98" s="1"/>
      <c r="J98" s="1"/>
      <c r="K98" s="1"/>
      <c r="L98" s="1"/>
      <c r="M98" s="1"/>
      <c r="N98" s="107"/>
      <c r="O98" s="202"/>
      <c r="P98" s="202"/>
      <c r="Q98" s="107"/>
      <c r="S98" s="252"/>
    </row>
    <row r="99" spans="7:19" s="2" customFormat="1" x14ac:dyDescent="0.3">
      <c r="G99" s="1"/>
      <c r="H99" s="1"/>
      <c r="I99" s="1"/>
      <c r="J99" s="1"/>
      <c r="K99" s="1"/>
      <c r="L99" s="1"/>
      <c r="M99" s="1"/>
      <c r="N99" s="107"/>
      <c r="O99" s="202"/>
      <c r="P99" s="202"/>
      <c r="Q99" s="107"/>
    </row>
    <row r="100" spans="7:19" s="2" customFormat="1" x14ac:dyDescent="0.3">
      <c r="G100" s="1"/>
      <c r="H100" s="1"/>
      <c r="I100" s="1"/>
      <c r="J100" s="1"/>
      <c r="K100" s="1"/>
      <c r="L100" s="1"/>
      <c r="M100" s="1"/>
      <c r="N100" s="107"/>
      <c r="O100" s="202"/>
      <c r="P100" s="202"/>
      <c r="Q100" s="107"/>
    </row>
    <row r="101" spans="7:19" s="2" customFormat="1" x14ac:dyDescent="0.3">
      <c r="G101" s="1"/>
      <c r="H101" s="1"/>
      <c r="I101" s="1"/>
      <c r="J101" s="1"/>
      <c r="K101" s="1"/>
      <c r="L101" s="1"/>
      <c r="M101" s="1"/>
      <c r="N101" s="107"/>
      <c r="O101" s="253"/>
      <c r="P101" s="253"/>
      <c r="Q101" s="107"/>
    </row>
    <row r="102" spans="7:19" s="2" customFormat="1" x14ac:dyDescent="0.3">
      <c r="G102" s="1"/>
      <c r="H102" s="1"/>
      <c r="I102" s="1"/>
      <c r="J102" s="1"/>
      <c r="K102" s="1"/>
      <c r="L102" s="1"/>
      <c r="M102" s="1"/>
      <c r="N102" s="107"/>
      <c r="O102" s="202"/>
      <c r="P102" s="202"/>
      <c r="Q102" s="107"/>
    </row>
    <row r="103" spans="7:19" x14ac:dyDescent="0.3">
      <c r="N103" s="107"/>
      <c r="O103" s="202"/>
      <c r="P103" s="202"/>
      <c r="Q103" s="107"/>
    </row>
    <row r="104" spans="7:19" x14ac:dyDescent="0.3">
      <c r="H104" s="2"/>
      <c r="I104" s="2"/>
      <c r="J104" s="2"/>
      <c r="K104" s="2"/>
      <c r="L104" s="2"/>
      <c r="M104" s="2"/>
      <c r="N104" s="107"/>
      <c r="O104" s="202"/>
      <c r="P104" s="202"/>
      <c r="Q104" s="107"/>
    </row>
    <row r="105" spans="7:19" x14ac:dyDescent="0.3">
      <c r="H105" s="2"/>
      <c r="I105" s="2"/>
      <c r="J105" s="2"/>
      <c r="K105" s="2"/>
      <c r="L105" s="2"/>
      <c r="M105" s="2"/>
      <c r="N105" s="107"/>
      <c r="O105" s="202"/>
      <c r="P105" s="202"/>
      <c r="Q105" s="107"/>
    </row>
    <row r="106" spans="7:19" x14ac:dyDescent="0.3">
      <c r="G106" s="2"/>
      <c r="H106" s="2"/>
      <c r="I106" s="2"/>
      <c r="J106" s="2"/>
      <c r="K106" s="2"/>
      <c r="L106" s="2"/>
      <c r="M106" s="2"/>
      <c r="N106" s="107"/>
      <c r="O106" s="202"/>
      <c r="Q106" s="107"/>
    </row>
    <row r="107" spans="7:19" x14ac:dyDescent="0.3">
      <c r="G107" s="2"/>
      <c r="H107" s="2"/>
      <c r="I107" s="2"/>
      <c r="J107" s="2"/>
      <c r="K107" s="2"/>
      <c r="L107" s="2"/>
      <c r="M107" s="2"/>
      <c r="N107" s="107"/>
      <c r="O107" s="202"/>
      <c r="Q107" s="107"/>
    </row>
    <row r="108" spans="7:19" x14ac:dyDescent="0.3">
      <c r="G108" s="2"/>
      <c r="H108" s="2"/>
      <c r="I108" s="2"/>
      <c r="J108" s="2"/>
      <c r="K108" s="2"/>
      <c r="L108" s="2"/>
      <c r="M108" s="2"/>
      <c r="N108" s="107"/>
      <c r="O108" s="202"/>
      <c r="Q108" s="107"/>
    </row>
    <row r="109" spans="7:19" x14ac:dyDescent="0.3">
      <c r="G109" s="2"/>
      <c r="H109" s="2"/>
      <c r="I109" s="2"/>
      <c r="J109" s="2"/>
      <c r="K109" s="2"/>
      <c r="L109" s="2"/>
      <c r="M109" s="2"/>
      <c r="N109" s="107"/>
      <c r="O109" s="202"/>
      <c r="P109" s="202"/>
      <c r="Q109" s="107"/>
    </row>
    <row r="110" spans="7:19" x14ac:dyDescent="0.3">
      <c r="G110" s="2"/>
      <c r="H110" s="2"/>
      <c r="I110" s="2"/>
      <c r="J110" s="2"/>
      <c r="K110" s="2"/>
      <c r="L110" s="2"/>
      <c r="M110" s="2"/>
      <c r="N110" s="107"/>
      <c r="O110" s="202"/>
      <c r="Q110" s="107"/>
    </row>
    <row r="111" spans="7:19" x14ac:dyDescent="0.3">
      <c r="G111" s="2"/>
      <c r="H111" s="2"/>
      <c r="I111" s="2"/>
      <c r="J111" s="2"/>
      <c r="K111" s="2"/>
      <c r="L111" s="2"/>
      <c r="M111" s="2"/>
      <c r="N111" s="107"/>
      <c r="O111" s="202"/>
      <c r="Q111" s="107"/>
    </row>
    <row r="112" spans="7:19" x14ac:dyDescent="0.3">
      <c r="G112" s="2"/>
      <c r="H112" s="2"/>
      <c r="I112" s="2"/>
      <c r="J112" s="2"/>
      <c r="K112" s="2"/>
      <c r="L112" s="2"/>
      <c r="M112" s="2"/>
      <c r="N112" s="107"/>
      <c r="O112" s="202"/>
      <c r="Q112" s="107"/>
    </row>
    <row r="113" spans="7:17" x14ac:dyDescent="0.3">
      <c r="G113" s="2"/>
      <c r="H113" s="2"/>
      <c r="I113" s="2"/>
      <c r="J113" s="2"/>
      <c r="K113" s="2"/>
      <c r="L113" s="2"/>
      <c r="M113" s="2"/>
      <c r="N113" s="107"/>
      <c r="O113" s="202"/>
      <c r="Q113" s="107"/>
    </row>
    <row r="114" spans="7:17" x14ac:dyDescent="0.3">
      <c r="H114" s="2"/>
      <c r="I114" s="2"/>
      <c r="J114" s="2"/>
      <c r="K114" s="2"/>
      <c r="L114" s="2"/>
      <c r="M114" s="2"/>
      <c r="N114" s="107"/>
      <c r="O114" s="202"/>
      <c r="Q114" s="107"/>
    </row>
    <row r="115" spans="7:17" x14ac:dyDescent="0.3">
      <c r="H115" s="2"/>
      <c r="I115" s="2"/>
      <c r="J115" s="2"/>
      <c r="K115" s="2"/>
      <c r="L115" s="2"/>
      <c r="M115" s="2"/>
      <c r="N115" s="107"/>
      <c r="O115" s="253"/>
      <c r="P115" s="254"/>
      <c r="Q115" s="107"/>
    </row>
    <row r="116" spans="7:17" x14ac:dyDescent="0.3">
      <c r="H116" s="2"/>
      <c r="I116" s="2"/>
      <c r="J116" s="2"/>
      <c r="K116" s="2"/>
      <c r="L116" s="2"/>
      <c r="M116" s="2"/>
      <c r="N116" s="107"/>
      <c r="O116" s="202"/>
      <c r="Q116" s="107"/>
    </row>
    <row r="117" spans="7:17" x14ac:dyDescent="0.3">
      <c r="H117" s="2"/>
      <c r="I117" s="2"/>
      <c r="J117" s="2"/>
      <c r="K117" s="2"/>
      <c r="L117" s="2"/>
      <c r="M117" s="2"/>
      <c r="N117" s="107"/>
      <c r="O117" s="202"/>
    </row>
    <row r="118" spans="7:17" x14ac:dyDescent="0.3">
      <c r="H118" s="2"/>
      <c r="I118" s="2"/>
      <c r="J118" s="2"/>
      <c r="K118" s="2"/>
      <c r="L118" s="2"/>
      <c r="M118" s="2"/>
      <c r="N118" s="107"/>
      <c r="O118" s="202"/>
    </row>
    <row r="119" spans="7:17" x14ac:dyDescent="0.3">
      <c r="N119" s="107"/>
      <c r="O119" s="202"/>
    </row>
    <row r="120" spans="7:17" x14ac:dyDescent="0.3">
      <c r="N120" s="107"/>
      <c r="O120" s="202"/>
    </row>
    <row r="121" spans="7:17" x14ac:dyDescent="0.3">
      <c r="N121" s="107"/>
      <c r="O121" s="202"/>
    </row>
    <row r="122" spans="7:17" x14ac:dyDescent="0.3">
      <c r="N122" s="107"/>
    </row>
    <row r="123" spans="7:17" x14ac:dyDescent="0.3">
      <c r="N123" s="107"/>
    </row>
    <row r="124" spans="7:17" x14ac:dyDescent="0.3">
      <c r="N124" s="107"/>
    </row>
    <row r="125" spans="7:17" x14ac:dyDescent="0.3">
      <c r="N125" s="107"/>
    </row>
    <row r="126" spans="7:17" x14ac:dyDescent="0.3">
      <c r="N126" s="107"/>
    </row>
    <row r="127" spans="7:17" x14ac:dyDescent="0.3">
      <c r="N127" s="107"/>
    </row>
    <row r="128" spans="7:17" x14ac:dyDescent="0.3">
      <c r="N128" s="107"/>
      <c r="O128" s="254"/>
      <c r="P128" s="254"/>
    </row>
    <row r="129" spans="7:16" s="2" customFormat="1" x14ac:dyDescent="0.3">
      <c r="G129" s="1"/>
      <c r="H129" s="1"/>
      <c r="I129" s="1"/>
      <c r="J129" s="1"/>
      <c r="K129" s="1"/>
      <c r="L129" s="1"/>
      <c r="M129" s="1"/>
      <c r="N129" s="107"/>
      <c r="O129" s="1"/>
      <c r="P129" s="1"/>
    </row>
    <row r="130" spans="7:16" s="2" customFormat="1" x14ac:dyDescent="0.3">
      <c r="G130" s="1"/>
      <c r="H130" s="1"/>
      <c r="I130" s="1"/>
      <c r="J130" s="1"/>
      <c r="K130" s="1"/>
      <c r="L130" s="1"/>
      <c r="M130" s="1"/>
      <c r="N130" s="107"/>
      <c r="O130" s="1"/>
      <c r="P130" s="1"/>
    </row>
    <row r="131" spans="7:16" s="2" customFormat="1" x14ac:dyDescent="0.3">
      <c r="G131" s="1"/>
      <c r="H131" s="1"/>
      <c r="I131" s="1"/>
      <c r="J131" s="1"/>
      <c r="K131" s="1"/>
      <c r="L131" s="1"/>
      <c r="M131" s="1"/>
      <c r="N131" s="107"/>
      <c r="O131" s="1"/>
      <c r="P131" s="1"/>
    </row>
    <row r="132" spans="7:16" s="2" customFormat="1" x14ac:dyDescent="0.3">
      <c r="G132" s="1"/>
      <c r="H132" s="1"/>
      <c r="I132" s="1"/>
      <c r="J132" s="1"/>
      <c r="K132" s="1"/>
      <c r="L132" s="1"/>
      <c r="M132" s="1"/>
      <c r="N132" s="107"/>
      <c r="O132" s="1"/>
      <c r="P132" s="1"/>
    </row>
    <row r="133" spans="7:16" s="2" customFormat="1" x14ac:dyDescent="0.3">
      <c r="G133" s="1"/>
      <c r="H133" s="1"/>
      <c r="I133" s="1"/>
      <c r="J133" s="1"/>
      <c r="K133" s="1"/>
      <c r="L133" s="1"/>
      <c r="M133" s="1"/>
      <c r="N133" s="107"/>
      <c r="O133" s="1"/>
      <c r="P133" s="1"/>
    </row>
    <row r="134" spans="7:16" s="2" customFormat="1" x14ac:dyDescent="0.3">
      <c r="G134" s="1"/>
      <c r="H134" s="1"/>
      <c r="I134" s="1"/>
      <c r="J134" s="1"/>
      <c r="K134" s="1"/>
      <c r="L134" s="1"/>
      <c r="M134" s="1"/>
      <c r="N134" s="107"/>
      <c r="O134" s="1"/>
      <c r="P134" s="1"/>
    </row>
    <row r="135" spans="7:16" s="2" customFormat="1" x14ac:dyDescent="0.3">
      <c r="G135" s="1"/>
      <c r="H135" s="1"/>
      <c r="I135" s="1"/>
      <c r="J135" s="1"/>
      <c r="K135" s="1"/>
      <c r="L135" s="1"/>
      <c r="M135" s="1"/>
      <c r="N135" s="107"/>
      <c r="O135" s="1"/>
      <c r="P135" s="1"/>
    </row>
    <row r="136" spans="7:16" s="2" customFormat="1" x14ac:dyDescent="0.3">
      <c r="G136" s="1"/>
      <c r="H136" s="1"/>
      <c r="I136" s="1"/>
      <c r="J136" s="1"/>
      <c r="K136" s="1"/>
      <c r="L136" s="1"/>
      <c r="M136" s="1"/>
      <c r="N136" s="107"/>
      <c r="O136" s="1"/>
      <c r="P136" s="1"/>
    </row>
    <row r="137" spans="7:16" s="2" customFormat="1" x14ac:dyDescent="0.3">
      <c r="G137" s="1"/>
      <c r="H137" s="1"/>
      <c r="I137" s="1"/>
      <c r="J137" s="1"/>
      <c r="K137" s="1"/>
      <c r="L137" s="1"/>
      <c r="M137" s="1"/>
      <c r="N137" s="107"/>
      <c r="O137" s="1"/>
      <c r="P137" s="1"/>
    </row>
    <row r="138" spans="7:16" s="2" customFormat="1" x14ac:dyDescent="0.3">
      <c r="G138" s="1"/>
      <c r="H138" s="1"/>
      <c r="I138" s="1"/>
      <c r="J138" s="1"/>
      <c r="K138" s="1"/>
      <c r="L138" s="1"/>
      <c r="M138" s="1"/>
      <c r="N138" s="107"/>
      <c r="O138" s="1"/>
      <c r="P138" s="1"/>
    </row>
    <row r="139" spans="7:16" s="2" customFormat="1" x14ac:dyDescent="0.3">
      <c r="G139" s="1"/>
      <c r="H139" s="1"/>
      <c r="I139" s="1"/>
      <c r="J139" s="1"/>
      <c r="K139" s="1"/>
      <c r="L139" s="1"/>
      <c r="M139" s="1"/>
      <c r="N139" s="107"/>
      <c r="O139" s="1"/>
      <c r="P139" s="1"/>
    </row>
    <row r="140" spans="7:16" s="2" customFormat="1" x14ac:dyDescent="0.3">
      <c r="H140" s="1"/>
      <c r="I140" s="1"/>
      <c r="J140" s="1"/>
      <c r="K140" s="1"/>
      <c r="L140" s="1"/>
      <c r="M140" s="1"/>
      <c r="N140" s="107"/>
      <c r="O140" s="1"/>
      <c r="P140" s="1"/>
    </row>
    <row r="141" spans="7:16" s="2" customFormat="1" x14ac:dyDescent="0.3">
      <c r="H141" s="1"/>
      <c r="I141" s="1"/>
      <c r="J141" s="1"/>
      <c r="K141" s="1"/>
      <c r="L141" s="1"/>
      <c r="M141" s="1"/>
      <c r="N141" s="107"/>
      <c r="O141" s="1"/>
      <c r="P141" s="1"/>
    </row>
    <row r="142" spans="7:16" s="2" customFormat="1" x14ac:dyDescent="0.3">
      <c r="H142" s="1"/>
      <c r="I142" s="1"/>
      <c r="J142" s="1"/>
      <c r="K142" s="1"/>
      <c r="L142" s="1"/>
      <c r="M142" s="1"/>
      <c r="N142" s="107"/>
      <c r="O142" s="1"/>
      <c r="P142" s="1"/>
    </row>
    <row r="143" spans="7:16" s="2" customFormat="1" x14ac:dyDescent="0.3">
      <c r="H143" s="1"/>
      <c r="I143" s="1"/>
      <c r="J143" s="1"/>
      <c r="K143" s="1"/>
      <c r="L143" s="1"/>
      <c r="M143" s="1"/>
      <c r="N143" s="1"/>
      <c r="O143" s="254"/>
      <c r="P143" s="254"/>
    </row>
    <row r="144" spans="7:16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</sheetData>
  <autoFilter ref="A6:P6" xr:uid="{00000000-0009-0000-0000-000008000000}"/>
  <mergeCells count="64">
    <mergeCell ref="I37:J37"/>
    <mergeCell ref="M35:P35"/>
    <mergeCell ref="H43:L43"/>
    <mergeCell ref="M16:N16"/>
    <mergeCell ref="A17:B17"/>
    <mergeCell ref="I19:J19"/>
    <mergeCell ref="I17:J17"/>
    <mergeCell ref="K20:L20"/>
    <mergeCell ref="A34:H34"/>
    <mergeCell ref="M41:N41"/>
    <mergeCell ref="M36:P37"/>
    <mergeCell ref="A33:B33"/>
    <mergeCell ref="A27:B27"/>
    <mergeCell ref="A28:B28"/>
    <mergeCell ref="I31:J31"/>
    <mergeCell ref="O41:P41"/>
    <mergeCell ref="A35:C35"/>
    <mergeCell ref="M38:N38"/>
    <mergeCell ref="M15:N15"/>
    <mergeCell ref="A14:H14"/>
    <mergeCell ref="K19:L19"/>
    <mergeCell ref="M25:N25"/>
    <mergeCell ref="A20:B20"/>
    <mergeCell ref="I18:L18"/>
    <mergeCell ref="M20:O20"/>
    <mergeCell ref="A16:B16"/>
    <mergeCell ref="M19:O19"/>
    <mergeCell ref="I20:J20"/>
    <mergeCell ref="A15:B15"/>
    <mergeCell ref="M14:P14"/>
    <mergeCell ref="I14:L14"/>
    <mergeCell ref="I16:J16"/>
    <mergeCell ref="M17:N17"/>
    <mergeCell ref="I15:J15"/>
    <mergeCell ref="A21:B21"/>
    <mergeCell ref="M21:O21"/>
    <mergeCell ref="A18:B18"/>
    <mergeCell ref="M24:O24"/>
    <mergeCell ref="I26:J26"/>
    <mergeCell ref="A19:B19"/>
    <mergeCell ref="A26:B26"/>
    <mergeCell ref="M23:O23"/>
    <mergeCell ref="A22:B22"/>
    <mergeCell ref="K26:P26"/>
    <mergeCell ref="A23:B23"/>
    <mergeCell ref="M22:O22"/>
    <mergeCell ref="A24:B24"/>
    <mergeCell ref="A25:B25"/>
    <mergeCell ref="O1:P1"/>
    <mergeCell ref="C5:F5"/>
    <mergeCell ref="M18:N18"/>
    <mergeCell ref="A1:H3"/>
    <mergeCell ref="O2:P2"/>
    <mergeCell ref="L5:M5"/>
    <mergeCell ref="I3:J3"/>
    <mergeCell ref="K3:M3"/>
    <mergeCell ref="I2:J2"/>
    <mergeCell ref="K2:M2"/>
    <mergeCell ref="N5:P5"/>
    <mergeCell ref="G5:J5"/>
    <mergeCell ref="O3:P3"/>
    <mergeCell ref="K1:M1"/>
    <mergeCell ref="O4:P4"/>
    <mergeCell ref="I1:J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22</vt:i4>
      </vt:variant>
    </vt:vector>
  </HeadingPairs>
  <TitlesOfParts>
    <vt:vector size="4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'01'!Área_de_impresión</vt:lpstr>
      <vt:lpstr>'02'!Área_de_impresión</vt:lpstr>
      <vt:lpstr>'03'!Área_de_impresión</vt:lpstr>
      <vt:lpstr>'04'!Área_de_impresión</vt:lpstr>
      <vt:lpstr>'05'!Área_de_impresión</vt:lpstr>
      <vt:lpstr>'06'!Área_de_impresión</vt:lpstr>
      <vt:lpstr>'07'!Área_de_impresión</vt:lpstr>
      <vt:lpstr>'08'!Área_de_impresión</vt:lpstr>
      <vt:lpstr>'09'!Área_de_impresión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'20'!Área_de_impresión</vt:lpstr>
      <vt:lpstr>'21'!Área_de_impresión</vt:lpstr>
      <vt:lpstr>'22'!Área_de_impresión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 Soler</dc:creator>
  <cp:lastModifiedBy>sistemas</cp:lastModifiedBy>
  <dcterms:created xsi:type="dcterms:W3CDTF">2025-05-02T15:12:20Z</dcterms:created>
  <dcterms:modified xsi:type="dcterms:W3CDTF">2025-06-09T10:14:43Z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25785ddf8d3e42819aabb29a816ea2b4</vt:lpwstr>
  </property>
</Properties>
</file>