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ownloads\"/>
    </mc:Choice>
  </mc:AlternateContent>
  <xr:revisionPtr revIDLastSave="0" documentId="13_ncr:1_{2B7607F2-12CA-4B42-A15F-E7A214832D9A}" xr6:coauthVersionLast="47" xr6:coauthVersionMax="47" xr10:uidLastSave="{00000000-0000-0000-0000-000000000000}"/>
  <bookViews>
    <workbookView xWindow="-108" yWindow="-108" windowWidth="23256" windowHeight="12456" tabRatio="926" activeTab="29" xr2:uid="{C3DB83FE-FE25-4503-93F1-9A0401D3212E}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9" r:id="rId28"/>
    <sheet name="29" sheetId="30" r:id="rId29"/>
    <sheet name="30" sheetId="31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31" l="1"/>
  <c r="K10" i="31"/>
  <c r="H38" i="31" l="1"/>
  <c r="J42" i="31" l="1"/>
  <c r="G51" i="31"/>
  <c r="E50" i="31"/>
  <c r="I9" i="31" s="1"/>
  <c r="M9" i="31" s="1"/>
  <c r="E49" i="31"/>
  <c r="E48" i="31"/>
  <c r="E47" i="31"/>
  <c r="I7" i="31" s="1"/>
  <c r="M7" i="31" s="1"/>
  <c r="E46" i="31"/>
  <c r="M42" i="31"/>
  <c r="F42" i="31"/>
  <c r="O15" i="31" s="1"/>
  <c r="E42" i="31"/>
  <c r="O40" i="31"/>
  <c r="O42" i="31" s="1"/>
  <c r="J36" i="31"/>
  <c r="G36" i="31"/>
  <c r="E35" i="31"/>
  <c r="E34" i="31"/>
  <c r="E33" i="31"/>
  <c r="E32" i="31"/>
  <c r="J31" i="31"/>
  <c r="E31" i="31"/>
  <c r="E30" i="31"/>
  <c r="E29" i="31"/>
  <c r="G28" i="31"/>
  <c r="E28" i="31"/>
  <c r="J26" i="31"/>
  <c r="J20" i="31"/>
  <c r="N9" i="31"/>
  <c r="C9" i="31"/>
  <c r="F9" i="31" s="1"/>
  <c r="N8" i="31"/>
  <c r="I8" i="31"/>
  <c r="M8" i="31" s="1"/>
  <c r="O8" i="31" s="1"/>
  <c r="G8" i="31"/>
  <c r="C8" i="31"/>
  <c r="F8" i="31" s="1"/>
  <c r="N7" i="31"/>
  <c r="C7" i="31"/>
  <c r="F7" i="31" s="1"/>
  <c r="N6" i="31"/>
  <c r="C6" i="31"/>
  <c r="F6" i="31" s="1"/>
  <c r="N3" i="31"/>
  <c r="G51" i="30"/>
  <c r="E50" i="30"/>
  <c r="I9" i="30" s="1"/>
  <c r="M9" i="30" s="1"/>
  <c r="E49" i="30"/>
  <c r="E48" i="30"/>
  <c r="I8" i="30" s="1"/>
  <c r="M8" i="30" s="1"/>
  <c r="E47" i="30"/>
  <c r="I7" i="30" s="1"/>
  <c r="M7" i="30" s="1"/>
  <c r="O7" i="30" s="1"/>
  <c r="E46" i="30"/>
  <c r="G6" i="30" s="1"/>
  <c r="O42" i="30"/>
  <c r="M42" i="30"/>
  <c r="F42" i="30"/>
  <c r="O15" i="30" s="1"/>
  <c r="E42" i="30"/>
  <c r="O14" i="30" s="1"/>
  <c r="J41" i="30"/>
  <c r="O40" i="30"/>
  <c r="J36" i="30"/>
  <c r="G36" i="30"/>
  <c r="E35" i="30"/>
  <c r="E34" i="30"/>
  <c r="E33" i="30"/>
  <c r="E32" i="30"/>
  <c r="J31" i="30"/>
  <c r="E31" i="30"/>
  <c r="E36" i="30" s="1"/>
  <c r="E30" i="30"/>
  <c r="E29" i="30"/>
  <c r="G28" i="30"/>
  <c r="E28" i="30"/>
  <c r="J26" i="30"/>
  <c r="J20" i="30"/>
  <c r="L10" i="30"/>
  <c r="K10" i="30"/>
  <c r="N9" i="30"/>
  <c r="C9" i="30"/>
  <c r="F9" i="30" s="1"/>
  <c r="J9" i="30" s="1"/>
  <c r="P9" i="30" s="1"/>
  <c r="N8" i="30"/>
  <c r="C8" i="30"/>
  <c r="F8" i="30" s="1"/>
  <c r="N7" i="30"/>
  <c r="C7" i="30"/>
  <c r="F7" i="30" s="1"/>
  <c r="N6" i="30"/>
  <c r="C6" i="30"/>
  <c r="F6" i="30" s="1"/>
  <c r="N3" i="30"/>
  <c r="G51" i="29"/>
  <c r="E50" i="29"/>
  <c r="E49" i="29"/>
  <c r="E48" i="29"/>
  <c r="I8" i="29" s="1"/>
  <c r="M8" i="29" s="1"/>
  <c r="E47" i="29"/>
  <c r="I7" i="29" s="1"/>
  <c r="M7" i="29" s="1"/>
  <c r="E46" i="29"/>
  <c r="M42" i="29"/>
  <c r="F42" i="29"/>
  <c r="O15" i="29" s="1"/>
  <c r="E42" i="29"/>
  <c r="O14" i="29" s="1"/>
  <c r="J41" i="29"/>
  <c r="O40" i="29"/>
  <c r="O42" i="29" s="1"/>
  <c r="J36" i="29"/>
  <c r="G36" i="29"/>
  <c r="E35" i="29"/>
  <c r="E34" i="29"/>
  <c r="E33" i="29"/>
  <c r="E32" i="29"/>
  <c r="J31" i="29"/>
  <c r="E31" i="29"/>
  <c r="E30" i="29"/>
  <c r="E29" i="29"/>
  <c r="G28" i="29"/>
  <c r="E28" i="29"/>
  <c r="J26" i="29"/>
  <c r="J20" i="29"/>
  <c r="L10" i="29"/>
  <c r="K10" i="29"/>
  <c r="N9" i="29"/>
  <c r="I9" i="29"/>
  <c r="M9" i="29" s="1"/>
  <c r="G9" i="29"/>
  <c r="C9" i="29"/>
  <c r="F9" i="29" s="1"/>
  <c r="J9" i="29" s="1"/>
  <c r="P9" i="29" s="1"/>
  <c r="N8" i="29"/>
  <c r="C8" i="29"/>
  <c r="F8" i="29" s="1"/>
  <c r="N7" i="29"/>
  <c r="C7" i="29"/>
  <c r="N6" i="29"/>
  <c r="C6" i="29"/>
  <c r="F6" i="29" s="1"/>
  <c r="N3" i="29"/>
  <c r="G51" i="27"/>
  <c r="E50" i="27"/>
  <c r="I9" i="27" s="1"/>
  <c r="M9" i="27" s="1"/>
  <c r="E49" i="27"/>
  <c r="E48" i="27"/>
  <c r="I8" i="27" s="1"/>
  <c r="M8" i="27" s="1"/>
  <c r="E47" i="27"/>
  <c r="I7" i="27" s="1"/>
  <c r="M7" i="27" s="1"/>
  <c r="O7" i="27" s="1"/>
  <c r="E46" i="27"/>
  <c r="I6" i="27" s="1"/>
  <c r="M42" i="27"/>
  <c r="F42" i="27"/>
  <c r="O15" i="27" s="1"/>
  <c r="E42" i="27"/>
  <c r="O14" i="27" s="1"/>
  <c r="J41" i="27"/>
  <c r="O40" i="27"/>
  <c r="O42" i="27" s="1"/>
  <c r="J36" i="27"/>
  <c r="G36" i="27"/>
  <c r="E35" i="27"/>
  <c r="E34" i="27"/>
  <c r="E33" i="27"/>
  <c r="E32" i="27"/>
  <c r="J31" i="27"/>
  <c r="E31" i="27"/>
  <c r="E30" i="27"/>
  <c r="E29" i="27"/>
  <c r="G28" i="27"/>
  <c r="E28" i="27"/>
  <c r="J26" i="27"/>
  <c r="J20" i="27"/>
  <c r="L10" i="27"/>
  <c r="K10" i="27"/>
  <c r="N9" i="27"/>
  <c r="C9" i="27"/>
  <c r="F9" i="27" s="1"/>
  <c r="N8" i="27"/>
  <c r="C8" i="27"/>
  <c r="F8" i="27" s="1"/>
  <c r="N7" i="27"/>
  <c r="C7" i="27"/>
  <c r="F7" i="27" s="1"/>
  <c r="N6" i="27"/>
  <c r="C6" i="27"/>
  <c r="F6" i="27" s="1"/>
  <c r="N3" i="27"/>
  <c r="G51" i="26"/>
  <c r="E50" i="26"/>
  <c r="E49" i="26"/>
  <c r="E48" i="26"/>
  <c r="G8" i="26" s="1"/>
  <c r="E47" i="26"/>
  <c r="I7" i="26" s="1"/>
  <c r="M7" i="26" s="1"/>
  <c r="E46" i="26"/>
  <c r="M42" i="26"/>
  <c r="F42" i="26"/>
  <c r="O15" i="26" s="1"/>
  <c r="E42" i="26"/>
  <c r="O14" i="26" s="1"/>
  <c r="J41" i="26"/>
  <c r="O40" i="26"/>
  <c r="O42" i="26" s="1"/>
  <c r="J36" i="26"/>
  <c r="G36" i="26"/>
  <c r="E35" i="26"/>
  <c r="E34" i="26"/>
  <c r="E33" i="26"/>
  <c r="E32" i="26"/>
  <c r="J31" i="26"/>
  <c r="E31" i="26"/>
  <c r="E30" i="26"/>
  <c r="E29" i="26"/>
  <c r="G28" i="26"/>
  <c r="E28" i="26"/>
  <c r="J26" i="26"/>
  <c r="J20" i="26"/>
  <c r="L10" i="26"/>
  <c r="K10" i="26"/>
  <c r="N9" i="26"/>
  <c r="C9" i="26"/>
  <c r="F9" i="26" s="1"/>
  <c r="N8" i="26"/>
  <c r="C8" i="26"/>
  <c r="F8" i="26" s="1"/>
  <c r="N7" i="26"/>
  <c r="C7" i="26"/>
  <c r="F7" i="26" s="1"/>
  <c r="N6" i="26"/>
  <c r="C6" i="26"/>
  <c r="F6" i="26" s="1"/>
  <c r="N3" i="26"/>
  <c r="G51" i="25"/>
  <c r="E50" i="25"/>
  <c r="I9" i="25" s="1"/>
  <c r="M9" i="25" s="1"/>
  <c r="E49" i="25"/>
  <c r="E48" i="25"/>
  <c r="G8" i="25" s="1"/>
  <c r="E47" i="25"/>
  <c r="E46" i="25"/>
  <c r="E51" i="25" s="1"/>
  <c r="M42" i="25"/>
  <c r="F42" i="25"/>
  <c r="O15" i="25" s="1"/>
  <c r="E42" i="25"/>
  <c r="J41" i="25"/>
  <c r="O40" i="25"/>
  <c r="O42" i="25" s="1"/>
  <c r="J36" i="25"/>
  <c r="G36" i="25"/>
  <c r="E35" i="25"/>
  <c r="E34" i="25"/>
  <c r="E33" i="25"/>
  <c r="E32" i="25"/>
  <c r="J31" i="25"/>
  <c r="E31" i="25"/>
  <c r="E30" i="25"/>
  <c r="E29" i="25"/>
  <c r="G28" i="25"/>
  <c r="E28" i="25"/>
  <c r="J26" i="25"/>
  <c r="J20" i="25"/>
  <c r="L10" i="25"/>
  <c r="K10" i="25"/>
  <c r="N9" i="25"/>
  <c r="C9" i="25"/>
  <c r="F9" i="25" s="1"/>
  <c r="J9" i="25" s="1"/>
  <c r="P9" i="25" s="1"/>
  <c r="N8" i="25"/>
  <c r="C8" i="25"/>
  <c r="F8" i="25" s="1"/>
  <c r="N7" i="25"/>
  <c r="C7" i="25"/>
  <c r="F7" i="25" s="1"/>
  <c r="N6" i="25"/>
  <c r="C6" i="25"/>
  <c r="F6" i="25" s="1"/>
  <c r="N3" i="25"/>
  <c r="G51" i="24"/>
  <c r="E50" i="24"/>
  <c r="E49" i="24"/>
  <c r="E48" i="24"/>
  <c r="G8" i="24" s="1"/>
  <c r="E47" i="24"/>
  <c r="I7" i="24" s="1"/>
  <c r="M7" i="24" s="1"/>
  <c r="E46" i="24"/>
  <c r="M42" i="24"/>
  <c r="F42" i="24"/>
  <c r="E42" i="24"/>
  <c r="G42" i="24" s="1"/>
  <c r="J41" i="24"/>
  <c r="O40" i="24"/>
  <c r="O42" i="24" s="1"/>
  <c r="J36" i="24"/>
  <c r="G36" i="24"/>
  <c r="E35" i="24"/>
  <c r="E34" i="24"/>
  <c r="E33" i="24"/>
  <c r="E32" i="24"/>
  <c r="J31" i="24"/>
  <c r="E31" i="24"/>
  <c r="E30" i="24"/>
  <c r="E29" i="24"/>
  <c r="G28" i="24"/>
  <c r="E28" i="24"/>
  <c r="J26" i="24"/>
  <c r="J20" i="24"/>
  <c r="O15" i="24"/>
  <c r="L10" i="24"/>
  <c r="K10" i="24"/>
  <c r="N9" i="24"/>
  <c r="C9" i="24"/>
  <c r="F9" i="24" s="1"/>
  <c r="N8" i="24"/>
  <c r="C8" i="24"/>
  <c r="F8" i="24" s="1"/>
  <c r="N7" i="24"/>
  <c r="C7" i="24"/>
  <c r="F7" i="24" s="1"/>
  <c r="N6" i="24"/>
  <c r="C6" i="24"/>
  <c r="F6" i="24" s="1"/>
  <c r="N3" i="24"/>
  <c r="G51" i="23"/>
  <c r="E50" i="23"/>
  <c r="I9" i="23" s="1"/>
  <c r="M9" i="23" s="1"/>
  <c r="E49" i="23"/>
  <c r="E48" i="23"/>
  <c r="I8" i="23" s="1"/>
  <c r="M8" i="23" s="1"/>
  <c r="E47" i="23"/>
  <c r="I7" i="23" s="1"/>
  <c r="M7" i="23" s="1"/>
  <c r="E46" i="23"/>
  <c r="M42" i="23"/>
  <c r="F42" i="23"/>
  <c r="O15" i="23" s="1"/>
  <c r="E42" i="23"/>
  <c r="G42" i="23" s="1"/>
  <c r="J41" i="23"/>
  <c r="O40" i="23"/>
  <c r="O42" i="23" s="1"/>
  <c r="J36" i="23"/>
  <c r="G36" i="23"/>
  <c r="E35" i="23"/>
  <c r="E34" i="23"/>
  <c r="E33" i="23"/>
  <c r="E32" i="23"/>
  <c r="J31" i="23"/>
  <c r="E31" i="23"/>
  <c r="E30" i="23"/>
  <c r="E29" i="23"/>
  <c r="G28" i="23"/>
  <c r="E28" i="23"/>
  <c r="J26" i="23"/>
  <c r="J20" i="23"/>
  <c r="L10" i="23"/>
  <c r="K10" i="23"/>
  <c r="N9" i="23"/>
  <c r="C9" i="23"/>
  <c r="F9" i="23" s="1"/>
  <c r="N8" i="23"/>
  <c r="C8" i="23"/>
  <c r="F8" i="23" s="1"/>
  <c r="N7" i="23"/>
  <c r="C7" i="23"/>
  <c r="F7" i="23" s="1"/>
  <c r="N6" i="23"/>
  <c r="C6" i="23"/>
  <c r="F6" i="23" s="1"/>
  <c r="N3" i="23"/>
  <c r="G51" i="22"/>
  <c r="E50" i="22"/>
  <c r="I9" i="22" s="1"/>
  <c r="M9" i="22" s="1"/>
  <c r="E49" i="22"/>
  <c r="E48" i="22"/>
  <c r="I8" i="22" s="1"/>
  <c r="M8" i="22" s="1"/>
  <c r="O8" i="22" s="1"/>
  <c r="E47" i="22"/>
  <c r="I7" i="22" s="1"/>
  <c r="M7" i="22" s="1"/>
  <c r="E46" i="22"/>
  <c r="I6" i="22" s="1"/>
  <c r="M42" i="22"/>
  <c r="F42" i="22"/>
  <c r="O15" i="22" s="1"/>
  <c r="E42" i="22"/>
  <c r="O14" i="22" s="1"/>
  <c r="J41" i="22"/>
  <c r="O40" i="22"/>
  <c r="O42" i="22" s="1"/>
  <c r="J36" i="22"/>
  <c r="G36" i="22"/>
  <c r="E35" i="22"/>
  <c r="E34" i="22"/>
  <c r="E33" i="22"/>
  <c r="E32" i="22"/>
  <c r="J31" i="22"/>
  <c r="E31" i="22"/>
  <c r="E30" i="22"/>
  <c r="E29" i="22"/>
  <c r="G28" i="22"/>
  <c r="E28" i="22"/>
  <c r="J26" i="22"/>
  <c r="J20" i="22"/>
  <c r="L10" i="22"/>
  <c r="K10" i="22"/>
  <c r="N9" i="22"/>
  <c r="C9" i="22"/>
  <c r="F9" i="22" s="1"/>
  <c r="N8" i="22"/>
  <c r="C8" i="22"/>
  <c r="F8" i="22" s="1"/>
  <c r="N7" i="22"/>
  <c r="C7" i="22"/>
  <c r="F7" i="22" s="1"/>
  <c r="N6" i="22"/>
  <c r="C6" i="22"/>
  <c r="F6" i="22" s="1"/>
  <c r="N3" i="22"/>
  <c r="G51" i="21"/>
  <c r="E50" i="21"/>
  <c r="E49" i="21"/>
  <c r="E48" i="21"/>
  <c r="E47" i="21"/>
  <c r="I7" i="21" s="1"/>
  <c r="M7" i="21" s="1"/>
  <c r="E46" i="21"/>
  <c r="O42" i="21"/>
  <c r="M42" i="21"/>
  <c r="F42" i="21"/>
  <c r="O15" i="21" s="1"/>
  <c r="E42" i="21"/>
  <c r="O14" i="21" s="1"/>
  <c r="J41" i="21"/>
  <c r="O40" i="21"/>
  <c r="J36" i="21"/>
  <c r="G36" i="21"/>
  <c r="E35" i="21"/>
  <c r="E34" i="21"/>
  <c r="E33" i="21"/>
  <c r="E32" i="21"/>
  <c r="J31" i="21"/>
  <c r="E31" i="21"/>
  <c r="E30" i="21"/>
  <c r="E29" i="21"/>
  <c r="G28" i="21"/>
  <c r="E28" i="21"/>
  <c r="J26" i="21"/>
  <c r="J20" i="21"/>
  <c r="L10" i="21"/>
  <c r="K10" i="21"/>
  <c r="N9" i="21"/>
  <c r="C9" i="21"/>
  <c r="F9" i="21" s="1"/>
  <c r="N8" i="21"/>
  <c r="C8" i="21"/>
  <c r="F8" i="21" s="1"/>
  <c r="N7" i="21"/>
  <c r="C7" i="21"/>
  <c r="F7" i="21" s="1"/>
  <c r="N6" i="21"/>
  <c r="C6" i="21"/>
  <c r="F6" i="21" s="1"/>
  <c r="N3" i="21"/>
  <c r="G51" i="20"/>
  <c r="E50" i="20"/>
  <c r="I9" i="20" s="1"/>
  <c r="M9" i="20" s="1"/>
  <c r="E49" i="20"/>
  <c r="E48" i="20"/>
  <c r="I8" i="20" s="1"/>
  <c r="M8" i="20" s="1"/>
  <c r="E47" i="20"/>
  <c r="I7" i="20" s="1"/>
  <c r="M7" i="20" s="1"/>
  <c r="E46" i="20"/>
  <c r="M42" i="20"/>
  <c r="F42" i="20"/>
  <c r="O15" i="20" s="1"/>
  <c r="E42" i="20"/>
  <c r="O14" i="20" s="1"/>
  <c r="J41" i="20"/>
  <c r="O40" i="20"/>
  <c r="O42" i="20" s="1"/>
  <c r="J36" i="20"/>
  <c r="G36" i="20"/>
  <c r="E35" i="20"/>
  <c r="E34" i="20"/>
  <c r="E33" i="20"/>
  <c r="E32" i="20"/>
  <c r="J31" i="20"/>
  <c r="E31" i="20"/>
  <c r="E30" i="20"/>
  <c r="E29" i="20"/>
  <c r="G28" i="20"/>
  <c r="E28" i="20"/>
  <c r="J26" i="20"/>
  <c r="J20" i="20"/>
  <c r="L10" i="20"/>
  <c r="K10" i="20"/>
  <c r="N9" i="20"/>
  <c r="C9" i="20"/>
  <c r="F9" i="20" s="1"/>
  <c r="N8" i="20"/>
  <c r="C8" i="20"/>
  <c r="F8" i="20" s="1"/>
  <c r="N7" i="20"/>
  <c r="G7" i="20"/>
  <c r="C7" i="20"/>
  <c r="N6" i="20"/>
  <c r="C6" i="20"/>
  <c r="F6" i="20" s="1"/>
  <c r="N3" i="20"/>
  <c r="G51" i="19"/>
  <c r="E50" i="19"/>
  <c r="E49" i="19"/>
  <c r="E48" i="19"/>
  <c r="I8" i="19" s="1"/>
  <c r="M8" i="19" s="1"/>
  <c r="E47" i="19"/>
  <c r="E46" i="19"/>
  <c r="G6" i="19" s="1"/>
  <c r="M42" i="19"/>
  <c r="F42" i="19"/>
  <c r="O15" i="19" s="1"/>
  <c r="E42" i="19"/>
  <c r="O14" i="19" s="1"/>
  <c r="J41" i="19"/>
  <c r="O40" i="19"/>
  <c r="O42" i="19" s="1"/>
  <c r="J36" i="19"/>
  <c r="G36" i="19"/>
  <c r="E35" i="19"/>
  <c r="E34" i="19"/>
  <c r="E33" i="19"/>
  <c r="E32" i="19"/>
  <c r="J31" i="19"/>
  <c r="E31" i="19"/>
  <c r="E30" i="19"/>
  <c r="E29" i="19"/>
  <c r="G28" i="19"/>
  <c r="E28" i="19"/>
  <c r="J26" i="19"/>
  <c r="J20" i="19"/>
  <c r="L10" i="19"/>
  <c r="K10" i="19"/>
  <c r="N9" i="19"/>
  <c r="C9" i="19"/>
  <c r="F9" i="19" s="1"/>
  <c r="N8" i="19"/>
  <c r="C8" i="19"/>
  <c r="F8" i="19" s="1"/>
  <c r="N7" i="19"/>
  <c r="C7" i="19"/>
  <c r="N6" i="19"/>
  <c r="C6" i="19"/>
  <c r="F6" i="19" s="1"/>
  <c r="N3" i="19"/>
  <c r="G51" i="18"/>
  <c r="E50" i="18"/>
  <c r="G9" i="18" s="1"/>
  <c r="E49" i="18"/>
  <c r="E48" i="18"/>
  <c r="G8" i="18" s="1"/>
  <c r="E47" i="18"/>
  <c r="I7" i="18" s="1"/>
  <c r="M7" i="18" s="1"/>
  <c r="E46" i="18"/>
  <c r="I6" i="18" s="1"/>
  <c r="M42" i="18"/>
  <c r="F42" i="18"/>
  <c r="O15" i="18" s="1"/>
  <c r="E42" i="18"/>
  <c r="O14" i="18" s="1"/>
  <c r="J41" i="18"/>
  <c r="O40" i="18"/>
  <c r="O42" i="18" s="1"/>
  <c r="J36" i="18"/>
  <c r="G36" i="18"/>
  <c r="E35" i="18"/>
  <c r="E34" i="18"/>
  <c r="E33" i="18"/>
  <c r="E32" i="18"/>
  <c r="J31" i="18"/>
  <c r="E31" i="18"/>
  <c r="E30" i="18"/>
  <c r="E29" i="18"/>
  <c r="G28" i="18"/>
  <c r="E28" i="18"/>
  <c r="J26" i="18"/>
  <c r="J20" i="18"/>
  <c r="L10" i="18"/>
  <c r="K10" i="18"/>
  <c r="N9" i="18"/>
  <c r="C9" i="18"/>
  <c r="F9" i="18" s="1"/>
  <c r="N8" i="18"/>
  <c r="C8" i="18"/>
  <c r="F8" i="18" s="1"/>
  <c r="N7" i="18"/>
  <c r="G7" i="18"/>
  <c r="C7" i="18"/>
  <c r="F7" i="18" s="1"/>
  <c r="J7" i="18" s="1"/>
  <c r="P7" i="18" s="1"/>
  <c r="N6" i="18"/>
  <c r="C6" i="18"/>
  <c r="F6" i="18" s="1"/>
  <c r="N3" i="18"/>
  <c r="G51" i="17"/>
  <c r="E50" i="17"/>
  <c r="I9" i="17" s="1"/>
  <c r="M9" i="17" s="1"/>
  <c r="E49" i="17"/>
  <c r="E48" i="17"/>
  <c r="I8" i="17" s="1"/>
  <c r="M8" i="17" s="1"/>
  <c r="O8" i="17" s="1"/>
  <c r="E47" i="17"/>
  <c r="I7" i="17" s="1"/>
  <c r="M7" i="17" s="1"/>
  <c r="E46" i="17"/>
  <c r="M42" i="17"/>
  <c r="F42" i="17"/>
  <c r="O15" i="17" s="1"/>
  <c r="E42" i="17"/>
  <c r="J41" i="17"/>
  <c r="O40" i="17"/>
  <c r="O42" i="17" s="1"/>
  <c r="J36" i="17"/>
  <c r="G36" i="17"/>
  <c r="E35" i="17"/>
  <c r="E34" i="17"/>
  <c r="E33" i="17"/>
  <c r="E32" i="17"/>
  <c r="J31" i="17"/>
  <c r="E31" i="17"/>
  <c r="E30" i="17"/>
  <c r="E29" i="17"/>
  <c r="G28" i="17"/>
  <c r="E28" i="17"/>
  <c r="J26" i="17"/>
  <c r="J20" i="17"/>
  <c r="L10" i="17"/>
  <c r="K10" i="17"/>
  <c r="N9" i="17"/>
  <c r="C9" i="17"/>
  <c r="F9" i="17" s="1"/>
  <c r="N8" i="17"/>
  <c r="C8" i="17"/>
  <c r="N7" i="17"/>
  <c r="C7" i="17"/>
  <c r="F7" i="17" s="1"/>
  <c r="N6" i="17"/>
  <c r="C6" i="17"/>
  <c r="F6" i="17" s="1"/>
  <c r="N3" i="17"/>
  <c r="G51" i="16"/>
  <c r="E50" i="16"/>
  <c r="E49" i="16"/>
  <c r="E48" i="16"/>
  <c r="I8" i="16" s="1"/>
  <c r="M8" i="16" s="1"/>
  <c r="E47" i="16"/>
  <c r="I7" i="16" s="1"/>
  <c r="M7" i="16" s="1"/>
  <c r="E46" i="16"/>
  <c r="G6" i="16" s="1"/>
  <c r="M42" i="16"/>
  <c r="F42" i="16"/>
  <c r="O15" i="16" s="1"/>
  <c r="E42" i="16"/>
  <c r="O14" i="16" s="1"/>
  <c r="J41" i="16"/>
  <c r="O40" i="16"/>
  <c r="O42" i="16" s="1"/>
  <c r="J36" i="16"/>
  <c r="G36" i="16"/>
  <c r="E35" i="16"/>
  <c r="E34" i="16"/>
  <c r="E33" i="16"/>
  <c r="E32" i="16"/>
  <c r="J31" i="16"/>
  <c r="E31" i="16"/>
  <c r="E30" i="16"/>
  <c r="E29" i="16"/>
  <c r="G28" i="16"/>
  <c r="E28" i="16"/>
  <c r="J26" i="16"/>
  <c r="J20" i="16"/>
  <c r="L10" i="16"/>
  <c r="K10" i="16"/>
  <c r="N9" i="16"/>
  <c r="C9" i="16"/>
  <c r="F9" i="16" s="1"/>
  <c r="N8" i="16"/>
  <c r="C8" i="16"/>
  <c r="F8" i="16" s="1"/>
  <c r="N7" i="16"/>
  <c r="C7" i="16"/>
  <c r="F7" i="16" s="1"/>
  <c r="N6" i="16"/>
  <c r="C6" i="16"/>
  <c r="F6" i="16" s="1"/>
  <c r="N3" i="16"/>
  <c r="G51" i="15"/>
  <c r="E50" i="15"/>
  <c r="G9" i="15" s="1"/>
  <c r="E49" i="15"/>
  <c r="E48" i="15"/>
  <c r="G8" i="15" s="1"/>
  <c r="E47" i="15"/>
  <c r="I7" i="15" s="1"/>
  <c r="M7" i="15" s="1"/>
  <c r="E46" i="15"/>
  <c r="M42" i="15"/>
  <c r="F42" i="15"/>
  <c r="O15" i="15" s="1"/>
  <c r="E42" i="15"/>
  <c r="O14" i="15" s="1"/>
  <c r="J41" i="15"/>
  <c r="O40" i="15"/>
  <c r="O42" i="15" s="1"/>
  <c r="J36" i="15"/>
  <c r="G36" i="15"/>
  <c r="E35" i="15"/>
  <c r="E34" i="15"/>
  <c r="E33" i="15"/>
  <c r="E32" i="15"/>
  <c r="J31" i="15"/>
  <c r="E31" i="15"/>
  <c r="E30" i="15"/>
  <c r="E29" i="15"/>
  <c r="G28" i="15"/>
  <c r="E28" i="15"/>
  <c r="J26" i="15"/>
  <c r="J20" i="15"/>
  <c r="L10" i="15"/>
  <c r="K10" i="15"/>
  <c r="N9" i="15"/>
  <c r="C9" i="15"/>
  <c r="F9" i="15" s="1"/>
  <c r="N8" i="15"/>
  <c r="C8" i="15"/>
  <c r="F8" i="15" s="1"/>
  <c r="N7" i="15"/>
  <c r="C7" i="15"/>
  <c r="F7" i="15" s="1"/>
  <c r="N6" i="15"/>
  <c r="C6" i="15"/>
  <c r="F6" i="15" s="1"/>
  <c r="N3" i="15"/>
  <c r="G51" i="14"/>
  <c r="E50" i="14"/>
  <c r="I9" i="14" s="1"/>
  <c r="M9" i="14" s="1"/>
  <c r="E49" i="14"/>
  <c r="E48" i="14"/>
  <c r="G8" i="14" s="1"/>
  <c r="E47" i="14"/>
  <c r="I7" i="14" s="1"/>
  <c r="E46" i="14"/>
  <c r="E51" i="14" s="1"/>
  <c r="M42" i="14"/>
  <c r="F42" i="14"/>
  <c r="O15" i="14" s="1"/>
  <c r="E42" i="14"/>
  <c r="O14" i="14" s="1"/>
  <c r="J41" i="14"/>
  <c r="O40" i="14"/>
  <c r="O42" i="14" s="1"/>
  <c r="J36" i="14"/>
  <c r="G36" i="14"/>
  <c r="E35" i="14"/>
  <c r="E34" i="14"/>
  <c r="E33" i="14"/>
  <c r="E32" i="14"/>
  <c r="J31" i="14"/>
  <c r="E31" i="14"/>
  <c r="E30" i="14"/>
  <c r="E29" i="14"/>
  <c r="G28" i="14"/>
  <c r="E28" i="14"/>
  <c r="J26" i="14"/>
  <c r="J20" i="14"/>
  <c r="L10" i="14"/>
  <c r="K10" i="14"/>
  <c r="N9" i="14"/>
  <c r="G9" i="14"/>
  <c r="C9" i="14"/>
  <c r="F9" i="14" s="1"/>
  <c r="J9" i="14" s="1"/>
  <c r="P9" i="14" s="1"/>
  <c r="N8" i="14"/>
  <c r="C8" i="14"/>
  <c r="F8" i="14" s="1"/>
  <c r="N7" i="14"/>
  <c r="C7" i="14"/>
  <c r="F7" i="14" s="1"/>
  <c r="N6" i="14"/>
  <c r="C6" i="14"/>
  <c r="F6" i="14" s="1"/>
  <c r="N3" i="14"/>
  <c r="G51" i="13"/>
  <c r="E50" i="13"/>
  <c r="I9" i="13" s="1"/>
  <c r="M9" i="13" s="1"/>
  <c r="E49" i="13"/>
  <c r="E48" i="13"/>
  <c r="I8" i="13" s="1"/>
  <c r="M8" i="13" s="1"/>
  <c r="E47" i="13"/>
  <c r="I7" i="13" s="1"/>
  <c r="M7" i="13" s="1"/>
  <c r="E46" i="13"/>
  <c r="O42" i="13"/>
  <c r="M42" i="13"/>
  <c r="F42" i="13"/>
  <c r="O15" i="13" s="1"/>
  <c r="E42" i="13"/>
  <c r="O14" i="13" s="1"/>
  <c r="J41" i="13"/>
  <c r="O40" i="13"/>
  <c r="J36" i="13"/>
  <c r="G36" i="13"/>
  <c r="E35" i="13"/>
  <c r="E34" i="13"/>
  <c r="E33" i="13"/>
  <c r="E32" i="13"/>
  <c r="J31" i="13"/>
  <c r="E31" i="13"/>
  <c r="E30" i="13"/>
  <c r="E29" i="13"/>
  <c r="G28" i="13"/>
  <c r="E28" i="13"/>
  <c r="J26" i="13"/>
  <c r="J20" i="13"/>
  <c r="L10" i="13"/>
  <c r="K10" i="13"/>
  <c r="N9" i="13"/>
  <c r="C9" i="13"/>
  <c r="F9" i="13" s="1"/>
  <c r="N8" i="13"/>
  <c r="C8" i="13"/>
  <c r="F8" i="13" s="1"/>
  <c r="N7" i="13"/>
  <c r="C7" i="13"/>
  <c r="N6" i="13"/>
  <c r="C6" i="13"/>
  <c r="F6" i="13" s="1"/>
  <c r="N3" i="13"/>
  <c r="G51" i="12"/>
  <c r="E50" i="12"/>
  <c r="E49" i="12"/>
  <c r="E48" i="12"/>
  <c r="I8" i="12" s="1"/>
  <c r="M8" i="12" s="1"/>
  <c r="E47" i="12"/>
  <c r="I7" i="12" s="1"/>
  <c r="M7" i="12" s="1"/>
  <c r="E46" i="12"/>
  <c r="M42" i="12"/>
  <c r="F42" i="12"/>
  <c r="E42" i="12"/>
  <c r="O14" i="12" s="1"/>
  <c r="J41" i="12"/>
  <c r="O40" i="12"/>
  <c r="O42" i="12" s="1"/>
  <c r="J36" i="12"/>
  <c r="G36" i="12"/>
  <c r="E35" i="12"/>
  <c r="E34" i="12"/>
  <c r="E33" i="12"/>
  <c r="E32" i="12"/>
  <c r="J31" i="12"/>
  <c r="E31" i="12"/>
  <c r="E30" i="12"/>
  <c r="E29" i="12"/>
  <c r="G28" i="12"/>
  <c r="E28" i="12"/>
  <c r="J26" i="12"/>
  <c r="J20" i="12"/>
  <c r="O15" i="12"/>
  <c r="L10" i="12"/>
  <c r="K10" i="12"/>
  <c r="N9" i="12"/>
  <c r="C9" i="12"/>
  <c r="F9" i="12" s="1"/>
  <c r="N8" i="12"/>
  <c r="C8" i="12"/>
  <c r="F8" i="12" s="1"/>
  <c r="N7" i="12"/>
  <c r="C7" i="12"/>
  <c r="F7" i="12" s="1"/>
  <c r="N6" i="12"/>
  <c r="C6" i="12"/>
  <c r="F6" i="12" s="1"/>
  <c r="N3" i="12"/>
  <c r="G51" i="11"/>
  <c r="E50" i="11"/>
  <c r="I9" i="11" s="1"/>
  <c r="M9" i="11" s="1"/>
  <c r="E49" i="11"/>
  <c r="E48" i="11"/>
  <c r="G8" i="11" s="1"/>
  <c r="E47" i="11"/>
  <c r="E46" i="11"/>
  <c r="M42" i="11"/>
  <c r="F42" i="11"/>
  <c r="O15" i="11" s="1"/>
  <c r="E42" i="11"/>
  <c r="O14" i="11" s="1"/>
  <c r="J41" i="11"/>
  <c r="O40" i="11"/>
  <c r="O42" i="11" s="1"/>
  <c r="J36" i="11"/>
  <c r="G36" i="11"/>
  <c r="E35" i="11"/>
  <c r="E34" i="11"/>
  <c r="E33" i="11"/>
  <c r="E32" i="11"/>
  <c r="J31" i="11"/>
  <c r="E31" i="11"/>
  <c r="E30" i="11"/>
  <c r="E29" i="11"/>
  <c r="G28" i="11"/>
  <c r="E28" i="11"/>
  <c r="J26" i="11"/>
  <c r="J20" i="11"/>
  <c r="L10" i="11"/>
  <c r="K10" i="11"/>
  <c r="N9" i="11"/>
  <c r="G9" i="11"/>
  <c r="C9" i="11"/>
  <c r="F9" i="11" s="1"/>
  <c r="N8" i="11"/>
  <c r="C8" i="11"/>
  <c r="F8" i="11" s="1"/>
  <c r="N7" i="11"/>
  <c r="C7" i="11"/>
  <c r="F7" i="11" s="1"/>
  <c r="N6" i="11"/>
  <c r="C6" i="11"/>
  <c r="F6" i="11" s="1"/>
  <c r="N3" i="11"/>
  <c r="G51" i="10"/>
  <c r="E50" i="10"/>
  <c r="I9" i="10" s="1"/>
  <c r="M9" i="10" s="1"/>
  <c r="E49" i="10"/>
  <c r="E48" i="10"/>
  <c r="I8" i="10" s="1"/>
  <c r="M8" i="10" s="1"/>
  <c r="E47" i="10"/>
  <c r="I7" i="10" s="1"/>
  <c r="M7" i="10" s="1"/>
  <c r="O7" i="10" s="1"/>
  <c r="E46" i="10"/>
  <c r="M42" i="10"/>
  <c r="F42" i="10"/>
  <c r="O15" i="10" s="1"/>
  <c r="E42" i="10"/>
  <c r="O14" i="10" s="1"/>
  <c r="J41" i="10"/>
  <c r="O40" i="10"/>
  <c r="O42" i="10" s="1"/>
  <c r="J36" i="10"/>
  <c r="G36" i="10"/>
  <c r="E35" i="10"/>
  <c r="E34" i="10"/>
  <c r="E33" i="10"/>
  <c r="E32" i="10"/>
  <c r="J31" i="10"/>
  <c r="E31" i="10"/>
  <c r="E30" i="10"/>
  <c r="E29" i="10"/>
  <c r="G28" i="10"/>
  <c r="E28" i="10"/>
  <c r="J26" i="10"/>
  <c r="J20" i="10"/>
  <c r="L10" i="10"/>
  <c r="K10" i="10"/>
  <c r="N9" i="10"/>
  <c r="C9" i="10"/>
  <c r="F9" i="10" s="1"/>
  <c r="N8" i="10"/>
  <c r="C8" i="10"/>
  <c r="F8" i="10" s="1"/>
  <c r="N7" i="10"/>
  <c r="C7" i="10"/>
  <c r="F7" i="10" s="1"/>
  <c r="N6" i="10"/>
  <c r="C6" i="10"/>
  <c r="F6" i="10" s="1"/>
  <c r="N3" i="10"/>
  <c r="G51" i="9"/>
  <c r="E50" i="9"/>
  <c r="I9" i="9" s="1"/>
  <c r="M9" i="9" s="1"/>
  <c r="E49" i="9"/>
  <c r="E48" i="9"/>
  <c r="G8" i="9" s="1"/>
  <c r="E47" i="9"/>
  <c r="I7" i="9" s="1"/>
  <c r="M7" i="9" s="1"/>
  <c r="E46" i="9"/>
  <c r="M42" i="9"/>
  <c r="F42" i="9"/>
  <c r="O15" i="9" s="1"/>
  <c r="E42" i="9"/>
  <c r="O14" i="9" s="1"/>
  <c r="J41" i="9"/>
  <c r="O40" i="9"/>
  <c r="O42" i="9" s="1"/>
  <c r="J36" i="9"/>
  <c r="G36" i="9"/>
  <c r="E35" i="9"/>
  <c r="E34" i="9"/>
  <c r="E33" i="9"/>
  <c r="E32" i="9"/>
  <c r="J31" i="9"/>
  <c r="E31" i="9"/>
  <c r="E30" i="9"/>
  <c r="E29" i="9"/>
  <c r="G28" i="9"/>
  <c r="E28" i="9"/>
  <c r="J26" i="9"/>
  <c r="J20" i="9"/>
  <c r="L10" i="9"/>
  <c r="K10" i="9"/>
  <c r="N9" i="9"/>
  <c r="C9" i="9"/>
  <c r="F9" i="9" s="1"/>
  <c r="N8" i="9"/>
  <c r="C8" i="9"/>
  <c r="F8" i="9" s="1"/>
  <c r="N7" i="9"/>
  <c r="C7" i="9"/>
  <c r="F7" i="9" s="1"/>
  <c r="N6" i="9"/>
  <c r="C6" i="9"/>
  <c r="F6" i="9" s="1"/>
  <c r="N3" i="9"/>
  <c r="G51" i="8"/>
  <c r="E50" i="8"/>
  <c r="G9" i="8" s="1"/>
  <c r="E49" i="8"/>
  <c r="E48" i="8"/>
  <c r="G8" i="8" s="1"/>
  <c r="E47" i="8"/>
  <c r="G7" i="8" s="1"/>
  <c r="E46" i="8"/>
  <c r="G6" i="8" s="1"/>
  <c r="M42" i="8"/>
  <c r="F42" i="8"/>
  <c r="O15" i="8" s="1"/>
  <c r="E42" i="8"/>
  <c r="O14" i="8" s="1"/>
  <c r="J41" i="8"/>
  <c r="O40" i="8"/>
  <c r="O42" i="8" s="1"/>
  <c r="J36" i="8"/>
  <c r="G36" i="8"/>
  <c r="E35" i="8"/>
  <c r="E34" i="8"/>
  <c r="E33" i="8"/>
  <c r="E32" i="8"/>
  <c r="J31" i="8"/>
  <c r="E31" i="8"/>
  <c r="E30" i="8"/>
  <c r="E29" i="8"/>
  <c r="G28" i="8"/>
  <c r="E28" i="8"/>
  <c r="J26" i="8"/>
  <c r="J20" i="8"/>
  <c r="L10" i="8"/>
  <c r="K10" i="8"/>
  <c r="N9" i="8"/>
  <c r="C9" i="8"/>
  <c r="F9" i="8" s="1"/>
  <c r="N8" i="8"/>
  <c r="C8" i="8"/>
  <c r="F8" i="8" s="1"/>
  <c r="N7" i="8"/>
  <c r="C7" i="8"/>
  <c r="F7" i="8" s="1"/>
  <c r="N6" i="8"/>
  <c r="C6" i="8"/>
  <c r="F6" i="8" s="1"/>
  <c r="N3" i="8"/>
  <c r="G51" i="7"/>
  <c r="E50" i="7"/>
  <c r="G9" i="7" s="1"/>
  <c r="E49" i="7"/>
  <c r="E48" i="7"/>
  <c r="G8" i="7" s="1"/>
  <c r="E47" i="7"/>
  <c r="I7" i="7" s="1"/>
  <c r="M7" i="7" s="1"/>
  <c r="O7" i="7" s="1"/>
  <c r="E46" i="7"/>
  <c r="I6" i="7" s="1"/>
  <c r="M6" i="7" s="1"/>
  <c r="M42" i="7"/>
  <c r="F42" i="7"/>
  <c r="O15" i="7" s="1"/>
  <c r="E42" i="7"/>
  <c r="O14" i="7" s="1"/>
  <c r="J41" i="7"/>
  <c r="O40" i="7"/>
  <c r="O42" i="7" s="1"/>
  <c r="J36" i="7"/>
  <c r="G36" i="7"/>
  <c r="E35" i="7"/>
  <c r="E34" i="7"/>
  <c r="E33" i="7"/>
  <c r="E32" i="7"/>
  <c r="J31" i="7"/>
  <c r="E31" i="7"/>
  <c r="E30" i="7"/>
  <c r="E29" i="7"/>
  <c r="G28" i="7"/>
  <c r="E28" i="7"/>
  <c r="J26" i="7"/>
  <c r="J20" i="7"/>
  <c r="L10" i="7"/>
  <c r="K10" i="7"/>
  <c r="N9" i="7"/>
  <c r="C9" i="7"/>
  <c r="F9" i="7" s="1"/>
  <c r="N8" i="7"/>
  <c r="C8" i="7"/>
  <c r="F8" i="7" s="1"/>
  <c r="N7" i="7"/>
  <c r="G7" i="7"/>
  <c r="C7" i="7"/>
  <c r="F7" i="7" s="1"/>
  <c r="N6" i="7"/>
  <c r="C6" i="7"/>
  <c r="F6" i="7" s="1"/>
  <c r="N3" i="7"/>
  <c r="G51" i="6"/>
  <c r="E50" i="6"/>
  <c r="E49" i="6"/>
  <c r="E48" i="6"/>
  <c r="I8" i="6" s="1"/>
  <c r="M8" i="6" s="1"/>
  <c r="E47" i="6"/>
  <c r="E46" i="6"/>
  <c r="M42" i="6"/>
  <c r="F42" i="6"/>
  <c r="O15" i="6" s="1"/>
  <c r="E42" i="6"/>
  <c r="O14" i="6" s="1"/>
  <c r="J41" i="6"/>
  <c r="O40" i="6"/>
  <c r="O42" i="6" s="1"/>
  <c r="J36" i="6"/>
  <c r="G36" i="6"/>
  <c r="E35" i="6"/>
  <c r="E34" i="6"/>
  <c r="E33" i="6"/>
  <c r="E32" i="6"/>
  <c r="J31" i="6"/>
  <c r="E31" i="6"/>
  <c r="E30" i="6"/>
  <c r="E29" i="6"/>
  <c r="G28" i="6"/>
  <c r="E28" i="6"/>
  <c r="J26" i="6"/>
  <c r="J20" i="6"/>
  <c r="L10" i="6"/>
  <c r="K10" i="6"/>
  <c r="N9" i="6"/>
  <c r="I9" i="6"/>
  <c r="M9" i="6" s="1"/>
  <c r="G9" i="6"/>
  <c r="C9" i="6"/>
  <c r="F9" i="6" s="1"/>
  <c r="J9" i="6" s="1"/>
  <c r="P9" i="6" s="1"/>
  <c r="N8" i="6"/>
  <c r="C8" i="6"/>
  <c r="F8" i="6" s="1"/>
  <c r="N7" i="6"/>
  <c r="C7" i="6"/>
  <c r="N6" i="6"/>
  <c r="C6" i="6"/>
  <c r="F6" i="6" s="1"/>
  <c r="N3" i="6"/>
  <c r="G51" i="5"/>
  <c r="E50" i="5"/>
  <c r="E49" i="5"/>
  <c r="E48" i="5"/>
  <c r="G8" i="5" s="1"/>
  <c r="E47" i="5"/>
  <c r="E46" i="5"/>
  <c r="G6" i="5" s="1"/>
  <c r="M42" i="5"/>
  <c r="F42" i="5"/>
  <c r="O15" i="5" s="1"/>
  <c r="E42" i="5"/>
  <c r="J41" i="5"/>
  <c r="O40" i="5"/>
  <c r="O42" i="5" s="1"/>
  <c r="J36" i="5"/>
  <c r="G36" i="5"/>
  <c r="E35" i="5"/>
  <c r="E34" i="5"/>
  <c r="E33" i="5"/>
  <c r="E32" i="5"/>
  <c r="J31" i="5"/>
  <c r="E31" i="5"/>
  <c r="E30" i="5"/>
  <c r="E29" i="5"/>
  <c r="G28" i="5"/>
  <c r="E28" i="5"/>
  <c r="J26" i="5"/>
  <c r="J20" i="5"/>
  <c r="L10" i="5"/>
  <c r="K10" i="5"/>
  <c r="N9" i="5"/>
  <c r="I9" i="5"/>
  <c r="M9" i="5" s="1"/>
  <c r="O9" i="5" s="1"/>
  <c r="G9" i="5"/>
  <c r="C9" i="5"/>
  <c r="F9" i="5" s="1"/>
  <c r="N8" i="5"/>
  <c r="C8" i="5"/>
  <c r="F8" i="5" s="1"/>
  <c r="N7" i="5"/>
  <c r="C7" i="5"/>
  <c r="F7" i="5" s="1"/>
  <c r="N6" i="5"/>
  <c r="C6" i="5"/>
  <c r="N3" i="5"/>
  <c r="G51" i="4"/>
  <c r="E50" i="4"/>
  <c r="I9" i="4" s="1"/>
  <c r="E49" i="4"/>
  <c r="E48" i="4"/>
  <c r="I8" i="4" s="1"/>
  <c r="M8" i="4" s="1"/>
  <c r="E47" i="4"/>
  <c r="E46" i="4"/>
  <c r="G6" i="4" s="1"/>
  <c r="M42" i="4"/>
  <c r="F42" i="4"/>
  <c r="O15" i="4" s="1"/>
  <c r="E42" i="4"/>
  <c r="O14" i="4" s="1"/>
  <c r="J41" i="4"/>
  <c r="O40" i="4"/>
  <c r="O42" i="4" s="1"/>
  <c r="J36" i="4"/>
  <c r="G36" i="4"/>
  <c r="E35" i="4"/>
  <c r="E34" i="4"/>
  <c r="E33" i="4"/>
  <c r="E32" i="4"/>
  <c r="J31" i="4"/>
  <c r="E31" i="4"/>
  <c r="E30" i="4"/>
  <c r="E29" i="4"/>
  <c r="E36" i="4" s="1"/>
  <c r="G28" i="4"/>
  <c r="E28" i="4"/>
  <c r="J26" i="4"/>
  <c r="J20" i="4"/>
  <c r="L10" i="4"/>
  <c r="K10" i="4"/>
  <c r="N9" i="4"/>
  <c r="C9" i="4"/>
  <c r="F9" i="4" s="1"/>
  <c r="N8" i="4"/>
  <c r="C8" i="4"/>
  <c r="F8" i="4" s="1"/>
  <c r="N7" i="4"/>
  <c r="C7" i="4"/>
  <c r="N6" i="4"/>
  <c r="C6" i="4"/>
  <c r="F6" i="4" s="1"/>
  <c r="N3" i="4"/>
  <c r="G51" i="3"/>
  <c r="E50" i="3"/>
  <c r="E49" i="3"/>
  <c r="E48" i="3"/>
  <c r="G8" i="3" s="1"/>
  <c r="E47" i="3"/>
  <c r="I7" i="3" s="1"/>
  <c r="M7" i="3" s="1"/>
  <c r="E46" i="3"/>
  <c r="M42" i="3"/>
  <c r="F42" i="3"/>
  <c r="O15" i="3" s="1"/>
  <c r="E42" i="3"/>
  <c r="O14" i="3" s="1"/>
  <c r="J41" i="3"/>
  <c r="O40" i="3"/>
  <c r="O42" i="3" s="1"/>
  <c r="J36" i="3"/>
  <c r="G36" i="3"/>
  <c r="E35" i="3"/>
  <c r="E34" i="3"/>
  <c r="E33" i="3"/>
  <c r="E32" i="3"/>
  <c r="J31" i="3"/>
  <c r="E31" i="3"/>
  <c r="E30" i="3"/>
  <c r="E29" i="3"/>
  <c r="G28" i="3"/>
  <c r="E28" i="3"/>
  <c r="J26" i="3"/>
  <c r="J20" i="3"/>
  <c r="L10" i="3"/>
  <c r="K10" i="3"/>
  <c r="N9" i="3"/>
  <c r="C9" i="3"/>
  <c r="F9" i="3" s="1"/>
  <c r="N8" i="3"/>
  <c r="C8" i="3"/>
  <c r="F8" i="3" s="1"/>
  <c r="N7" i="3"/>
  <c r="C7" i="3"/>
  <c r="F7" i="3" s="1"/>
  <c r="N6" i="3"/>
  <c r="C6" i="3"/>
  <c r="F6" i="3" s="1"/>
  <c r="N3" i="3"/>
  <c r="G51" i="2"/>
  <c r="E50" i="2"/>
  <c r="I9" i="2" s="1"/>
  <c r="M9" i="2" s="1"/>
  <c r="E49" i="2"/>
  <c r="E48" i="2"/>
  <c r="I8" i="2" s="1"/>
  <c r="M8" i="2" s="1"/>
  <c r="E47" i="2"/>
  <c r="I7" i="2" s="1"/>
  <c r="M7" i="2" s="1"/>
  <c r="O7" i="2" s="1"/>
  <c r="E46" i="2"/>
  <c r="M42" i="2"/>
  <c r="F42" i="2"/>
  <c r="E42" i="2"/>
  <c r="O14" i="2" s="1"/>
  <c r="J41" i="2"/>
  <c r="O40" i="2"/>
  <c r="O42" i="2" s="1"/>
  <c r="J36" i="2"/>
  <c r="G36" i="2"/>
  <c r="E35" i="2"/>
  <c r="E34" i="2"/>
  <c r="E33" i="2"/>
  <c r="E32" i="2"/>
  <c r="J31" i="2"/>
  <c r="E31" i="2"/>
  <c r="E30" i="2"/>
  <c r="E29" i="2"/>
  <c r="G28" i="2"/>
  <c r="E28" i="2"/>
  <c r="J26" i="2"/>
  <c r="J20" i="2"/>
  <c r="L10" i="2"/>
  <c r="K10" i="2"/>
  <c r="N9" i="2"/>
  <c r="C9" i="2"/>
  <c r="F9" i="2" s="1"/>
  <c r="N8" i="2"/>
  <c r="C8" i="2"/>
  <c r="F8" i="2" s="1"/>
  <c r="N7" i="2"/>
  <c r="C7" i="2"/>
  <c r="N6" i="2"/>
  <c r="C6" i="2"/>
  <c r="F6" i="2" s="1"/>
  <c r="N3" i="2"/>
  <c r="G51" i="1"/>
  <c r="E50" i="1"/>
  <c r="I9" i="1" s="1"/>
  <c r="M9" i="1" s="1"/>
  <c r="E49" i="1"/>
  <c r="E48" i="1"/>
  <c r="I8" i="1" s="1"/>
  <c r="M8" i="1" s="1"/>
  <c r="E47" i="1"/>
  <c r="E46" i="1"/>
  <c r="G6" i="1" s="1"/>
  <c r="O42" i="1"/>
  <c r="M42" i="1"/>
  <c r="F42" i="1"/>
  <c r="E42" i="1"/>
  <c r="O14" i="1" s="1"/>
  <c r="J41" i="1"/>
  <c r="O40" i="1"/>
  <c r="J36" i="1"/>
  <c r="G36" i="1"/>
  <c r="E35" i="1"/>
  <c r="E34" i="1"/>
  <c r="E33" i="1"/>
  <c r="E32" i="1"/>
  <c r="J31" i="1"/>
  <c r="E31" i="1"/>
  <c r="E30" i="1"/>
  <c r="E29" i="1"/>
  <c r="G28" i="1"/>
  <c r="E28" i="1"/>
  <c r="J26" i="1"/>
  <c r="J20" i="1"/>
  <c r="L10" i="1"/>
  <c r="K10" i="1"/>
  <c r="N9" i="1"/>
  <c r="G9" i="1"/>
  <c r="C9" i="1"/>
  <c r="F9" i="1" s="1"/>
  <c r="J9" i="1" s="1"/>
  <c r="P9" i="1" s="1"/>
  <c r="N8" i="1"/>
  <c r="C8" i="1"/>
  <c r="F8" i="1" s="1"/>
  <c r="N7" i="1"/>
  <c r="C7" i="1"/>
  <c r="F7" i="1" s="1"/>
  <c r="N6" i="1"/>
  <c r="C6" i="1"/>
  <c r="F6" i="1" s="1"/>
  <c r="N3" i="1"/>
  <c r="J8" i="31" l="1"/>
  <c r="P8" i="31" s="1"/>
  <c r="E36" i="31"/>
  <c r="G9" i="30"/>
  <c r="O8" i="30"/>
  <c r="G8" i="30"/>
  <c r="O9" i="29"/>
  <c r="O8" i="29"/>
  <c r="G7" i="29"/>
  <c r="O9" i="27"/>
  <c r="G9" i="27"/>
  <c r="I8" i="26"/>
  <c r="M8" i="26" s="1"/>
  <c r="O8" i="26" s="1"/>
  <c r="G7" i="24"/>
  <c r="J9" i="23"/>
  <c r="P9" i="23" s="1"/>
  <c r="O8" i="23"/>
  <c r="J8" i="22"/>
  <c r="P8" i="22" s="1"/>
  <c r="G8" i="22"/>
  <c r="J9" i="22"/>
  <c r="P9" i="22" s="1"/>
  <c r="O9" i="22"/>
  <c r="J6" i="22"/>
  <c r="P6" i="22" s="1"/>
  <c r="G7" i="22"/>
  <c r="O9" i="20"/>
  <c r="O8" i="19"/>
  <c r="I9" i="18"/>
  <c r="M9" i="18" s="1"/>
  <c r="O7" i="18"/>
  <c r="G8" i="17"/>
  <c r="J9" i="17"/>
  <c r="P9" i="17" s="1"/>
  <c r="G9" i="17"/>
  <c r="E51" i="17"/>
  <c r="O7" i="17"/>
  <c r="O8" i="16"/>
  <c r="G8" i="16"/>
  <c r="I8" i="15"/>
  <c r="M8" i="15" s="1"/>
  <c r="O8" i="15" s="1"/>
  <c r="E51" i="15"/>
  <c r="I9" i="15"/>
  <c r="M9" i="15" s="1"/>
  <c r="O9" i="15" s="1"/>
  <c r="E36" i="15"/>
  <c r="O7" i="15"/>
  <c r="O9" i="13"/>
  <c r="G7" i="13"/>
  <c r="O7" i="12"/>
  <c r="O8" i="12"/>
  <c r="J9" i="11"/>
  <c r="P9" i="11" s="1"/>
  <c r="I8" i="9"/>
  <c r="M8" i="9" s="1"/>
  <c r="O8" i="9" s="1"/>
  <c r="J9" i="9"/>
  <c r="P9" i="9" s="1"/>
  <c r="G9" i="9"/>
  <c r="O7" i="9"/>
  <c r="J7" i="7"/>
  <c r="P7" i="7" s="1"/>
  <c r="E36" i="7"/>
  <c r="I8" i="5"/>
  <c r="M8" i="5" s="1"/>
  <c r="O8" i="5" s="1"/>
  <c r="J9" i="5"/>
  <c r="P9" i="5" s="1"/>
  <c r="I6" i="4"/>
  <c r="M6" i="4" s="1"/>
  <c r="O7" i="3"/>
  <c r="C10" i="2"/>
  <c r="F7" i="2"/>
  <c r="J7" i="2" s="1"/>
  <c r="P7" i="2" s="1"/>
  <c r="G7" i="2"/>
  <c r="E36" i="2"/>
  <c r="O9" i="2"/>
  <c r="G8" i="2"/>
  <c r="E36" i="1"/>
  <c r="I9" i="16"/>
  <c r="M9" i="16" s="1"/>
  <c r="O9" i="16" s="1"/>
  <c r="G9" i="16"/>
  <c r="I9" i="21"/>
  <c r="M9" i="21" s="1"/>
  <c r="G9" i="21"/>
  <c r="I9" i="24"/>
  <c r="M9" i="24" s="1"/>
  <c r="O9" i="24" s="1"/>
  <c r="G9" i="24"/>
  <c r="O14" i="31"/>
  <c r="H39" i="31"/>
  <c r="I7" i="25"/>
  <c r="M7" i="25" s="1"/>
  <c r="O7" i="25" s="1"/>
  <c r="G7" i="25"/>
  <c r="I9" i="3"/>
  <c r="M9" i="3" s="1"/>
  <c r="O9" i="3" s="1"/>
  <c r="G9" i="3"/>
  <c r="I7" i="4"/>
  <c r="M7" i="4" s="1"/>
  <c r="O7" i="4" s="1"/>
  <c r="G7" i="4"/>
  <c r="O9" i="6"/>
  <c r="E36" i="6"/>
  <c r="E51" i="6"/>
  <c r="I6" i="14"/>
  <c r="M6" i="14" s="1"/>
  <c r="O6" i="14" s="1"/>
  <c r="I7" i="19"/>
  <c r="M7" i="19" s="1"/>
  <c r="G7" i="19"/>
  <c r="I8" i="21"/>
  <c r="M8" i="21" s="1"/>
  <c r="O8" i="21" s="1"/>
  <c r="G8" i="21"/>
  <c r="G6" i="14"/>
  <c r="I7" i="6"/>
  <c r="M7" i="6" s="1"/>
  <c r="O7" i="6" s="1"/>
  <c r="G7" i="6"/>
  <c r="J7" i="12"/>
  <c r="P7" i="12" s="1"/>
  <c r="I9" i="12"/>
  <c r="M9" i="12" s="1"/>
  <c r="O9" i="12" s="1"/>
  <c r="G9" i="12"/>
  <c r="E36" i="17"/>
  <c r="J7" i="3"/>
  <c r="P7" i="3" s="1"/>
  <c r="G7" i="12"/>
  <c r="G6" i="22"/>
  <c r="E51" i="23"/>
  <c r="I6" i="23"/>
  <c r="M6" i="23" s="1"/>
  <c r="G6" i="23"/>
  <c r="C10" i="29"/>
  <c r="E51" i="29"/>
  <c r="G6" i="29"/>
  <c r="J9" i="2"/>
  <c r="P9" i="2" s="1"/>
  <c r="E36" i="5"/>
  <c r="C10" i="6"/>
  <c r="E36" i="9"/>
  <c r="E51" i="11"/>
  <c r="E36" i="16"/>
  <c r="E36" i="18"/>
  <c r="I9" i="19"/>
  <c r="M9" i="19" s="1"/>
  <c r="O9" i="19" s="1"/>
  <c r="G9" i="19"/>
  <c r="O7" i="23"/>
  <c r="I9" i="26"/>
  <c r="M9" i="26" s="1"/>
  <c r="O9" i="26" s="1"/>
  <c r="G9" i="26"/>
  <c r="J9" i="27"/>
  <c r="P9" i="27" s="1"/>
  <c r="F7" i="29"/>
  <c r="J7" i="29" s="1"/>
  <c r="P7" i="29" s="1"/>
  <c r="J7" i="5"/>
  <c r="P7" i="5" s="1"/>
  <c r="G9" i="2"/>
  <c r="I8" i="8"/>
  <c r="M8" i="8" s="1"/>
  <c r="O8" i="8" s="1"/>
  <c r="I7" i="11"/>
  <c r="M7" i="11" s="1"/>
  <c r="O7" i="11" s="1"/>
  <c r="G7" i="11"/>
  <c r="E51" i="2"/>
  <c r="I8" i="3"/>
  <c r="M8" i="3" s="1"/>
  <c r="O8" i="3" s="1"/>
  <c r="J7" i="9"/>
  <c r="P7" i="9" s="1"/>
  <c r="E36" i="14"/>
  <c r="J8" i="19"/>
  <c r="P8" i="19" s="1"/>
  <c r="O8" i="20"/>
  <c r="E36" i="27"/>
  <c r="F6" i="5"/>
  <c r="F10" i="5" s="1"/>
  <c r="C10" i="5"/>
  <c r="G7" i="9"/>
  <c r="E51" i="18"/>
  <c r="G6" i="18"/>
  <c r="G8" i="19"/>
  <c r="I7" i="1"/>
  <c r="M7" i="1" s="1"/>
  <c r="O7" i="1" s="1"/>
  <c r="G7" i="1"/>
  <c r="O8" i="2"/>
  <c r="I7" i="5"/>
  <c r="M7" i="5" s="1"/>
  <c r="O7" i="5" s="1"/>
  <c r="G7" i="5"/>
  <c r="E36" i="8"/>
  <c r="O9" i="9"/>
  <c r="E51" i="9"/>
  <c r="I6" i="9"/>
  <c r="I10" i="9" s="1"/>
  <c r="G6" i="9"/>
  <c r="G10" i="9" s="1"/>
  <c r="O7" i="16"/>
  <c r="O9" i="18"/>
  <c r="O7" i="24"/>
  <c r="E36" i="10"/>
  <c r="E36" i="11"/>
  <c r="J9" i="20"/>
  <c r="P9" i="20" s="1"/>
  <c r="O9" i="23"/>
  <c r="O7" i="29"/>
  <c r="O8" i="1"/>
  <c r="J8" i="2"/>
  <c r="P8" i="2" s="1"/>
  <c r="O8" i="6"/>
  <c r="E36" i="13"/>
  <c r="O9" i="14"/>
  <c r="J7" i="16"/>
  <c r="P7" i="16" s="1"/>
  <c r="J9" i="16"/>
  <c r="P9" i="16" s="1"/>
  <c r="J7" i="17"/>
  <c r="P7" i="17" s="1"/>
  <c r="G9" i="20"/>
  <c r="E36" i="22"/>
  <c r="O8" i="27"/>
  <c r="E51" i="31"/>
  <c r="G9" i="4"/>
  <c r="O7" i="13"/>
  <c r="J9" i="15"/>
  <c r="P9" i="15" s="1"/>
  <c r="G7" i="16"/>
  <c r="E36" i="20"/>
  <c r="E51" i="20"/>
  <c r="J9" i="24"/>
  <c r="P9" i="24" s="1"/>
  <c r="O9" i="25"/>
  <c r="J7" i="27"/>
  <c r="P7" i="27" s="1"/>
  <c r="G8" i="29"/>
  <c r="O9" i="30"/>
  <c r="O7" i="31"/>
  <c r="O9" i="1"/>
  <c r="J9" i="10"/>
  <c r="P9" i="10" s="1"/>
  <c r="E51" i="10"/>
  <c r="O8" i="13"/>
  <c r="O9" i="17"/>
  <c r="E36" i="19"/>
  <c r="O7" i="20"/>
  <c r="J9" i="26"/>
  <c r="P9" i="26" s="1"/>
  <c r="J9" i="3"/>
  <c r="P9" i="3" s="1"/>
  <c r="O8" i="4"/>
  <c r="O8" i="10"/>
  <c r="J8" i="16"/>
  <c r="P8" i="16" s="1"/>
  <c r="C10" i="19"/>
  <c r="O7" i="22"/>
  <c r="J8" i="23"/>
  <c r="P8" i="23" s="1"/>
  <c r="E36" i="23"/>
  <c r="J7" i="24"/>
  <c r="P7" i="24" s="1"/>
  <c r="E51" i="24"/>
  <c r="E36" i="26"/>
  <c r="E51" i="26"/>
  <c r="O9" i="31"/>
  <c r="J9" i="21"/>
  <c r="P9" i="21" s="1"/>
  <c r="O7" i="26"/>
  <c r="E36" i="3"/>
  <c r="E51" i="3"/>
  <c r="O9" i="10"/>
  <c r="E36" i="12"/>
  <c r="E51" i="12"/>
  <c r="E51" i="21"/>
  <c r="E36" i="24"/>
  <c r="E36" i="25"/>
  <c r="J7" i="26"/>
  <c r="P7" i="26" s="1"/>
  <c r="E36" i="29"/>
  <c r="J7" i="31"/>
  <c r="P7" i="31" s="1"/>
  <c r="G7" i="31"/>
  <c r="G6" i="31"/>
  <c r="I6" i="31"/>
  <c r="I10" i="31" s="1"/>
  <c r="J9" i="31"/>
  <c r="P9" i="31" s="1"/>
  <c r="G9" i="31"/>
  <c r="F10" i="31"/>
  <c r="G42" i="31"/>
  <c r="C10" i="31"/>
  <c r="J8" i="30"/>
  <c r="P8" i="30" s="1"/>
  <c r="J7" i="30"/>
  <c r="P7" i="30" s="1"/>
  <c r="G7" i="30"/>
  <c r="G42" i="30"/>
  <c r="F10" i="30"/>
  <c r="J51" i="30"/>
  <c r="I6" i="30"/>
  <c r="E51" i="30"/>
  <c r="C10" i="30"/>
  <c r="J8" i="29"/>
  <c r="P8" i="29" s="1"/>
  <c r="G42" i="29"/>
  <c r="J51" i="29"/>
  <c r="F10" i="29"/>
  <c r="I6" i="29"/>
  <c r="J8" i="27"/>
  <c r="P8" i="27" s="1"/>
  <c r="G8" i="27"/>
  <c r="G7" i="27"/>
  <c r="G42" i="27"/>
  <c r="J51" i="27"/>
  <c r="J6" i="27"/>
  <c r="F10" i="27"/>
  <c r="M6" i="27"/>
  <c r="I10" i="27"/>
  <c r="C10" i="27"/>
  <c r="G6" i="27"/>
  <c r="E51" i="27"/>
  <c r="G7" i="26"/>
  <c r="G42" i="26"/>
  <c r="J51" i="26"/>
  <c r="F10" i="26"/>
  <c r="G6" i="26"/>
  <c r="C10" i="26"/>
  <c r="I6" i="26"/>
  <c r="G6" i="25"/>
  <c r="I6" i="25"/>
  <c r="M6" i="25" s="1"/>
  <c r="O6" i="25" s="1"/>
  <c r="G42" i="25"/>
  <c r="O14" i="25"/>
  <c r="J51" i="25"/>
  <c r="J6" i="25"/>
  <c r="F10" i="25"/>
  <c r="I8" i="25"/>
  <c r="C10" i="25"/>
  <c r="G9" i="25"/>
  <c r="I8" i="24"/>
  <c r="M8" i="24" s="1"/>
  <c r="O8" i="24" s="1"/>
  <c r="J51" i="24"/>
  <c r="O14" i="24"/>
  <c r="F10" i="24"/>
  <c r="C10" i="24"/>
  <c r="G6" i="24"/>
  <c r="I6" i="24"/>
  <c r="J7" i="23"/>
  <c r="P7" i="23" s="1"/>
  <c r="G7" i="23"/>
  <c r="O14" i="23"/>
  <c r="J51" i="23"/>
  <c r="C10" i="23"/>
  <c r="O6" i="23"/>
  <c r="G8" i="23"/>
  <c r="F10" i="23"/>
  <c r="G9" i="23"/>
  <c r="I10" i="22"/>
  <c r="J7" i="22"/>
  <c r="P7" i="22" s="1"/>
  <c r="J51" i="22"/>
  <c r="G42" i="22"/>
  <c r="G9" i="22"/>
  <c r="E51" i="22"/>
  <c r="M6" i="22"/>
  <c r="C10" i="22"/>
  <c r="F10" i="22"/>
  <c r="J7" i="21"/>
  <c r="P7" i="21" s="1"/>
  <c r="G7" i="21"/>
  <c r="G42" i="21"/>
  <c r="E36" i="21"/>
  <c r="O7" i="21"/>
  <c r="O9" i="21"/>
  <c r="J51" i="21"/>
  <c r="F10" i="21"/>
  <c r="C10" i="21"/>
  <c r="G6" i="21"/>
  <c r="I6" i="21"/>
  <c r="J6" i="21" s="1"/>
  <c r="G42" i="17"/>
  <c r="J8" i="20"/>
  <c r="P8" i="20" s="1"/>
  <c r="G8" i="20"/>
  <c r="G42" i="20"/>
  <c r="J51" i="20"/>
  <c r="C10" i="20"/>
  <c r="F7" i="20"/>
  <c r="J7" i="20" s="1"/>
  <c r="P7" i="20" s="1"/>
  <c r="G6" i="20"/>
  <c r="I6" i="20"/>
  <c r="E51" i="19"/>
  <c r="I6" i="19"/>
  <c r="M6" i="19" s="1"/>
  <c r="O6" i="19" s="1"/>
  <c r="J51" i="19"/>
  <c r="G42" i="19"/>
  <c r="F7" i="19"/>
  <c r="C10" i="18"/>
  <c r="J51" i="18"/>
  <c r="G42" i="18"/>
  <c r="I8" i="18"/>
  <c r="M8" i="18" s="1"/>
  <c r="O8" i="18" s="1"/>
  <c r="F10" i="18"/>
  <c r="J6" i="18"/>
  <c r="M6" i="18"/>
  <c r="C10" i="17"/>
  <c r="G7" i="17"/>
  <c r="O14" i="17"/>
  <c r="J51" i="17"/>
  <c r="F8" i="17"/>
  <c r="J8" i="17" s="1"/>
  <c r="P8" i="17" s="1"/>
  <c r="G6" i="17"/>
  <c r="I6" i="17"/>
  <c r="I6" i="16"/>
  <c r="E51" i="16"/>
  <c r="J51" i="16"/>
  <c r="C10" i="16"/>
  <c r="F10" i="16"/>
  <c r="G42" i="16"/>
  <c r="J7" i="15"/>
  <c r="P7" i="15" s="1"/>
  <c r="G7" i="15"/>
  <c r="G42" i="15"/>
  <c r="J51" i="15"/>
  <c r="F10" i="15"/>
  <c r="C10" i="15"/>
  <c r="G6" i="15"/>
  <c r="I6" i="15"/>
  <c r="J7" i="14"/>
  <c r="P7" i="14" s="1"/>
  <c r="G7" i="14"/>
  <c r="G10" i="14"/>
  <c r="G42" i="14"/>
  <c r="J51" i="14"/>
  <c r="M7" i="14"/>
  <c r="O7" i="14" s="1"/>
  <c r="F10" i="14"/>
  <c r="I8" i="14"/>
  <c r="M8" i="14" s="1"/>
  <c r="O8" i="14" s="1"/>
  <c r="C10" i="14"/>
  <c r="C10" i="13"/>
  <c r="J9" i="13"/>
  <c r="P9" i="13" s="1"/>
  <c r="G9" i="13"/>
  <c r="E51" i="13"/>
  <c r="J8" i="13"/>
  <c r="P8" i="13" s="1"/>
  <c r="G8" i="13"/>
  <c r="G42" i="13"/>
  <c r="J51" i="13"/>
  <c r="G6" i="13"/>
  <c r="F7" i="13"/>
  <c r="J7" i="13" s="1"/>
  <c r="P7" i="13" s="1"/>
  <c r="I6" i="13"/>
  <c r="J8" i="12"/>
  <c r="P8" i="12" s="1"/>
  <c r="G8" i="12"/>
  <c r="J51" i="12"/>
  <c r="G42" i="12"/>
  <c r="F10" i="12"/>
  <c r="C10" i="12"/>
  <c r="G6" i="12"/>
  <c r="I6" i="12"/>
  <c r="O9" i="11"/>
  <c r="I8" i="11"/>
  <c r="M8" i="11" s="1"/>
  <c r="O8" i="11" s="1"/>
  <c r="J51" i="11"/>
  <c r="G42" i="11"/>
  <c r="F10" i="11"/>
  <c r="G6" i="11"/>
  <c r="I6" i="11"/>
  <c r="C10" i="11"/>
  <c r="J8" i="10"/>
  <c r="P8" i="10" s="1"/>
  <c r="G8" i="10"/>
  <c r="J7" i="10"/>
  <c r="P7" i="10" s="1"/>
  <c r="G7" i="10"/>
  <c r="G42" i="10"/>
  <c r="J51" i="10"/>
  <c r="F10" i="10"/>
  <c r="C10" i="10"/>
  <c r="G6" i="10"/>
  <c r="G9" i="10"/>
  <c r="I6" i="10"/>
  <c r="J51" i="9"/>
  <c r="F10" i="9"/>
  <c r="G42" i="9"/>
  <c r="C10" i="9"/>
  <c r="G10" i="8"/>
  <c r="J8" i="8"/>
  <c r="P8" i="8" s="1"/>
  <c r="J51" i="8"/>
  <c r="F10" i="8"/>
  <c r="G42" i="8"/>
  <c r="C10" i="8"/>
  <c r="I7" i="8"/>
  <c r="M7" i="8" s="1"/>
  <c r="O7" i="8" s="1"/>
  <c r="I6" i="8"/>
  <c r="I9" i="8"/>
  <c r="M9" i="8" s="1"/>
  <c r="O9" i="8" s="1"/>
  <c r="E51" i="8"/>
  <c r="J51" i="7"/>
  <c r="G6" i="7"/>
  <c r="E51" i="7"/>
  <c r="G42" i="7"/>
  <c r="J6" i="7"/>
  <c r="F10" i="7"/>
  <c r="O6" i="7"/>
  <c r="I8" i="7"/>
  <c r="M8" i="7" s="1"/>
  <c r="O8" i="7" s="1"/>
  <c r="C10" i="7"/>
  <c r="I9" i="7"/>
  <c r="M9" i="7" s="1"/>
  <c r="O9" i="7" s="1"/>
  <c r="J8" i="6"/>
  <c r="P8" i="6" s="1"/>
  <c r="G8" i="6"/>
  <c r="J51" i="6"/>
  <c r="G42" i="6"/>
  <c r="G6" i="6"/>
  <c r="F7" i="6"/>
  <c r="I6" i="6"/>
  <c r="E51" i="5"/>
  <c r="I6" i="5"/>
  <c r="J51" i="5"/>
  <c r="G42" i="5"/>
  <c r="O14" i="5"/>
  <c r="C10" i="4"/>
  <c r="J8" i="4"/>
  <c r="P8" i="4" s="1"/>
  <c r="G8" i="4"/>
  <c r="E51" i="4"/>
  <c r="J51" i="4"/>
  <c r="J9" i="4"/>
  <c r="P9" i="4" s="1"/>
  <c r="J6" i="4"/>
  <c r="G42" i="4"/>
  <c r="M9" i="4"/>
  <c r="O9" i="4" s="1"/>
  <c r="F7" i="4"/>
  <c r="G7" i="3"/>
  <c r="J51" i="3"/>
  <c r="G42" i="3"/>
  <c r="F10" i="3"/>
  <c r="C10" i="3"/>
  <c r="G6" i="3"/>
  <c r="I6" i="3"/>
  <c r="G6" i="2"/>
  <c r="I6" i="2"/>
  <c r="M6" i="2" s="1"/>
  <c r="M10" i="2" s="1"/>
  <c r="N12" i="2" s="1"/>
  <c r="J51" i="2"/>
  <c r="G42" i="2"/>
  <c r="O15" i="2"/>
  <c r="G8" i="1"/>
  <c r="J8" i="1"/>
  <c r="P8" i="1" s="1"/>
  <c r="G42" i="1"/>
  <c r="J51" i="1"/>
  <c r="F10" i="1"/>
  <c r="O15" i="1"/>
  <c r="I6" i="1"/>
  <c r="E51" i="1"/>
  <c r="C10" i="1"/>
  <c r="M6" i="31" l="1"/>
  <c r="M10" i="31" s="1"/>
  <c r="N12" i="31" s="1"/>
  <c r="J6" i="31"/>
  <c r="J10" i="31" s="1"/>
  <c r="G10" i="30"/>
  <c r="G10" i="29"/>
  <c r="J8" i="26"/>
  <c r="P8" i="26" s="1"/>
  <c r="G10" i="26"/>
  <c r="G10" i="24"/>
  <c r="G10" i="22"/>
  <c r="J8" i="21"/>
  <c r="P8" i="21" s="1"/>
  <c r="G10" i="19"/>
  <c r="M10" i="19"/>
  <c r="N12" i="19" s="1"/>
  <c r="J9" i="19"/>
  <c r="P9" i="19" s="1"/>
  <c r="J6" i="19"/>
  <c r="P6" i="19" s="1"/>
  <c r="J9" i="18"/>
  <c r="P9" i="18" s="1"/>
  <c r="G10" i="16"/>
  <c r="J8" i="15"/>
  <c r="P8" i="15" s="1"/>
  <c r="G10" i="11"/>
  <c r="J8" i="9"/>
  <c r="P8" i="9" s="1"/>
  <c r="J7" i="6"/>
  <c r="P7" i="6" s="1"/>
  <c r="G10" i="6"/>
  <c r="J6" i="5"/>
  <c r="J8" i="5"/>
  <c r="P8" i="5" s="1"/>
  <c r="G10" i="5"/>
  <c r="J8" i="3"/>
  <c r="P8" i="3" s="1"/>
  <c r="F10" i="2"/>
  <c r="J7" i="1"/>
  <c r="P7" i="1" s="1"/>
  <c r="G10" i="21"/>
  <c r="I10" i="25"/>
  <c r="J7" i="19"/>
  <c r="P7" i="19" s="1"/>
  <c r="M6" i="9"/>
  <c r="M10" i="9" s="1"/>
  <c r="N12" i="9" s="1"/>
  <c r="G10" i="20"/>
  <c r="G10" i="2"/>
  <c r="G10" i="4"/>
  <c r="G10" i="18"/>
  <c r="I10" i="19"/>
  <c r="O10" i="23"/>
  <c r="O12" i="23" s="1"/>
  <c r="O26" i="23" s="1"/>
  <c r="J42" i="23" s="1"/>
  <c r="J6" i="9"/>
  <c r="J8" i="11"/>
  <c r="P8" i="11" s="1"/>
  <c r="G10" i="13"/>
  <c r="G10" i="15"/>
  <c r="J7" i="11"/>
  <c r="P7" i="11" s="1"/>
  <c r="G10" i="31"/>
  <c r="O7" i="19"/>
  <c r="O10" i="19" s="1"/>
  <c r="O12" i="19" s="1"/>
  <c r="O26" i="19" s="1"/>
  <c r="J42" i="19" s="1"/>
  <c r="G10" i="12"/>
  <c r="J6" i="14"/>
  <c r="P6" i="14" s="1"/>
  <c r="J10" i="22"/>
  <c r="J8" i="24"/>
  <c r="P8" i="24" s="1"/>
  <c r="G10" i="7"/>
  <c r="J6" i="23"/>
  <c r="P6" i="23" s="1"/>
  <c r="G10" i="1"/>
  <c r="I10" i="18"/>
  <c r="J7" i="25"/>
  <c r="P7" i="25" s="1"/>
  <c r="G10" i="27"/>
  <c r="J9" i="12"/>
  <c r="P9" i="12" s="1"/>
  <c r="I10" i="30"/>
  <c r="M6" i="30"/>
  <c r="J6" i="30"/>
  <c r="M6" i="29"/>
  <c r="I10" i="29"/>
  <c r="J6" i="29"/>
  <c r="O6" i="27"/>
  <c r="O10" i="27" s="1"/>
  <c r="O12" i="27" s="1"/>
  <c r="O26" i="27" s="1"/>
  <c r="J42" i="27" s="1"/>
  <c r="M10" i="27"/>
  <c r="N12" i="27" s="1"/>
  <c r="J10" i="27"/>
  <c r="P6" i="27"/>
  <c r="M6" i="26"/>
  <c r="I10" i="26"/>
  <c r="J6" i="26"/>
  <c r="G10" i="25"/>
  <c r="M8" i="25"/>
  <c r="J8" i="25"/>
  <c r="P8" i="25" s="1"/>
  <c r="P6" i="25"/>
  <c r="M6" i="24"/>
  <c r="I10" i="24"/>
  <c r="J6" i="24"/>
  <c r="G10" i="23"/>
  <c r="I10" i="23"/>
  <c r="M10" i="23"/>
  <c r="N12" i="23" s="1"/>
  <c r="M10" i="22"/>
  <c r="N12" i="22" s="1"/>
  <c r="O6" i="22"/>
  <c r="O10" i="22" s="1"/>
  <c r="O12" i="22" s="1"/>
  <c r="O26" i="22" s="1"/>
  <c r="J42" i="22" s="1"/>
  <c r="M6" i="21"/>
  <c r="I10" i="21"/>
  <c r="F10" i="20"/>
  <c r="M6" i="20"/>
  <c r="I10" i="20"/>
  <c r="J6" i="20"/>
  <c r="F10" i="19"/>
  <c r="J8" i="18"/>
  <c r="P8" i="18" s="1"/>
  <c r="O6" i="18"/>
  <c r="O10" i="18" s="1"/>
  <c r="O12" i="18" s="1"/>
  <c r="O26" i="18" s="1"/>
  <c r="J42" i="18" s="1"/>
  <c r="M10" i="18"/>
  <c r="N12" i="18" s="1"/>
  <c r="P6" i="18"/>
  <c r="G10" i="17"/>
  <c r="F10" i="17"/>
  <c r="M6" i="17"/>
  <c r="I10" i="17"/>
  <c r="J6" i="17"/>
  <c r="M6" i="16"/>
  <c r="I10" i="16"/>
  <c r="J6" i="16"/>
  <c r="J10" i="16" s="1"/>
  <c r="P6" i="16"/>
  <c r="M6" i="15"/>
  <c r="I10" i="15"/>
  <c r="J6" i="15"/>
  <c r="J8" i="14"/>
  <c r="P8" i="14" s="1"/>
  <c r="I10" i="14"/>
  <c r="O10" i="14"/>
  <c r="O12" i="14" s="1"/>
  <c r="O26" i="14" s="1"/>
  <c r="J42" i="14" s="1"/>
  <c r="M10" i="14"/>
  <c r="N12" i="14" s="1"/>
  <c r="M6" i="13"/>
  <c r="I10" i="13"/>
  <c r="F10" i="13"/>
  <c r="J6" i="13"/>
  <c r="M6" i="12"/>
  <c r="I10" i="12"/>
  <c r="J6" i="12"/>
  <c r="M6" i="11"/>
  <c r="I10" i="11"/>
  <c r="J6" i="11"/>
  <c r="I10" i="10"/>
  <c r="M6" i="10"/>
  <c r="G10" i="10"/>
  <c r="J6" i="10"/>
  <c r="I10" i="8"/>
  <c r="M6" i="8"/>
  <c r="J9" i="8"/>
  <c r="P9" i="8" s="1"/>
  <c r="J6" i="8"/>
  <c r="J7" i="8"/>
  <c r="P7" i="8" s="1"/>
  <c r="O10" i="7"/>
  <c r="O12" i="7" s="1"/>
  <c r="O26" i="7" s="1"/>
  <c r="J42" i="7" s="1"/>
  <c r="J9" i="7"/>
  <c r="P9" i="7" s="1"/>
  <c r="I10" i="7"/>
  <c r="M10" i="7"/>
  <c r="N12" i="7" s="1"/>
  <c r="J8" i="7"/>
  <c r="P8" i="7" s="1"/>
  <c r="P6" i="7"/>
  <c r="M6" i="6"/>
  <c r="I10" i="6"/>
  <c r="F10" i="6"/>
  <c r="J6" i="6"/>
  <c r="M6" i="5"/>
  <c r="I10" i="5"/>
  <c r="J7" i="4"/>
  <c r="P7" i="4" s="1"/>
  <c r="F10" i="4"/>
  <c r="M10" i="4"/>
  <c r="N12" i="4" s="1"/>
  <c r="O6" i="4"/>
  <c r="O10" i="4" s="1"/>
  <c r="O12" i="4" s="1"/>
  <c r="O26" i="4" s="1"/>
  <c r="J42" i="4" s="1"/>
  <c r="P6" i="4"/>
  <c r="I10" i="4"/>
  <c r="G10" i="3"/>
  <c r="M6" i="3"/>
  <c r="I10" i="3"/>
  <c r="J6" i="3"/>
  <c r="I10" i="2"/>
  <c r="O6" i="2"/>
  <c r="O10" i="2" s="1"/>
  <c r="O12" i="2" s="1"/>
  <c r="O26" i="2" s="1"/>
  <c r="J42" i="2" s="1"/>
  <c r="J6" i="2"/>
  <c r="J10" i="2" s="1"/>
  <c r="M6" i="1"/>
  <c r="I10" i="1"/>
  <c r="J6" i="1"/>
  <c r="P6" i="31" l="1"/>
  <c r="O6" i="31"/>
  <c r="O10" i="31" s="1"/>
  <c r="O12" i="31" s="1"/>
  <c r="O26" i="31" s="1"/>
  <c r="J43" i="31" s="1"/>
  <c r="O6" i="9"/>
  <c r="O10" i="9" s="1"/>
  <c r="O12" i="9" s="1"/>
  <c r="O26" i="9" s="1"/>
  <c r="J42" i="9" s="1"/>
  <c r="J10" i="9"/>
  <c r="J10" i="5"/>
  <c r="P6" i="5"/>
  <c r="P6" i="9"/>
  <c r="J10" i="19"/>
  <c r="J10" i="30"/>
  <c r="P6" i="30"/>
  <c r="M10" i="30"/>
  <c r="N12" i="30" s="1"/>
  <c r="O6" i="30"/>
  <c r="O10" i="30" s="1"/>
  <c r="O12" i="30" s="1"/>
  <c r="O26" i="30" s="1"/>
  <c r="J42" i="30" s="1"/>
  <c r="J10" i="29"/>
  <c r="P6" i="29"/>
  <c r="M10" i="29"/>
  <c r="N12" i="29" s="1"/>
  <c r="O6" i="29"/>
  <c r="O10" i="29" s="1"/>
  <c r="O12" i="29" s="1"/>
  <c r="O26" i="29" s="1"/>
  <c r="J42" i="29" s="1"/>
  <c r="J10" i="26"/>
  <c r="P6" i="26"/>
  <c r="M10" i="26"/>
  <c r="N12" i="26" s="1"/>
  <c r="O6" i="26"/>
  <c r="O10" i="26" s="1"/>
  <c r="O12" i="26" s="1"/>
  <c r="O26" i="26" s="1"/>
  <c r="J42" i="26" s="1"/>
  <c r="J10" i="25"/>
  <c r="O8" i="25"/>
  <c r="O10" i="25" s="1"/>
  <c r="O12" i="25" s="1"/>
  <c r="O26" i="25" s="1"/>
  <c r="J42" i="25" s="1"/>
  <c r="M10" i="25"/>
  <c r="N12" i="25" s="1"/>
  <c r="J10" i="24"/>
  <c r="P6" i="24"/>
  <c r="M10" i="24"/>
  <c r="N12" i="24" s="1"/>
  <c r="O6" i="24"/>
  <c r="O10" i="24" s="1"/>
  <c r="O12" i="24" s="1"/>
  <c r="O26" i="24" s="1"/>
  <c r="J42" i="24" s="1"/>
  <c r="J10" i="23"/>
  <c r="J10" i="21"/>
  <c r="P6" i="21"/>
  <c r="O6" i="21"/>
  <c r="O10" i="21" s="1"/>
  <c r="O12" i="21" s="1"/>
  <c r="O26" i="21" s="1"/>
  <c r="J42" i="21" s="1"/>
  <c r="M10" i="21"/>
  <c r="N12" i="21" s="1"/>
  <c r="J10" i="20"/>
  <c r="P6" i="20"/>
  <c r="M10" i="20"/>
  <c r="N12" i="20" s="1"/>
  <c r="O6" i="20"/>
  <c r="O10" i="20" s="1"/>
  <c r="O12" i="20" s="1"/>
  <c r="O26" i="20" s="1"/>
  <c r="J42" i="20" s="1"/>
  <c r="J10" i="18"/>
  <c r="J10" i="17"/>
  <c r="P6" i="17"/>
  <c r="M10" i="17"/>
  <c r="N12" i="17" s="1"/>
  <c r="O6" i="17"/>
  <c r="O10" i="17" s="1"/>
  <c r="O12" i="17" s="1"/>
  <c r="O26" i="17" s="1"/>
  <c r="J42" i="17" s="1"/>
  <c r="O6" i="16"/>
  <c r="O10" i="16" s="1"/>
  <c r="O12" i="16" s="1"/>
  <c r="O26" i="16" s="1"/>
  <c r="J42" i="16" s="1"/>
  <c r="M10" i="16"/>
  <c r="N12" i="16" s="1"/>
  <c r="J10" i="15"/>
  <c r="P6" i="15"/>
  <c r="O6" i="15"/>
  <c r="O10" i="15" s="1"/>
  <c r="O12" i="15" s="1"/>
  <c r="O26" i="15" s="1"/>
  <c r="J42" i="15" s="1"/>
  <c r="M10" i="15"/>
  <c r="N12" i="15" s="1"/>
  <c r="J10" i="14"/>
  <c r="J10" i="13"/>
  <c r="P6" i="13"/>
  <c r="O6" i="13"/>
  <c r="O10" i="13" s="1"/>
  <c r="O12" i="13" s="1"/>
  <c r="O26" i="13" s="1"/>
  <c r="J42" i="13" s="1"/>
  <c r="M10" i="13"/>
  <c r="N12" i="13" s="1"/>
  <c r="J10" i="12"/>
  <c r="P6" i="12"/>
  <c r="M10" i="12"/>
  <c r="N12" i="12" s="1"/>
  <c r="O6" i="12"/>
  <c r="O10" i="12" s="1"/>
  <c r="O12" i="12" s="1"/>
  <c r="O26" i="12" s="1"/>
  <c r="J42" i="12" s="1"/>
  <c r="J10" i="11"/>
  <c r="P6" i="11"/>
  <c r="M10" i="11"/>
  <c r="N12" i="11" s="1"/>
  <c r="O6" i="11"/>
  <c r="O10" i="11" s="1"/>
  <c r="O12" i="11" s="1"/>
  <c r="O26" i="11" s="1"/>
  <c r="J42" i="11" s="1"/>
  <c r="J10" i="10"/>
  <c r="P6" i="10"/>
  <c r="O6" i="10"/>
  <c r="O10" i="10" s="1"/>
  <c r="O12" i="10" s="1"/>
  <c r="O26" i="10" s="1"/>
  <c r="J42" i="10" s="1"/>
  <c r="M10" i="10"/>
  <c r="N12" i="10" s="1"/>
  <c r="J10" i="8"/>
  <c r="P6" i="8"/>
  <c r="M10" i="8"/>
  <c r="N12" i="8" s="1"/>
  <c r="O6" i="8"/>
  <c r="O10" i="8" s="1"/>
  <c r="O12" i="8" s="1"/>
  <c r="O26" i="8" s="1"/>
  <c r="J42" i="8" s="1"/>
  <c r="J10" i="7"/>
  <c r="J10" i="6"/>
  <c r="P6" i="6"/>
  <c r="M10" i="6"/>
  <c r="N12" i="6" s="1"/>
  <c r="O6" i="6"/>
  <c r="O10" i="6" s="1"/>
  <c r="O12" i="6" s="1"/>
  <c r="O26" i="6" s="1"/>
  <c r="J42" i="6" s="1"/>
  <c r="M10" i="5"/>
  <c r="N12" i="5" s="1"/>
  <c r="O6" i="5"/>
  <c r="O10" i="5" s="1"/>
  <c r="O12" i="5" s="1"/>
  <c r="O26" i="5" s="1"/>
  <c r="J42" i="5" s="1"/>
  <c r="J10" i="4"/>
  <c r="J10" i="3"/>
  <c r="P6" i="3"/>
  <c r="O6" i="3"/>
  <c r="O10" i="3" s="1"/>
  <c r="O12" i="3" s="1"/>
  <c r="O26" i="3" s="1"/>
  <c r="J42" i="3" s="1"/>
  <c r="M10" i="3"/>
  <c r="N12" i="3" s="1"/>
  <c r="P6" i="2"/>
  <c r="P6" i="1"/>
  <c r="J10" i="1"/>
  <c r="M10" i="1"/>
  <c r="N12" i="1" s="1"/>
  <c r="O6" i="1"/>
  <c r="O10" i="1" s="1"/>
  <c r="O12" i="1" s="1"/>
  <c r="O26" i="1" s="1"/>
  <c r="J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126C79FF-CB23-4D69-942B-7DB65D192655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88EBF058-1C45-4AB5-A54A-B509AE80BD96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46FF0310-6F36-44C2-985E-D09775CE79FB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5BAB7584-BA1E-448E-80B0-CC385BA2C905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7CF87436-AB1B-46CA-B0EA-0E46FCD13EE8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9830C1A6-31EB-4FE2-B625-78352B16066C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11EC1BC1-4CAD-49E3-B6DD-FB39836D945F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D13136C3-390F-4FC0-A4E9-39238BC91B3C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6A78671E-EAB4-4F41-8F2E-EB8D5A106481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0531CDC9-EAA2-425C-B3EC-FF9662B4553B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384B3D05-20FB-49CC-830F-1FD775E669B5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D8699CD9-49A5-4594-84AC-205E862A87A5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D7B1E2FD-E800-4C56-93D6-A9CAFEA7E0EB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8A7B35FF-6A12-4751-A3C2-29D64B8EDC2B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FB23C0C4-4172-4847-9060-40648181121B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62089077-42E5-4785-B297-2E1A70F34C7F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682E0DFF-398C-45A3-BB9D-5E981362D9F1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3FCBCE9A-E31B-4CE6-B84E-D245D0D05D4A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589E6DB4-70ED-4F8C-96E8-6E14B8B181F0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77095E31-D0A6-4FB8-9DCC-BCF543ACF6F6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E6C519A2-8073-4B7D-976C-C1A0B5203A31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35EBEE05-6750-4128-94C5-4FC939F5B0F3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67520D4B-E712-41FF-9D03-BD1529FD4FF2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5B05E0FF-3516-475F-9005-B0C73C86BB93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B9EF5E3E-0411-4C23-9424-9B1B28A55A70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05A5A208-C0FE-496C-81B2-8F30F7F5047F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5D24A015-A8F7-4826-863D-428EF9AEC327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D35B9925-1408-47C4-A151-D08DF1854A43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9E6A9DFD-80EF-4277-B419-49F5B8862574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0" authorId="0" shapeId="0" xr:uid="{37F86124-53EB-4DF8-9054-B03A3C891655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sharedStrings.xml><?xml version="1.0" encoding="utf-8"?>
<sst xmlns="http://schemas.openxmlformats.org/spreadsheetml/2006/main" count="4658" uniqueCount="151">
  <si>
    <t>E.E.S.S</t>
  </si>
  <si>
    <t>GASOLINAS DE AMERICA SAC</t>
  </si>
  <si>
    <t>CODIGO</t>
  </si>
  <si>
    <t>UBICACIÓN</t>
  </si>
  <si>
    <t xml:space="preserve">MANUEL UBALDE 1103 </t>
  </si>
  <si>
    <t>EL PORVENIR</t>
  </si>
  <si>
    <t>FECHA</t>
  </si>
  <si>
    <t>ELABORADO</t>
  </si>
  <si>
    <t>N°.</t>
  </si>
  <si>
    <t>TIPO COMB</t>
  </si>
  <si>
    <t>INVENT INICIAL</t>
  </si>
  <si>
    <t>INGRESO</t>
  </si>
  <si>
    <t>SALIDAS</t>
  </si>
  <si>
    <t>INVENT FINAL</t>
  </si>
  <si>
    <t>VARILLAJE</t>
  </si>
  <si>
    <t>VENTAS AL CONTADO</t>
  </si>
  <si>
    <t>COMPR.</t>
  </si>
  <si>
    <t>AJUSTE</t>
  </si>
  <si>
    <t>T.INGRESO</t>
  </si>
  <si>
    <t>T.VENTAS</t>
  </si>
  <si>
    <t>ajuste</t>
  </si>
  <si>
    <t>T.SALIDA</t>
  </si>
  <si>
    <t>INICIAL</t>
  </si>
  <si>
    <t>FINAL</t>
  </si>
  <si>
    <t>CANT GLNS</t>
  </si>
  <si>
    <t>P.VENTA</t>
  </si>
  <si>
    <t>VENTA SOLES</t>
  </si>
  <si>
    <t>GLP</t>
  </si>
  <si>
    <t>LEANDRO</t>
  </si>
  <si>
    <t>G-P</t>
  </si>
  <si>
    <t>G-R</t>
  </si>
  <si>
    <t>G-84</t>
  </si>
  <si>
    <t>DB5</t>
  </si>
  <si>
    <t>TOTAL</t>
  </si>
  <si>
    <t>CLIENTE</t>
  </si>
  <si>
    <t>TIPO VTA</t>
  </si>
  <si>
    <t>COMB</t>
  </si>
  <si>
    <t>CANT</t>
  </si>
  <si>
    <t>PRECIO</t>
  </si>
  <si>
    <t>S/.</t>
  </si>
  <si>
    <t>DOC.Nª</t>
  </si>
  <si>
    <t>DOCUMENTOS</t>
  </si>
  <si>
    <t>DESDE</t>
  </si>
  <si>
    <t>HASTA</t>
  </si>
  <si>
    <t>GLNS</t>
  </si>
  <si>
    <t>SOLES</t>
  </si>
  <si>
    <t>FACTURAS</t>
  </si>
  <si>
    <t xml:space="preserve"> </t>
  </si>
  <si>
    <t>TOTAL VENTA</t>
  </si>
  <si>
    <t>BOLETAS</t>
  </si>
  <si>
    <t>CREDITOS</t>
  </si>
  <si>
    <t xml:space="preserve">TARJETAS LIQUIDOS </t>
  </si>
  <si>
    <t>tarjetas glp</t>
  </si>
  <si>
    <t>UGEL</t>
  </si>
  <si>
    <t>calibracio glp devolucion</t>
  </si>
  <si>
    <t>Saldo actual</t>
  </si>
  <si>
    <t>serafinado devolucion a tanque liq</t>
  </si>
  <si>
    <t>Consumo</t>
  </si>
  <si>
    <t>SORTEO</t>
  </si>
  <si>
    <t xml:space="preserve">deposito </t>
  </si>
  <si>
    <t>C&amp;M VISOR</t>
  </si>
  <si>
    <t>gasto soporte tecnico obras</t>
  </si>
  <si>
    <t>INDRA CYM</t>
  </si>
  <si>
    <t>MOBILIDAD PIR PORTA VALOR</t>
  </si>
  <si>
    <t>grupo electrogeno</t>
  </si>
  <si>
    <t>Consumo GAS</t>
  </si>
  <si>
    <t>prueva de tecnico con devolución</t>
  </si>
  <si>
    <t>Consumo LIQ.</t>
  </si>
  <si>
    <t>dev prueva de DB5</t>
  </si>
  <si>
    <t xml:space="preserve">Deposito </t>
  </si>
  <si>
    <t>TOTAL A DEPOSITAR</t>
  </si>
  <si>
    <t>INFORMACION DE RECEPCION DE COMBUSTIBLES</t>
  </si>
  <si>
    <t>TOTAL CREDITO GASOLINAS</t>
  </si>
  <si>
    <t>CANTIDAD</t>
  </si>
  <si>
    <t>N°FACTURA</t>
  </si>
  <si>
    <t>PLACA</t>
  </si>
  <si>
    <t>PROVEEDOR</t>
  </si>
  <si>
    <t>CREDITO</t>
  </si>
  <si>
    <t>VALERIO</t>
  </si>
  <si>
    <t>esteBAN DC</t>
  </si>
  <si>
    <t>DB-5</t>
  </si>
  <si>
    <t>}Mm. *</t>
  </si>
  <si>
    <t>GLP KG</t>
  </si>
  <si>
    <t>ECHEVARRIA</t>
  </si>
  <si>
    <t>GLP GLN</t>
  </si>
  <si>
    <t>punto gas</t>
  </si>
  <si>
    <t>.</t>
  </si>
  <si>
    <t xml:space="preserve">Deposito  </t>
  </si>
  <si>
    <t>ESTEBAN DC</t>
  </si>
  <si>
    <t>TOTAL CREDITO D2</t>
  </si>
  <si>
    <t>V CONDORI</t>
  </si>
  <si>
    <t>SCOTIABANK</t>
  </si>
  <si>
    <t>J VILCHERREZ</t>
  </si>
  <si>
    <t>710-8985982</t>
  </si>
  <si>
    <t>TARJETAS</t>
  </si>
  <si>
    <t>LIQUIDOS</t>
  </si>
  <si>
    <t>710-8985966</t>
  </si>
  <si>
    <t>TARJETAS NIUBIZ</t>
  </si>
  <si>
    <t>DEPOSITO GLP</t>
  </si>
  <si>
    <t>Consumo  DB5</t>
  </si>
  <si>
    <t>TARJETAS IZIPAY</t>
  </si>
  <si>
    <t xml:space="preserve">DEPOSITO </t>
  </si>
  <si>
    <t>DEPOSITO</t>
  </si>
  <si>
    <t>DEPO LIQ</t>
  </si>
  <si>
    <t>TOTAL PADEL</t>
  </si>
  <si>
    <t>PRODUCTO</t>
  </si>
  <si>
    <t>GALONES</t>
  </si>
  <si>
    <t>G-95</t>
  </si>
  <si>
    <t>G-90</t>
  </si>
  <si>
    <t>ABRIL</t>
  </si>
  <si>
    <t>010-12202</t>
  </si>
  <si>
    <t>010-12214</t>
  </si>
  <si>
    <t xml:space="preserve">TRANS. Y SERV. MULTIPLES </t>
  </si>
  <si>
    <t>BKD-991</t>
  </si>
  <si>
    <t>032-3969</t>
  </si>
  <si>
    <t>PUNTO GAS</t>
  </si>
  <si>
    <t>010-12229</t>
  </si>
  <si>
    <t>LUICHO</t>
  </si>
  <si>
    <t>D7A-971</t>
  </si>
  <si>
    <t>016-63500</t>
  </si>
  <si>
    <t>F7Y-991</t>
  </si>
  <si>
    <t>GASTOS SISTERNA</t>
  </si>
  <si>
    <t>010-12250</t>
  </si>
  <si>
    <t>003-5463</t>
  </si>
  <si>
    <t>010-12277</t>
  </si>
  <si>
    <t>010-12286</t>
  </si>
  <si>
    <t>003-5467</t>
  </si>
  <si>
    <t>10-12303</t>
  </si>
  <si>
    <t>032-3992</t>
  </si>
  <si>
    <t>010-12342</t>
  </si>
  <si>
    <t>010-12345</t>
  </si>
  <si>
    <t>valerio c</t>
  </si>
  <si>
    <t>10-12357</t>
  </si>
  <si>
    <t>RAMIREZ</t>
  </si>
  <si>
    <t>00-3653</t>
  </si>
  <si>
    <t>F9N-980</t>
  </si>
  <si>
    <t>10-12398</t>
  </si>
  <si>
    <t>003-5475</t>
  </si>
  <si>
    <t>VEI-970</t>
  </si>
  <si>
    <t>A4D-979</t>
  </si>
  <si>
    <t>003-8977</t>
  </si>
  <si>
    <t>003-8978</t>
  </si>
  <si>
    <t>0032-5909</t>
  </si>
  <si>
    <t xml:space="preserve">ALCALA </t>
  </si>
  <si>
    <t>BKB -976</t>
  </si>
  <si>
    <t>gasto soporte tecnico obras PRESTAMO GRIFO SOLER</t>
  </si>
  <si>
    <t>DIF</t>
  </si>
  <si>
    <t>DEPO GLP</t>
  </si>
  <si>
    <t>VALERIO C</t>
  </si>
  <si>
    <t>PREMIUM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</si>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</sst>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\ * #,##0.00_-;\-&quot;S/&quot;\ * #,##0.00_-;_-&quot;S/&quot;\ * &quot;-&quot;??_-;_-@_-"/>
    <numFmt numFmtId="165" formatCode="_-* #,##0\ _€_-;\-* #,##0\ _€_-;_-* &quot;-&quot;??\ _€_-;_-@_-"/>
    <numFmt numFmtId="166" formatCode="_-* #,##0.00\ _€_-;\-* #,##0.00\ _€_-;_-* &quot;-&quot;??\ _€_-;_-@_-"/>
    <numFmt numFmtId="167" formatCode="#,##0.000"/>
    <numFmt numFmtId="168" formatCode="#,##0.00_ ;\-#,##0.00\ "/>
    <numFmt numFmtId="169" formatCode="dd/mm/yy;@"/>
    <numFmt numFmtId="170" formatCode="[$-C0A]d\-mmm;@"/>
    <numFmt numFmtId="171" formatCode="_-&quot;S/&quot;* #,##0.00_-;\-&quot;S/&quot;* #,##0.00_-;_-&quot;S/&quot;* &quot;-&quot;??_-;_-@_-"/>
    <numFmt numFmtId="172" formatCode="_-[$S/-280A]\ * #,##0.00_-;\-[$S/-280A]\ * #,##0.00_-;_-[$S/-280A]\ * &quot;-&quot;??_-;_-@_-"/>
    <numFmt numFmtId="173" formatCode="_-* #,##0.00\ _P_t_s_-;\-* #,##0.00\ _P_t_s_-;_-* &quot;-&quot;??\ _P_t_s_-;_-@_-"/>
    <numFmt numFmtId="174" formatCode="_ * #,##0.00_ ;_ * \-#,##0.00_ ;_ * &quot;-&quot;??_ ;_ @_ "/>
    <numFmt numFmtId="175" formatCode="_-* #,##0.000_-;\-* #,##0.0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9"/>
      <color theme="0"/>
      <name val="Arial"/>
      <family val="2"/>
    </font>
    <font>
      <b/>
      <sz val="12"/>
      <color rgb="FF002060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i/>
      <sz val="12"/>
      <color indexed="8"/>
      <name val="Arial"/>
      <family val="2"/>
    </font>
    <font>
      <b/>
      <i/>
      <sz val="12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2">
    <xf numFmtId="0" fontId="0" fillId="0" borderId="0" xfId="0"/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16" fontId="2" fillId="2" borderId="11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vertical="center"/>
    </xf>
    <xf numFmtId="0" fontId="2" fillId="2" borderId="12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4" fontId="2" fillId="4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3" fontId="2" fillId="0" borderId="2" xfId="1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vertical="center"/>
    </xf>
    <xf numFmtId="167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center" vertical="center"/>
    </xf>
    <xf numFmtId="4" fontId="2" fillId="0" borderId="27" xfId="0" applyNumberFormat="1" applyFont="1" applyBorder="1" applyAlignment="1">
      <alignment horizontal="right" vertical="center"/>
    </xf>
    <xf numFmtId="164" fontId="2" fillId="4" borderId="10" xfId="2" applyFont="1" applyFill="1" applyBorder="1" applyAlignment="1">
      <alignment horizontal="center" vertical="center"/>
    </xf>
    <xf numFmtId="164" fontId="2" fillId="4" borderId="5" xfId="2" applyFont="1" applyFill="1" applyBorder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4" fontId="2" fillId="4" borderId="7" xfId="0" applyNumberFormat="1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3" fontId="2" fillId="0" borderId="7" xfId="1" applyFont="1" applyFill="1" applyBorder="1" applyAlignment="1">
      <alignment vertical="center" wrapText="1"/>
    </xf>
    <xf numFmtId="166" fontId="2" fillId="0" borderId="7" xfId="0" applyNumberFormat="1" applyFont="1" applyBorder="1" applyAlignment="1">
      <alignment vertical="center"/>
    </xf>
    <xf numFmtId="167" fontId="2" fillId="0" borderId="7" xfId="0" applyNumberFormat="1" applyFont="1" applyBorder="1" applyAlignment="1">
      <alignment horizontal="right" vertical="center"/>
    </xf>
    <xf numFmtId="4" fontId="2" fillId="0" borderId="7" xfId="0" applyNumberFormat="1" applyFont="1" applyBorder="1" applyAlignment="1">
      <alignment horizontal="right" vertical="center"/>
    </xf>
    <xf numFmtId="4" fontId="2" fillId="0" borderId="28" xfId="0" applyNumberFormat="1" applyFont="1" applyBorder="1" applyAlignment="1">
      <alignment horizontal="right" vertical="center"/>
    </xf>
    <xf numFmtId="164" fontId="2" fillId="0" borderId="11" xfId="2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4" fontId="2" fillId="4" borderId="30" xfId="0" applyNumberFormat="1" applyFont="1" applyFill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 wrapText="1"/>
    </xf>
    <xf numFmtId="43" fontId="2" fillId="0" borderId="30" xfId="1" applyFont="1" applyFill="1" applyBorder="1" applyAlignment="1">
      <alignment vertical="center" wrapText="1"/>
    </xf>
    <xf numFmtId="166" fontId="2" fillId="0" borderId="30" xfId="0" applyNumberFormat="1" applyFont="1" applyBorder="1" applyAlignment="1">
      <alignment vertical="center"/>
    </xf>
    <xf numFmtId="167" fontId="2" fillId="0" borderId="30" xfId="0" applyNumberFormat="1" applyFont="1" applyBorder="1" applyAlignment="1">
      <alignment horizontal="right" vertical="center"/>
    </xf>
    <xf numFmtId="4" fontId="2" fillId="4" borderId="30" xfId="0" applyNumberFormat="1" applyFont="1" applyFill="1" applyBorder="1" applyAlignment="1">
      <alignment horizontal="right" vertical="center"/>
    </xf>
    <xf numFmtId="4" fontId="2" fillId="0" borderId="31" xfId="0" applyNumberFormat="1" applyFont="1" applyBorder="1" applyAlignment="1">
      <alignment horizontal="right" vertical="center"/>
    </xf>
    <xf numFmtId="164" fontId="2" fillId="0" borderId="32" xfId="2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4" fontId="2" fillId="5" borderId="23" xfId="0" applyNumberFormat="1" applyFont="1" applyFill="1" applyBorder="1" applyAlignment="1">
      <alignment horizontal="center" vertical="center"/>
    </xf>
    <xf numFmtId="2" fontId="2" fillId="5" borderId="34" xfId="0" applyNumberFormat="1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right" vertical="center"/>
    </xf>
    <xf numFmtId="168" fontId="2" fillId="5" borderId="34" xfId="1" applyNumberFormat="1" applyFont="1" applyFill="1" applyBorder="1" applyAlignment="1">
      <alignment vertical="center"/>
    </xf>
    <xf numFmtId="166" fontId="2" fillId="5" borderId="23" xfId="1" applyNumberFormat="1" applyFont="1" applyFill="1" applyBorder="1" applyAlignment="1">
      <alignment vertical="center"/>
    </xf>
    <xf numFmtId="4" fontId="2" fillId="5" borderId="34" xfId="0" applyNumberFormat="1" applyFont="1" applyFill="1" applyBorder="1" applyAlignment="1">
      <alignment horizontal="right" vertical="center"/>
    </xf>
    <xf numFmtId="4" fontId="2" fillId="5" borderId="23" xfId="0" applyNumberFormat="1" applyFont="1" applyFill="1" applyBorder="1" applyAlignment="1">
      <alignment horizontal="right" vertical="center"/>
    </xf>
    <xf numFmtId="165" fontId="7" fillId="5" borderId="35" xfId="0" applyNumberFormat="1" applyFont="1" applyFill="1" applyBorder="1" applyAlignment="1">
      <alignment horizontal="center" vertical="center"/>
    </xf>
    <xf numFmtId="4" fontId="2" fillId="5" borderId="36" xfId="0" applyNumberFormat="1" applyFont="1" applyFill="1" applyBorder="1" applyAlignment="1">
      <alignment horizontal="right" vertical="center"/>
    </xf>
    <xf numFmtId="166" fontId="2" fillId="5" borderId="19" xfId="0" applyNumberFormat="1" applyFont="1" applyFill="1" applyBorder="1" applyAlignment="1">
      <alignment horizontal="center" vertical="center"/>
    </xf>
    <xf numFmtId="164" fontId="2" fillId="5" borderId="23" xfId="2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4" fontId="2" fillId="0" borderId="41" xfId="0" applyNumberFormat="1" applyFont="1" applyBorder="1" applyAlignment="1">
      <alignment vertical="center"/>
    </xf>
    <xf numFmtId="4" fontId="2" fillId="4" borderId="40" xfId="0" applyNumberFormat="1" applyFont="1" applyFill="1" applyBorder="1" applyAlignment="1">
      <alignment vertical="center"/>
    </xf>
    <xf numFmtId="0" fontId="2" fillId="4" borderId="42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vertical="center" wrapText="1"/>
    </xf>
    <xf numFmtId="164" fontId="2" fillId="0" borderId="39" xfId="2" applyFont="1" applyFill="1" applyBorder="1" applyAlignment="1">
      <alignment horizontal="center" vertical="center" wrapText="1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horizontal="center" vertical="center"/>
    </xf>
    <xf numFmtId="4" fontId="2" fillId="0" borderId="10" xfId="0" applyNumberFormat="1" applyFont="1" applyBorder="1" applyAlignment="1">
      <alignment vertical="center"/>
    </xf>
    <xf numFmtId="4" fontId="2" fillId="0" borderId="10" xfId="0" applyNumberFormat="1" applyFont="1" applyBorder="1" applyAlignment="1">
      <alignment horizontal="center" vertical="center" wrapText="1"/>
    </xf>
    <xf numFmtId="40" fontId="2" fillId="4" borderId="7" xfId="0" applyNumberFormat="1" applyFont="1" applyFill="1" applyBorder="1" applyAlignment="1">
      <alignment horizontal="right" vertical="center"/>
    </xf>
    <xf numFmtId="2" fontId="2" fillId="0" borderId="48" xfId="0" applyNumberFormat="1" applyFont="1" applyBorder="1" applyAlignment="1">
      <alignment vertical="center"/>
    </xf>
    <xf numFmtId="164" fontId="2" fillId="0" borderId="47" xfId="2" applyFont="1" applyFill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left" vertical="center" wrapText="1"/>
    </xf>
    <xf numFmtId="0" fontId="3" fillId="0" borderId="44" xfId="0" quotePrefix="1" applyFont="1" applyBorder="1" applyAlignment="1">
      <alignment vertical="center"/>
    </xf>
    <xf numFmtId="17" fontId="3" fillId="0" borderId="9" xfId="0" applyNumberFormat="1" applyFont="1" applyBorder="1" applyAlignment="1">
      <alignment vertical="center"/>
    </xf>
    <xf numFmtId="2" fontId="8" fillId="0" borderId="48" xfId="0" applyNumberFormat="1" applyFont="1" applyBorder="1" applyAlignment="1">
      <alignment horizontal="right" vertical="center"/>
    </xf>
    <xf numFmtId="164" fontId="8" fillId="6" borderId="47" xfId="2" applyFont="1" applyFill="1" applyBorder="1" applyAlignment="1">
      <alignment horizontal="right" vertical="center"/>
    </xf>
    <xf numFmtId="169" fontId="9" fillId="0" borderId="8" xfId="0" applyNumberFormat="1" applyFont="1" applyBorder="1" applyAlignment="1" applyProtection="1">
      <alignment horizontal="center" vertical="center"/>
      <protection locked="0"/>
    </xf>
    <xf numFmtId="4" fontId="9" fillId="0" borderId="8" xfId="0" applyNumberFormat="1" applyFont="1" applyBorder="1" applyAlignment="1" applyProtection="1">
      <alignment horizontal="center" vertical="center"/>
      <protection locked="0"/>
    </xf>
    <xf numFmtId="164" fontId="2" fillId="0" borderId="47" xfId="2" applyFont="1" applyFill="1" applyBorder="1" applyAlignment="1">
      <alignment horizontal="right" vertical="center"/>
    </xf>
    <xf numFmtId="0" fontId="8" fillId="0" borderId="50" xfId="0" applyFont="1" applyBorder="1" applyAlignment="1">
      <alignment vertical="center"/>
    </xf>
    <xf numFmtId="4" fontId="10" fillId="0" borderId="5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4" fontId="8" fillId="0" borderId="11" xfId="0" applyNumberFormat="1" applyFont="1" applyBorder="1" applyAlignment="1">
      <alignment horizontal="right" vertical="center"/>
    </xf>
    <xf numFmtId="0" fontId="12" fillId="6" borderId="9" xfId="0" applyFont="1" applyFill="1" applyBorder="1" applyAlignment="1">
      <alignment vertical="center"/>
    </xf>
    <xf numFmtId="4" fontId="13" fillId="6" borderId="11" xfId="0" applyNumberFormat="1" applyFont="1" applyFill="1" applyBorder="1" applyAlignment="1">
      <alignment vertical="center"/>
    </xf>
    <xf numFmtId="2" fontId="2" fillId="0" borderId="48" xfId="0" applyNumberFormat="1" applyFont="1" applyBorder="1" applyAlignment="1">
      <alignment horizontal="right" vertical="center"/>
    </xf>
    <xf numFmtId="164" fontId="2" fillId="6" borderId="47" xfId="2" applyFont="1" applyFill="1" applyBorder="1" applyAlignment="1">
      <alignment horizontal="right" vertical="center"/>
    </xf>
    <xf numFmtId="0" fontId="7" fillId="5" borderId="34" xfId="0" applyFont="1" applyFill="1" applyBorder="1" applyAlignment="1">
      <alignment vertical="center"/>
    </xf>
    <xf numFmtId="4" fontId="12" fillId="5" borderId="17" xfId="0" applyNumberFormat="1" applyFont="1" applyFill="1" applyBorder="1" applyAlignment="1">
      <alignment vertical="center"/>
    </xf>
    <xf numFmtId="4" fontId="14" fillId="0" borderId="8" xfId="0" applyNumberFormat="1" applyFont="1" applyBorder="1" applyAlignment="1" applyProtection="1">
      <alignment horizontal="center" vertical="center"/>
      <protection locked="0"/>
    </xf>
    <xf numFmtId="0" fontId="2" fillId="4" borderId="45" xfId="0" applyFont="1" applyFill="1" applyBorder="1" applyAlignment="1">
      <alignment horizontal="center" vertical="center"/>
    </xf>
    <xf numFmtId="4" fontId="10" fillId="0" borderId="40" xfId="0" applyNumberFormat="1" applyFont="1" applyBorder="1" applyAlignment="1">
      <alignment horizontal="right" vertical="center"/>
    </xf>
    <xf numFmtId="164" fontId="8" fillId="0" borderId="47" xfId="2" applyFont="1" applyFill="1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4" fontId="8" fillId="0" borderId="8" xfId="0" applyNumberFormat="1" applyFont="1" applyBorder="1" applyAlignment="1">
      <alignment horizontal="right" vertical="center"/>
    </xf>
    <xf numFmtId="17" fontId="2" fillId="0" borderId="46" xfId="0" applyNumberFormat="1" applyFont="1" applyBorder="1" applyAlignment="1">
      <alignment vertical="center"/>
    </xf>
    <xf numFmtId="0" fontId="2" fillId="0" borderId="0" xfId="0" applyFont="1" applyAlignment="1">
      <alignment vertical="center" wrapText="1"/>
    </xf>
    <xf numFmtId="2" fontId="2" fillId="0" borderId="0" xfId="1" applyNumberFormat="1" applyFont="1" applyFill="1" applyBorder="1" applyAlignment="1">
      <alignment horizontal="right" vertical="center"/>
    </xf>
    <xf numFmtId="4" fontId="12" fillId="5" borderId="33" xfId="0" applyNumberFormat="1" applyFont="1" applyFill="1" applyBorder="1" applyAlignment="1">
      <alignment vertical="center"/>
    </xf>
    <xf numFmtId="4" fontId="8" fillId="0" borderId="44" xfId="0" applyNumberFormat="1" applyFont="1" applyBorder="1" applyAlignment="1">
      <alignment horizontal="right" vertical="center"/>
    </xf>
    <xf numFmtId="0" fontId="2" fillId="0" borderId="47" xfId="0" applyFont="1" applyBorder="1" applyAlignment="1">
      <alignment vertical="center" wrapText="1"/>
    </xf>
    <xf numFmtId="43" fontId="2" fillId="0" borderId="48" xfId="1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4" fontId="8" fillId="0" borderId="32" xfId="0" applyNumberFormat="1" applyFont="1" applyBorder="1" applyAlignment="1">
      <alignment horizontal="right" vertical="center"/>
    </xf>
    <xf numFmtId="170" fontId="8" fillId="0" borderId="8" xfId="0" applyNumberFormat="1" applyFont="1" applyBorder="1" applyAlignment="1">
      <alignment horizontal="center" vertical="center"/>
    </xf>
    <xf numFmtId="17" fontId="2" fillId="0" borderId="52" xfId="0" applyNumberFormat="1" applyFont="1" applyBorder="1" applyAlignment="1">
      <alignment vertical="center"/>
    </xf>
    <xf numFmtId="0" fontId="2" fillId="0" borderId="49" xfId="0" applyFont="1" applyBorder="1" applyAlignment="1">
      <alignment vertical="center" wrapText="1"/>
    </xf>
    <xf numFmtId="43" fontId="2" fillId="0" borderId="35" xfId="1" applyFont="1" applyFill="1" applyBorder="1" applyAlignment="1">
      <alignment horizontal="center" vertical="center"/>
    </xf>
    <xf numFmtId="164" fontId="8" fillId="0" borderId="49" xfId="2" applyFont="1" applyFill="1" applyBorder="1" applyAlignment="1">
      <alignment horizontal="right" vertical="center"/>
    </xf>
    <xf numFmtId="166" fontId="2" fillId="2" borderId="25" xfId="0" applyNumberFormat="1" applyFont="1" applyFill="1" applyBorder="1" applyAlignment="1">
      <alignment horizontal="center" vertical="center" wrapText="1"/>
    </xf>
    <xf numFmtId="164" fontId="2" fillId="2" borderId="47" xfId="2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4" fontId="2" fillId="3" borderId="15" xfId="0" applyNumberFormat="1" applyFont="1" applyFill="1" applyBorder="1" applyAlignment="1">
      <alignment vertical="center"/>
    </xf>
    <xf numFmtId="167" fontId="2" fillId="3" borderId="38" xfId="0" applyNumberFormat="1" applyFont="1" applyFill="1" applyBorder="1" applyAlignment="1">
      <alignment horizontal="center" vertical="center"/>
    </xf>
    <xf numFmtId="4" fontId="2" fillId="3" borderId="34" xfId="0" applyNumberFormat="1" applyFont="1" applyFill="1" applyBorder="1" applyAlignment="1">
      <alignment vertical="center"/>
    </xf>
    <xf numFmtId="4" fontId="10" fillId="0" borderId="54" xfId="0" applyNumberFormat="1" applyFont="1" applyBorder="1" applyAlignment="1">
      <alignment horizontal="right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4" fontId="2" fillId="0" borderId="57" xfId="0" applyNumberFormat="1" applyFont="1" applyBorder="1" applyAlignment="1">
      <alignment vertical="center"/>
    </xf>
    <xf numFmtId="4" fontId="2" fillId="0" borderId="1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4" fontId="2" fillId="0" borderId="45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vertical="center"/>
    </xf>
    <xf numFmtId="4" fontId="8" fillId="0" borderId="59" xfId="0" applyNumberFormat="1" applyFont="1" applyBorder="1" applyAlignment="1">
      <alignment horizontal="right" vertical="center"/>
    </xf>
    <xf numFmtId="16" fontId="8" fillId="4" borderId="7" xfId="0" applyNumberFormat="1" applyFont="1" applyFill="1" applyBorder="1" applyAlignment="1">
      <alignment horizontal="center" vertical="center"/>
    </xf>
    <xf numFmtId="4" fontId="2" fillId="0" borderId="9" xfId="0" applyNumberFormat="1" applyFont="1" applyBorder="1" applyAlignment="1">
      <alignment vertical="center"/>
    </xf>
    <xf numFmtId="17" fontId="8" fillId="0" borderId="7" xfId="0" applyNumberFormat="1" applyFont="1" applyBorder="1" applyAlignment="1">
      <alignment vertical="center" wrapText="1"/>
    </xf>
    <xf numFmtId="0" fontId="8" fillId="4" borderId="45" xfId="0" applyFont="1" applyFill="1" applyBorder="1" applyAlignment="1">
      <alignment horizontal="center" vertical="center"/>
    </xf>
    <xf numFmtId="17" fontId="2" fillId="0" borderId="7" xfId="0" applyNumberFormat="1" applyFont="1" applyBorder="1" applyAlignment="1">
      <alignment vertical="center" wrapText="1"/>
    </xf>
    <xf numFmtId="0" fontId="8" fillId="0" borderId="45" xfId="0" applyFont="1" applyBorder="1" applyAlignment="1">
      <alignment horizontal="center" vertical="center"/>
    </xf>
    <xf numFmtId="4" fontId="8" fillId="0" borderId="9" xfId="0" applyNumberFormat="1" applyFont="1" applyBorder="1" applyAlignment="1">
      <alignment vertical="center"/>
    </xf>
    <xf numFmtId="0" fontId="11" fillId="0" borderId="7" xfId="0" applyFont="1" applyBorder="1" applyAlignment="1">
      <alignment vertical="center" wrapText="1"/>
    </xf>
    <xf numFmtId="171" fontId="11" fillId="0" borderId="0" xfId="0" applyNumberFormat="1" applyFont="1" applyAlignment="1">
      <alignment vertical="center"/>
    </xf>
    <xf numFmtId="0" fontId="16" fillId="0" borderId="7" xfId="0" applyFont="1" applyBorder="1" applyAlignment="1">
      <alignment vertical="center" wrapText="1"/>
    </xf>
    <xf numFmtId="0" fontId="2" fillId="0" borderId="59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4" fontId="2" fillId="0" borderId="61" xfId="0" applyNumberFormat="1" applyFont="1" applyBorder="1" applyAlignment="1">
      <alignment vertical="center"/>
    </xf>
    <xf numFmtId="4" fontId="2" fillId="0" borderId="20" xfId="0" applyNumberFormat="1" applyFont="1" applyBorder="1" applyAlignment="1">
      <alignment horizontal="center" vertical="center"/>
    </xf>
    <xf numFmtId="0" fontId="8" fillId="0" borderId="58" xfId="0" applyFont="1" applyBorder="1" applyAlignment="1">
      <alignment vertical="center"/>
    </xf>
    <xf numFmtId="16" fontId="2" fillId="4" borderId="7" xfId="0" applyNumberFormat="1" applyFont="1" applyFill="1" applyBorder="1" applyAlignment="1">
      <alignment horizontal="center" vertical="center"/>
    </xf>
    <xf numFmtId="167" fontId="2" fillId="3" borderId="36" xfId="0" applyNumberFormat="1" applyFont="1" applyFill="1" applyBorder="1" applyAlignment="1">
      <alignment horizontal="center" vertical="center"/>
    </xf>
    <xf numFmtId="4" fontId="2" fillId="3" borderId="19" xfId="0" applyNumberFormat="1" applyFont="1" applyFill="1" applyBorder="1" applyAlignment="1">
      <alignment vertical="center"/>
    </xf>
    <xf numFmtId="0" fontId="7" fillId="5" borderId="50" xfId="0" applyFont="1" applyFill="1" applyBorder="1" applyAlignment="1">
      <alignment vertical="center"/>
    </xf>
    <xf numFmtId="4" fontId="12" fillId="5" borderId="43" xfId="0" applyNumberFormat="1" applyFont="1" applyFill="1" applyBorder="1" applyAlignment="1">
      <alignment vertical="center"/>
    </xf>
    <xf numFmtId="0" fontId="2" fillId="4" borderId="13" xfId="0" applyFont="1" applyFill="1" applyBorder="1" applyAlignment="1">
      <alignment horizontal="center" vertical="center"/>
    </xf>
    <xf numFmtId="4" fontId="2" fillId="5" borderId="16" xfId="0" applyNumberFormat="1" applyFont="1" applyFill="1" applyBorder="1" applyAlignment="1">
      <alignment vertical="center"/>
    </xf>
    <xf numFmtId="167" fontId="2" fillId="5" borderId="16" xfId="0" applyNumberFormat="1" applyFont="1" applyFill="1" applyBorder="1" applyAlignment="1">
      <alignment horizontal="center" vertical="center"/>
    </xf>
    <xf numFmtId="4" fontId="2" fillId="5" borderId="19" xfId="0" applyNumberFormat="1" applyFont="1" applyFill="1" applyBorder="1" applyAlignment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4" fontId="2" fillId="5" borderId="36" xfId="0" applyNumberFormat="1" applyFont="1" applyFill="1" applyBorder="1" applyAlignment="1">
      <alignment vertical="center"/>
    </xf>
    <xf numFmtId="167" fontId="2" fillId="5" borderId="36" xfId="0" applyNumberFormat="1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7" fillId="0" borderId="41" xfId="0" applyFont="1" applyBorder="1" applyAlignment="1">
      <alignment vertical="center"/>
    </xf>
    <xf numFmtId="0" fontId="18" fillId="3" borderId="46" xfId="0" applyFont="1" applyFill="1" applyBorder="1" applyAlignment="1">
      <alignment horizontal="center" vertical="center" wrapText="1"/>
    </xf>
    <xf numFmtId="4" fontId="2" fillId="2" borderId="53" xfId="0" applyNumberFormat="1" applyFont="1" applyFill="1" applyBorder="1" applyAlignment="1">
      <alignment horizontal="center" vertical="center"/>
    </xf>
    <xf numFmtId="4" fontId="2" fillId="2" borderId="10" xfId="0" applyNumberFormat="1" applyFont="1" applyFill="1" applyBorder="1" applyAlignment="1">
      <alignment horizontal="center" vertical="center"/>
    </xf>
    <xf numFmtId="4" fontId="2" fillId="2" borderId="44" xfId="0" applyNumberFormat="1" applyFont="1" applyFill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8" fillId="3" borderId="6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4" fontId="10" fillId="0" borderId="2" xfId="0" applyNumberFormat="1" applyFont="1" applyBorder="1" applyAlignment="1">
      <alignment horizontal="right" vertical="center"/>
    </xf>
    <xf numFmtId="0" fontId="8" fillId="0" borderId="43" xfId="0" applyFont="1" applyBorder="1" applyAlignment="1">
      <alignment vertical="center"/>
    </xf>
    <xf numFmtId="43" fontId="2" fillId="4" borderId="11" xfId="1" applyFont="1" applyFill="1" applyBorder="1" applyAlignment="1">
      <alignment horizontal="center" vertical="center"/>
    </xf>
    <xf numFmtId="164" fontId="2" fillId="0" borderId="14" xfId="2" applyFont="1" applyFill="1" applyBorder="1" applyAlignment="1">
      <alignment vertical="center"/>
    </xf>
    <xf numFmtId="172" fontId="2" fillId="0" borderId="10" xfId="2" applyNumberFormat="1" applyFont="1" applyBorder="1" applyAlignment="1">
      <alignment horizontal="center" vertical="center"/>
    </xf>
    <xf numFmtId="4" fontId="2" fillId="0" borderId="44" xfId="0" applyNumberFormat="1" applyFont="1" applyBorder="1" applyAlignment="1">
      <alignment vertical="center"/>
    </xf>
    <xf numFmtId="164" fontId="2" fillId="4" borderId="48" xfId="2" applyFont="1" applyFill="1" applyBorder="1" applyAlignment="1">
      <alignment horizontal="center" vertical="center"/>
    </xf>
    <xf numFmtId="4" fontId="8" fillId="0" borderId="7" xfId="0" applyNumberFormat="1" applyFont="1" applyBorder="1" applyAlignment="1">
      <alignment horizontal="right" vertical="center"/>
    </xf>
    <xf numFmtId="173" fontId="8" fillId="4" borderId="11" xfId="0" applyNumberFormat="1" applyFont="1" applyFill="1" applyBorder="1" applyAlignment="1">
      <alignment horizontal="center" vertical="center"/>
    </xf>
    <xf numFmtId="164" fontId="2" fillId="0" borderId="20" xfId="2" applyFont="1" applyFill="1" applyBorder="1" applyAlignment="1">
      <alignment vertical="center"/>
    </xf>
    <xf numFmtId="172" fontId="2" fillId="0" borderId="10" xfId="0" applyNumberFormat="1" applyFont="1" applyBorder="1" applyAlignment="1">
      <alignment horizontal="center" vertical="center"/>
    </xf>
    <xf numFmtId="164" fontId="12" fillId="5" borderId="23" xfId="2" applyFont="1" applyFill="1" applyBorder="1" applyAlignment="1">
      <alignment vertical="center"/>
    </xf>
    <xf numFmtId="0" fontId="2" fillId="4" borderId="48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43" fontId="8" fillId="4" borderId="11" xfId="1" applyFont="1" applyFill="1" applyBorder="1" applyAlignment="1">
      <alignment horizontal="center" vertical="center"/>
    </xf>
    <xf numFmtId="164" fontId="2" fillId="0" borderId="66" xfId="2" applyFont="1" applyFill="1" applyBorder="1" applyAlignment="1">
      <alignment vertical="center"/>
    </xf>
    <xf numFmtId="4" fontId="12" fillId="5" borderId="25" xfId="0" applyNumberFormat="1" applyFont="1" applyFill="1" applyBorder="1" applyAlignment="1">
      <alignment vertical="center"/>
    </xf>
    <xf numFmtId="0" fontId="7" fillId="5" borderId="33" xfId="0" applyFont="1" applyFill="1" applyBorder="1" applyAlignment="1">
      <alignment vertical="center"/>
    </xf>
    <xf numFmtId="4" fontId="12" fillId="5" borderId="23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2" fontId="2" fillId="0" borderId="22" xfId="1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vertical="center"/>
    </xf>
    <xf numFmtId="2" fontId="2" fillId="0" borderId="68" xfId="1" applyNumberFormat="1" applyFont="1" applyFill="1" applyBorder="1" applyAlignment="1">
      <alignment horizontal="right" vertical="center"/>
    </xf>
    <xf numFmtId="0" fontId="2" fillId="0" borderId="20" xfId="0" applyFont="1" applyBorder="1" applyAlignment="1">
      <alignment vertical="center"/>
    </xf>
    <xf numFmtId="0" fontId="2" fillId="4" borderId="3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" fontId="2" fillId="0" borderId="26" xfId="0" applyNumberFormat="1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43" fontId="2" fillId="4" borderId="32" xfId="1" applyFont="1" applyFill="1" applyBorder="1" applyAlignment="1">
      <alignment horizontal="center" vertical="center"/>
    </xf>
    <xf numFmtId="4" fontId="2" fillId="0" borderId="0" xfId="0" applyNumberFormat="1" applyFont="1" applyAlignment="1">
      <alignment vertical="center"/>
    </xf>
    <xf numFmtId="0" fontId="2" fillId="0" borderId="3" xfId="0" applyFont="1" applyBorder="1" applyAlignment="1">
      <alignment vertical="center"/>
    </xf>
    <xf numFmtId="43" fontId="2" fillId="0" borderId="1" xfId="1" applyFont="1" applyFill="1" applyBorder="1" applyAlignment="1">
      <alignment horizontal="center" vertical="center"/>
    </xf>
    <xf numFmtId="43" fontId="10" fillId="0" borderId="5" xfId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3" fontId="2" fillId="0" borderId="6" xfId="1" applyFont="1" applyFill="1" applyBorder="1" applyAlignment="1">
      <alignment horizontal="center" vertical="center"/>
    </xf>
    <xf numFmtId="164" fontId="2" fillId="0" borderId="10" xfId="2" applyFont="1" applyFill="1" applyBorder="1" applyAlignment="1">
      <alignment horizontal="center" vertical="center"/>
    </xf>
    <xf numFmtId="4" fontId="7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3" fontId="2" fillId="0" borderId="29" xfId="1" applyFont="1" applyFill="1" applyBorder="1" applyAlignment="1">
      <alignment horizontal="center" vertical="center"/>
    </xf>
    <xf numFmtId="164" fontId="2" fillId="0" borderId="51" xfId="2" applyFont="1" applyFill="1" applyBorder="1" applyAlignment="1">
      <alignment horizontal="center" vertical="center"/>
    </xf>
    <xf numFmtId="4" fontId="7" fillId="0" borderId="32" xfId="0" applyNumberFormat="1" applyFont="1" applyBorder="1" applyAlignment="1">
      <alignment vertical="center"/>
    </xf>
    <xf numFmtId="0" fontId="2" fillId="0" borderId="67" xfId="0" applyFont="1" applyBorder="1" applyAlignment="1">
      <alignment vertical="center"/>
    </xf>
    <xf numFmtId="43" fontId="7" fillId="0" borderId="66" xfId="1" applyFont="1" applyFill="1" applyBorder="1" applyAlignment="1">
      <alignment horizontal="center" vertical="center"/>
    </xf>
    <xf numFmtId="174" fontId="2" fillId="0" borderId="35" xfId="0" applyNumberFormat="1" applyFont="1" applyBorder="1" applyAlignment="1">
      <alignment horizontal="left" vertical="center"/>
    </xf>
    <xf numFmtId="43" fontId="7" fillId="0" borderId="49" xfId="1" applyFont="1" applyFill="1" applyBorder="1" applyAlignment="1">
      <alignment horizontal="center" vertical="center"/>
    </xf>
    <xf numFmtId="174" fontId="2" fillId="0" borderId="0" xfId="0" applyNumberFormat="1" applyFont="1" applyAlignment="1">
      <alignment vertical="center"/>
    </xf>
    <xf numFmtId="175" fontId="2" fillId="0" borderId="25" xfId="1" applyNumberFormat="1" applyFont="1" applyBorder="1" applyAlignment="1">
      <alignment vertical="center" wrapText="1"/>
    </xf>
    <xf numFmtId="175" fontId="2" fillId="0" borderId="48" xfId="1" applyNumberFormat="1" applyFont="1" applyBorder="1" applyAlignment="1">
      <alignment vertical="center"/>
    </xf>
    <xf numFmtId="175" fontId="8" fillId="0" borderId="48" xfId="1" applyNumberFormat="1" applyFont="1" applyBorder="1" applyAlignment="1">
      <alignment horizontal="right" vertical="center"/>
    </xf>
    <xf numFmtId="175" fontId="2" fillId="0" borderId="48" xfId="1" applyNumberFormat="1" applyFont="1" applyBorder="1" applyAlignment="1">
      <alignment horizontal="right" vertical="center"/>
    </xf>
    <xf numFmtId="164" fontId="2" fillId="0" borderId="25" xfId="2" applyFont="1" applyFill="1" applyBorder="1" applyAlignment="1">
      <alignment horizontal="center" vertical="center" wrapText="1"/>
    </xf>
    <xf numFmtId="164" fontId="2" fillId="0" borderId="48" xfId="2" applyFont="1" applyFill="1" applyBorder="1" applyAlignment="1">
      <alignment horizontal="right" vertical="center"/>
    </xf>
    <xf numFmtId="164" fontId="2" fillId="0" borderId="48" xfId="2" applyFont="1" applyFill="1" applyBorder="1" applyAlignment="1">
      <alignment horizontal="center" vertical="center" wrapText="1"/>
    </xf>
    <xf numFmtId="164" fontId="8" fillId="0" borderId="48" xfId="2" applyFont="1" applyFill="1" applyBorder="1" applyAlignment="1">
      <alignment horizontal="right" vertical="center"/>
    </xf>
    <xf numFmtId="164" fontId="2" fillId="0" borderId="35" xfId="2" applyFont="1" applyFill="1" applyBorder="1" applyAlignment="1">
      <alignment horizontal="right" vertical="center"/>
    </xf>
    <xf numFmtId="166" fontId="20" fillId="2" borderId="25" xfId="0" applyNumberFormat="1" applyFont="1" applyFill="1" applyBorder="1" applyAlignment="1">
      <alignment horizontal="center" vertical="center" wrapText="1"/>
    </xf>
    <xf numFmtId="164" fontId="20" fillId="2" borderId="47" xfId="2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18" fillId="3" borderId="6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vertical="center"/>
    </xf>
    <xf numFmtId="164" fontId="21" fillId="5" borderId="35" xfId="2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4" fontId="2" fillId="4" borderId="11" xfId="2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43" fontId="22" fillId="0" borderId="8" xfId="1" applyFont="1" applyBorder="1" applyAlignment="1">
      <alignment horizontal="center" vertical="center"/>
    </xf>
    <xf numFmtId="0" fontId="2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vertical="center" wrapText="1"/>
    </xf>
    <xf numFmtId="0" fontId="8" fillId="0" borderId="47" xfId="0" applyFont="1" applyBorder="1" applyAlignment="1">
      <alignment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horizontal="left" vertical="center" wrapText="1"/>
    </xf>
    <xf numFmtId="0" fontId="11" fillId="0" borderId="47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left" vertical="center" wrapText="1"/>
    </xf>
    <xf numFmtId="0" fontId="6" fillId="0" borderId="46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15" fillId="0" borderId="46" xfId="0" applyFont="1" applyBorder="1" applyAlignment="1">
      <alignment horizontal="left" vertical="center"/>
    </xf>
    <xf numFmtId="0" fontId="15" fillId="0" borderId="47" xfId="0" applyFont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2" borderId="43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3" borderId="53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0" fontId="2" fillId="3" borderId="34" xfId="0" applyFont="1" applyFill="1" applyBorder="1" applyAlignment="1">
      <alignment horizontal="center" vertical="center" wrapText="1"/>
    </xf>
    <xf numFmtId="0" fontId="2" fillId="0" borderId="60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8" borderId="33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5" borderId="52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EB76-50C9-4CE5-8EA1-D7227A78E09B}">
  <sheetPr>
    <pageSetUpPr fitToPage="1"/>
  </sheetPr>
  <dimension ref="A1:Q51"/>
  <sheetViews>
    <sheetView zoomScaleNormal="100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45748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457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3350.004480890756</v>
      </c>
      <c r="C6" s="26">
        <f>L33/2.0185</f>
        <v>0</v>
      </c>
      <c r="D6" s="27"/>
      <c r="E6" s="28">
        <v>0</v>
      </c>
      <c r="F6" s="29">
        <f>B6+C6+E6</f>
        <v>3350.004480890756</v>
      </c>
      <c r="G6" s="30">
        <f>E46</f>
        <v>643.96528704939919</v>
      </c>
      <c r="H6" s="31"/>
      <c r="I6" s="32">
        <f>E46</f>
        <v>643.96528704939919</v>
      </c>
      <c r="J6" s="25">
        <f>F6-I6-H6</f>
        <v>2706.0391938413568</v>
      </c>
      <c r="K6" s="33">
        <v>3350</v>
      </c>
      <c r="L6" s="33">
        <v>2700</v>
      </c>
      <c r="M6" s="34">
        <f>I6</f>
        <v>643.96528704939919</v>
      </c>
      <c r="N6" s="35">
        <f>+F46</f>
        <v>7.49</v>
      </c>
      <c r="O6" s="36">
        <f>M6*N6</f>
        <v>4823.3</v>
      </c>
      <c r="P6" s="37">
        <f>+L6-J6</f>
        <v>-6.0391938413567914</v>
      </c>
      <c r="Q6" s="38" t="s">
        <v>28</v>
      </c>
    </row>
    <row r="7" spans="1:17" s="38" customFormat="1" x14ac:dyDescent="0.3">
      <c r="A7" s="39" t="s">
        <v>149</v>
      </c>
      <c r="B7" s="40">
        <v>860.00082038120638</v>
      </c>
      <c r="C7" s="41">
        <f>L29</f>
        <v>1150</v>
      </c>
      <c r="D7" s="42"/>
      <c r="E7" s="43"/>
      <c r="F7" s="44">
        <f>B7+C7+E7</f>
        <v>2010.0008203812063</v>
      </c>
      <c r="G7" s="45">
        <f>E47</f>
        <v>184.12666281087337</v>
      </c>
      <c r="H7" s="43">
        <v>0</v>
      </c>
      <c r="I7" s="46">
        <f>E47</f>
        <v>184.12666281087337</v>
      </c>
      <c r="J7" s="40">
        <f>F7-I7-H7</f>
        <v>1825.874157570333</v>
      </c>
      <c r="K7" s="33">
        <v>860</v>
      </c>
      <c r="L7" s="33">
        <v>1800</v>
      </c>
      <c r="M7" s="47">
        <f>I7</f>
        <v>184.12666281087337</v>
      </c>
      <c r="N7" s="35">
        <f>+F47</f>
        <v>17.29</v>
      </c>
      <c r="O7" s="48">
        <f>M7*N7</f>
        <v>3183.55</v>
      </c>
      <c r="P7" s="37">
        <f>+L7-J7</f>
        <v>-25.874157570332954</v>
      </c>
    </row>
    <row r="8" spans="1:17" s="38" customFormat="1" x14ac:dyDescent="0.3">
      <c r="A8" s="39" t="s">
        <v>150</v>
      </c>
      <c r="B8" s="40">
        <v>1119.9966095421028</v>
      </c>
      <c r="C8" s="41">
        <f>L30</f>
        <v>2100</v>
      </c>
      <c r="D8" s="42"/>
      <c r="E8" s="43"/>
      <c r="F8" s="44">
        <f>B8+C8+E8</f>
        <v>3219.9966095421028</v>
      </c>
      <c r="G8" s="45">
        <f>E48</f>
        <v>488.77856681730151</v>
      </c>
      <c r="H8" s="43">
        <v>0</v>
      </c>
      <c r="I8" s="46">
        <f>E48</f>
        <v>488.77856681730151</v>
      </c>
      <c r="J8" s="40">
        <f>F8-I8-H8</f>
        <v>2731.2180427248013</v>
      </c>
      <c r="K8" s="33">
        <v>1120</v>
      </c>
      <c r="L8" s="33">
        <v>2700</v>
      </c>
      <c r="M8" s="47">
        <f>I8</f>
        <v>488.77856681730151</v>
      </c>
      <c r="N8" s="35">
        <f>+F48</f>
        <v>15.49</v>
      </c>
      <c r="O8" s="48">
        <f>M8*N8</f>
        <v>7571.18</v>
      </c>
      <c r="P8" s="37">
        <f>+L8-J8</f>
        <v>-31.218042724801307</v>
      </c>
    </row>
    <row r="9" spans="1:17" s="38" customFormat="1" ht="15.6" thickBot="1" x14ac:dyDescent="0.35">
      <c r="A9" s="49" t="s">
        <v>32</v>
      </c>
      <c r="B9" s="50">
        <v>1729.9991933711824</v>
      </c>
      <c r="C9" s="51">
        <f>L32</f>
        <v>0</v>
      </c>
      <c r="D9" s="52"/>
      <c r="E9" s="53">
        <v>0</v>
      </c>
      <c r="F9" s="54">
        <f>B9+C9+E9</f>
        <v>1729.9991933711824</v>
      </c>
      <c r="G9" s="55">
        <f>E50</f>
        <v>110.54676258992806</v>
      </c>
      <c r="H9" s="53"/>
      <c r="I9" s="56">
        <f>E50</f>
        <v>110.54676258992806</v>
      </c>
      <c r="J9" s="50">
        <f>F9-I9-H9</f>
        <v>1619.4524307812544</v>
      </c>
      <c r="K9" s="33">
        <v>1730</v>
      </c>
      <c r="L9" s="33">
        <v>1620</v>
      </c>
      <c r="M9" s="57">
        <f>I9</f>
        <v>110.54676258992806</v>
      </c>
      <c r="N9" s="35">
        <f>+F50</f>
        <v>15.29</v>
      </c>
      <c r="O9" s="58">
        <f>M9*N9</f>
        <v>1690.26</v>
      </c>
      <c r="P9" s="37">
        <f>+L9-J9</f>
        <v>0.54756921874559339</v>
      </c>
    </row>
    <row r="10" spans="1:17" s="38" customFormat="1" ht="16.2" thickBot="1" x14ac:dyDescent="0.35">
      <c r="A10" s="59" t="s">
        <v>33</v>
      </c>
      <c r="B10" s="60">
        <v>7060</v>
      </c>
      <c r="C10" s="61">
        <f>SUM(C6:C9)</f>
        <v>3250</v>
      </c>
      <c r="D10" s="62"/>
      <c r="E10" s="63"/>
      <c r="F10" s="64">
        <f>SUM(F6:F9)</f>
        <v>10310.001104185247</v>
      </c>
      <c r="G10" s="65">
        <f>SUM(G6:G9)</f>
        <v>1427.417279267502</v>
      </c>
      <c r="H10" s="60"/>
      <c r="I10" s="66">
        <f>SUM(I6:I9)</f>
        <v>1427.417279267502</v>
      </c>
      <c r="J10" s="60">
        <f>SUM(J6:J9)</f>
        <v>8882.583824917745</v>
      </c>
      <c r="K10" s="67" t="e">
        <f>K6+K7+K8+#REF!+K9</f>
        <v>#REF!</v>
      </c>
      <c r="L10" s="67" t="e">
        <f>L6+L7+L8+#REF!+L9</f>
        <v>#REF!</v>
      </c>
      <c r="M10" s="68">
        <f>SUM(M6:M9)</f>
        <v>1427.417279267502</v>
      </c>
      <c r="N10" s="69"/>
      <c r="O10" s="70">
        <f>SUM(O6:O9)</f>
        <v>17268.29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1427.417279267502</v>
      </c>
      <c r="O12" s="84">
        <f>+O10</f>
        <v>17268.29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2980.18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761.7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58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/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76.45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13449.96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>
        <v>1150</v>
      </c>
      <c r="M29" s="141" t="s">
        <v>110</v>
      </c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>
        <v>2100</v>
      </c>
      <c r="M30" s="141" t="s">
        <v>110</v>
      </c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78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1"/>
      <c r="N33" s="147"/>
      <c r="O33" s="152" t="s">
        <v>83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4061.6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9388.4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2580.9299999999998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399.25</v>
      </c>
      <c r="F41" s="192">
        <v>761.7</v>
      </c>
      <c r="G41" s="187"/>
      <c r="H41" s="86"/>
      <c r="I41" s="108" t="s">
        <v>33</v>
      </c>
      <c r="J41" s="193">
        <f>SUM(J38:J40)-J40</f>
        <v>13450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2980.18</v>
      </c>
      <c r="F42" s="192">
        <f>SUM(F40:F41)</f>
        <v>761.7</v>
      </c>
      <c r="G42" s="187">
        <f>SUM(E42:F42)</f>
        <v>3741.88</v>
      </c>
      <c r="H42" s="86"/>
      <c r="I42" s="5" t="s">
        <v>103</v>
      </c>
      <c r="J42" s="153">
        <f>O26-J41</f>
        <v>-4.0000000000873115E-2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643.96528704939919</v>
      </c>
      <c r="F46" s="35">
        <v>7.49</v>
      </c>
      <c r="G46" s="214">
        <v>4823.3</v>
      </c>
      <c r="L46" s="38"/>
    </row>
    <row r="47" spans="1:15" ht="15.6" x14ac:dyDescent="0.3">
      <c r="D47" s="215" t="s">
        <v>107</v>
      </c>
      <c r="E47" s="216">
        <f>+G47/F47</f>
        <v>184.12666281087337</v>
      </c>
      <c r="F47" s="217">
        <v>17.29</v>
      </c>
      <c r="G47" s="218">
        <v>3183.55</v>
      </c>
      <c r="L47" s="38"/>
    </row>
    <row r="48" spans="1:15" ht="15.6" x14ac:dyDescent="0.3">
      <c r="D48" s="215" t="s">
        <v>108</v>
      </c>
      <c r="E48" s="216">
        <f>+G48/F48</f>
        <v>488.77856681730151</v>
      </c>
      <c r="F48" s="217">
        <v>15.49</v>
      </c>
      <c r="G48" s="218">
        <v>7571.18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110.54676258992806</v>
      </c>
      <c r="F50" s="221">
        <v>15.29</v>
      </c>
      <c r="G50" s="222">
        <v>1690.26</v>
      </c>
      <c r="L50" s="38"/>
      <c r="M50" s="38"/>
    </row>
    <row r="51" spans="4:13" ht="16.2" thickBot="1" x14ac:dyDescent="0.35">
      <c r="D51" s="223"/>
      <c r="E51" s="224">
        <f>SUM(E46:E50)</f>
        <v>1427.417279267502</v>
      </c>
      <c r="F51" s="225"/>
      <c r="G51" s="226">
        <f>G46+G47+G48+G50</f>
        <v>17268.29</v>
      </c>
      <c r="J51" s="227">
        <f>G51-E42-F42-J41</f>
        <v>76.409999999999854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58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D2527DA-AA4E-4F01-9334-88356D67736F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AAB0-8358-4567-9C0C-395495BB8F5F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45757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466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2078.7718457167175</v>
      </c>
      <c r="C6" s="26">
        <f>L33/2.0185</f>
        <v>2452.316076294278</v>
      </c>
      <c r="D6" s="27"/>
      <c r="E6" s="28">
        <v>0</v>
      </c>
      <c r="F6" s="29">
        <f>B6+C6+E6</f>
        <v>4531.0879220109955</v>
      </c>
      <c r="G6" s="30">
        <f>E46</f>
        <v>662.36315086782383</v>
      </c>
      <c r="H6" s="31"/>
      <c r="I6" s="32">
        <f>E46</f>
        <v>662.36315086782383</v>
      </c>
      <c r="J6" s="25">
        <f>F6-I6-H6</f>
        <v>3868.7247711431719</v>
      </c>
      <c r="K6" s="33">
        <v>2050</v>
      </c>
      <c r="L6" s="33">
        <v>3900</v>
      </c>
      <c r="M6" s="34">
        <f>I6</f>
        <v>662.36315086782383</v>
      </c>
      <c r="N6" s="35">
        <f>+F46</f>
        <v>7.49</v>
      </c>
      <c r="O6" s="36">
        <f>M6*N6</f>
        <v>4961.1000000000004</v>
      </c>
      <c r="P6" s="37">
        <f>+L6-J6</f>
        <v>31.275228856828107</v>
      </c>
      <c r="Q6" s="38" t="s">
        <v>28</v>
      </c>
    </row>
    <row r="7" spans="1:17" s="38" customFormat="1" x14ac:dyDescent="0.3">
      <c r="A7" s="39" t="s">
        <v>149</v>
      </c>
      <c r="B7" s="40">
        <v>1369.124591347083</v>
      </c>
      <c r="C7" s="41">
        <f>L29</f>
        <v>0</v>
      </c>
      <c r="D7" s="42"/>
      <c r="E7" s="43"/>
      <c r="F7" s="44">
        <f>B7+C7+E7</f>
        <v>1369.124591347083</v>
      </c>
      <c r="G7" s="45">
        <f>E47</f>
        <v>156.77617119722382</v>
      </c>
      <c r="H7" s="43">
        <v>0</v>
      </c>
      <c r="I7" s="46">
        <f>E47</f>
        <v>156.77617119722382</v>
      </c>
      <c r="J7" s="40">
        <f>F7-I7-H7</f>
        <v>1212.3484201498591</v>
      </c>
      <c r="K7" s="33">
        <v>1360</v>
      </c>
      <c r="L7" s="33">
        <v>1200</v>
      </c>
      <c r="M7" s="47">
        <f>I7</f>
        <v>156.77617119722382</v>
      </c>
      <c r="N7" s="35">
        <f>+F47</f>
        <v>17.29</v>
      </c>
      <c r="O7" s="48">
        <f>M7*N7</f>
        <v>2710.66</v>
      </c>
      <c r="P7" s="37">
        <f>+L7-J7</f>
        <v>-12.348420149859066</v>
      </c>
    </row>
    <row r="8" spans="1:17" s="38" customFormat="1" x14ac:dyDescent="0.3">
      <c r="A8" s="39" t="s">
        <v>150</v>
      </c>
      <c r="B8" s="40">
        <v>1168.221916191555</v>
      </c>
      <c r="C8" s="41">
        <f>L30</f>
        <v>1150</v>
      </c>
      <c r="D8" s="42"/>
      <c r="E8" s="43"/>
      <c r="F8" s="44">
        <f>B8+C8+E8</f>
        <v>2318.221916191555</v>
      </c>
      <c r="G8" s="45">
        <f>E48</f>
        <v>516.28276307295027</v>
      </c>
      <c r="H8" s="43">
        <v>0</v>
      </c>
      <c r="I8" s="46">
        <f>E48</f>
        <v>516.28276307295027</v>
      </c>
      <c r="J8" s="40">
        <f>F8-I8-H8</f>
        <v>1801.9391531186047</v>
      </c>
      <c r="K8" s="33">
        <v>1150</v>
      </c>
      <c r="L8" s="33">
        <v>1780</v>
      </c>
      <c r="M8" s="47">
        <f>I8</f>
        <v>516.28276307295027</v>
      </c>
      <c r="N8" s="35">
        <f>+F48</f>
        <v>15.49</v>
      </c>
      <c r="O8" s="48">
        <f>M8*N8</f>
        <v>7997.22</v>
      </c>
      <c r="P8" s="37">
        <f>+L8-J8</f>
        <v>-21.939153118604736</v>
      </c>
    </row>
    <row r="9" spans="1:17" s="38" customFormat="1" ht="15.6" thickBot="1" x14ac:dyDescent="0.35">
      <c r="A9" s="49" t="s">
        <v>32</v>
      </c>
      <c r="B9" s="50">
        <v>1779.6113581847862</v>
      </c>
      <c r="C9" s="51">
        <f>L32</f>
        <v>0</v>
      </c>
      <c r="D9" s="52"/>
      <c r="E9" s="53">
        <v>0</v>
      </c>
      <c r="F9" s="54">
        <f>B9+C9+E9</f>
        <v>1779.6113581847862</v>
      </c>
      <c r="G9" s="55">
        <f>E50</f>
        <v>118.33747547416614</v>
      </c>
      <c r="H9" s="53"/>
      <c r="I9" s="56">
        <f>E50</f>
        <v>118.33747547416614</v>
      </c>
      <c r="J9" s="50">
        <f>F9-I9-H9</f>
        <v>1661.27388271062</v>
      </c>
      <c r="K9" s="33">
        <v>1780</v>
      </c>
      <c r="L9" s="33">
        <v>1660</v>
      </c>
      <c r="M9" s="57">
        <f>I9</f>
        <v>118.33747547416614</v>
      </c>
      <c r="N9" s="35">
        <f>+F50</f>
        <v>15.29</v>
      </c>
      <c r="O9" s="58">
        <f>M9*N9</f>
        <v>1809.38</v>
      </c>
      <c r="P9" s="37">
        <f>+L9-J9</f>
        <v>-1.2738827106200006</v>
      </c>
    </row>
    <row r="10" spans="1:17" s="38" customFormat="1" ht="16.2" thickBot="1" x14ac:dyDescent="0.35">
      <c r="A10" s="59" t="s">
        <v>33</v>
      </c>
      <c r="B10" s="60">
        <v>7812.17</v>
      </c>
      <c r="C10" s="61">
        <f>SUM(C6:C9)</f>
        <v>3602.316076294278</v>
      </c>
      <c r="D10" s="62"/>
      <c r="E10" s="63"/>
      <c r="F10" s="64">
        <f>SUM(F6:F9)</f>
        <v>9998.0457877344197</v>
      </c>
      <c r="G10" s="65">
        <f>SUM(G6:G9)</f>
        <v>1453.759560612164</v>
      </c>
      <c r="H10" s="60"/>
      <c r="I10" s="66">
        <f>SUM(I6:I9)</f>
        <v>1453.759560612164</v>
      </c>
      <c r="J10" s="60">
        <f>SUM(J6:J9)</f>
        <v>8544.2862271222566</v>
      </c>
      <c r="K10" s="67" t="e">
        <f>K6+K7+K8+#REF!+K9</f>
        <v>#REF!</v>
      </c>
      <c r="L10" s="67" t="e">
        <f>L6+L7+L8+#REF!+L9</f>
        <v>#REF!</v>
      </c>
      <c r="M10" s="68">
        <f>SUM(M6:M9)</f>
        <v>1453.759560612164</v>
      </c>
      <c r="N10" s="69"/>
      <c r="O10" s="70">
        <f>SUM(O6:O9)</f>
        <v>17478.36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1453.759560612164</v>
      </c>
      <c r="O12" s="84">
        <f>+O10</f>
        <v>17478.36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3379.67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1772.1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12326.59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>
        <v>1150</v>
      </c>
      <c r="M30" s="141" t="s">
        <v>122</v>
      </c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>
        <v>4950</v>
      </c>
      <c r="M33" s="149" t="s">
        <v>123</v>
      </c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3189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9137.5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2277.4299999999998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1102.24</v>
      </c>
      <c r="F41" s="192">
        <v>1772.1</v>
      </c>
      <c r="G41" s="187"/>
      <c r="H41" s="86"/>
      <c r="I41" s="108" t="s">
        <v>33</v>
      </c>
      <c r="J41" s="193">
        <f>SUM(J38:J40)-J40</f>
        <v>12326.5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3379.67</v>
      </c>
      <c r="F42" s="192">
        <f>SUM(F40:F41)</f>
        <v>1772.1</v>
      </c>
      <c r="G42" s="187">
        <f>SUM(E42:F42)</f>
        <v>5151.7700000000004</v>
      </c>
      <c r="H42" s="86"/>
      <c r="I42" s="5" t="s">
        <v>103</v>
      </c>
      <c r="J42" s="153">
        <f>O26-J41</f>
        <v>9.0000000000145519E-2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662.36315086782383</v>
      </c>
      <c r="F46" s="35">
        <v>7.49</v>
      </c>
      <c r="G46" s="214">
        <v>4961.1000000000004</v>
      </c>
      <c r="L46" s="38"/>
    </row>
    <row r="47" spans="1:15" ht="15.6" x14ac:dyDescent="0.3">
      <c r="D47" s="215" t="s">
        <v>107</v>
      </c>
      <c r="E47" s="216">
        <f>+G47/F47</f>
        <v>156.77617119722382</v>
      </c>
      <c r="F47" s="217">
        <v>17.29</v>
      </c>
      <c r="G47" s="218">
        <v>2710.66</v>
      </c>
      <c r="L47" s="38"/>
    </row>
    <row r="48" spans="1:15" ht="15.6" x14ac:dyDescent="0.3">
      <c r="D48" s="215" t="s">
        <v>108</v>
      </c>
      <c r="E48" s="216">
        <f>+G48/F48</f>
        <v>516.28276307295027</v>
      </c>
      <c r="F48" s="217">
        <v>15.49</v>
      </c>
      <c r="G48" s="218">
        <v>7997.22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118.33747547416614</v>
      </c>
      <c r="F50" s="221">
        <v>15.29</v>
      </c>
      <c r="G50" s="222">
        <v>1809.38</v>
      </c>
      <c r="L50" s="38"/>
      <c r="M50" s="38"/>
    </row>
    <row r="51" spans="4:13" ht="16.2" thickBot="1" x14ac:dyDescent="0.35">
      <c r="D51" s="223"/>
      <c r="E51" s="224">
        <f>SUM(E46:E50)</f>
        <v>1453.759560612164</v>
      </c>
      <c r="F51" s="225"/>
      <c r="G51" s="226">
        <f>G46+G47+G48+G50</f>
        <v>17478.36</v>
      </c>
      <c r="J51" s="227">
        <f>G51-E42-F42-J41</f>
        <v>9.0000000000145519E-2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40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7E35A10-22F1-4284-A1C1-69D932CB2D11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6070-BCD0-4935-B1C6-14B39D262108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45758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467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3868.7247711431719</v>
      </c>
      <c r="C6" s="26">
        <f>L33/2.0185</f>
        <v>0</v>
      </c>
      <c r="D6" s="27"/>
      <c r="E6" s="28">
        <v>0</v>
      </c>
      <c r="F6" s="29">
        <f>B6+C6+E6</f>
        <v>3868.7247711431719</v>
      </c>
      <c r="G6" s="30">
        <f>E46</f>
        <v>695.50066755674231</v>
      </c>
      <c r="H6" s="31"/>
      <c r="I6" s="32">
        <f>E46</f>
        <v>695.50066755674231</v>
      </c>
      <c r="J6" s="25">
        <f>F6-I6-H6</f>
        <v>3173.2241035864295</v>
      </c>
      <c r="K6" s="33">
        <v>3900</v>
      </c>
      <c r="L6" s="33">
        <v>3200</v>
      </c>
      <c r="M6" s="34">
        <f>I6</f>
        <v>695.50066755674231</v>
      </c>
      <c r="N6" s="35">
        <f>+F46</f>
        <v>7.49</v>
      </c>
      <c r="O6" s="36">
        <f>M6*N6</f>
        <v>5209.3</v>
      </c>
      <c r="P6" s="37">
        <f>+L6-J6</f>
        <v>26.775896413570536</v>
      </c>
      <c r="Q6" s="38" t="s">
        <v>28</v>
      </c>
    </row>
    <row r="7" spans="1:17" s="38" customFormat="1" x14ac:dyDescent="0.3">
      <c r="A7" s="39" t="s">
        <v>149</v>
      </c>
      <c r="B7" s="40">
        <v>1212.3484201498591</v>
      </c>
      <c r="C7" s="41">
        <f>L29</f>
        <v>0</v>
      </c>
      <c r="D7" s="42"/>
      <c r="E7" s="43"/>
      <c r="F7" s="44">
        <f>B7+C7+E7</f>
        <v>1212.3484201498591</v>
      </c>
      <c r="G7" s="45">
        <f>E47</f>
        <v>148.57432041642568</v>
      </c>
      <c r="H7" s="43">
        <v>0</v>
      </c>
      <c r="I7" s="46">
        <f>E47</f>
        <v>148.57432041642568</v>
      </c>
      <c r="J7" s="40">
        <f>F7-I7-H7</f>
        <v>1063.7740997334333</v>
      </c>
      <c r="K7" s="33">
        <v>1200</v>
      </c>
      <c r="L7" s="33">
        <v>1050</v>
      </c>
      <c r="M7" s="47">
        <f>I7</f>
        <v>148.57432041642568</v>
      </c>
      <c r="N7" s="35">
        <f>+F47</f>
        <v>17.29</v>
      </c>
      <c r="O7" s="48">
        <f>M7*N7</f>
        <v>2568.85</v>
      </c>
      <c r="P7" s="37">
        <f>+L7-J7</f>
        <v>-13.774099733433331</v>
      </c>
    </row>
    <row r="8" spans="1:17" s="38" customFormat="1" x14ac:dyDescent="0.3">
      <c r="A8" s="39" t="s">
        <v>150</v>
      </c>
      <c r="B8" s="40">
        <v>1801.9391531186047</v>
      </c>
      <c r="C8" s="41">
        <f>L30</f>
        <v>0</v>
      </c>
      <c r="D8" s="42"/>
      <c r="E8" s="43"/>
      <c r="F8" s="44">
        <f>B8+C8+E8</f>
        <v>1801.9391531186047</v>
      </c>
      <c r="G8" s="45">
        <f>E48</f>
        <v>534.42930923176243</v>
      </c>
      <c r="H8" s="43">
        <v>0</v>
      </c>
      <c r="I8" s="46">
        <f>E48</f>
        <v>534.42930923176243</v>
      </c>
      <c r="J8" s="40">
        <f>F8-I8-H8</f>
        <v>1267.5098438868422</v>
      </c>
      <c r="K8" s="33">
        <v>1780</v>
      </c>
      <c r="L8" s="33">
        <v>1240</v>
      </c>
      <c r="M8" s="47">
        <f>I8</f>
        <v>534.42930923176243</v>
      </c>
      <c r="N8" s="35">
        <f>+F48</f>
        <v>15.49</v>
      </c>
      <c r="O8" s="48">
        <f>M8*N8</f>
        <v>8278.31</v>
      </c>
      <c r="P8" s="37">
        <f>+L8-J8</f>
        <v>-27.509843886842191</v>
      </c>
    </row>
    <row r="9" spans="1:17" s="38" customFormat="1" ht="15.6" thickBot="1" x14ac:dyDescent="0.35">
      <c r="A9" s="49" t="s">
        <v>32</v>
      </c>
      <c r="B9" s="50">
        <v>1661.27388271062</v>
      </c>
      <c r="C9" s="51">
        <f>L32</f>
        <v>0</v>
      </c>
      <c r="D9" s="52"/>
      <c r="E9" s="53">
        <v>0</v>
      </c>
      <c r="F9" s="54">
        <f>B9+C9+E9</f>
        <v>1661.27388271062</v>
      </c>
      <c r="G9" s="55">
        <f>E50</f>
        <v>95.883584041857418</v>
      </c>
      <c r="H9" s="53"/>
      <c r="I9" s="56">
        <f>E50</f>
        <v>95.883584041857418</v>
      </c>
      <c r="J9" s="50">
        <f>F9-I9-H9</f>
        <v>1565.3902986687626</v>
      </c>
      <c r="K9" s="33">
        <v>1660</v>
      </c>
      <c r="L9" s="33">
        <v>1560</v>
      </c>
      <c r="M9" s="57">
        <f>I9</f>
        <v>95.883584041857418</v>
      </c>
      <c r="N9" s="35">
        <f>+F50</f>
        <v>15.29</v>
      </c>
      <c r="O9" s="58">
        <f>M9*N9</f>
        <v>1466.06</v>
      </c>
      <c r="P9" s="37">
        <f>+L9-J9</f>
        <v>-5.3902986687626253</v>
      </c>
    </row>
    <row r="10" spans="1:17" s="38" customFormat="1" ht="16.2" thickBot="1" x14ac:dyDescent="0.35">
      <c r="A10" s="59" t="s">
        <v>33</v>
      </c>
      <c r="B10" s="60">
        <v>8544.2900000000009</v>
      </c>
      <c r="C10" s="61">
        <f>SUM(C6:C9)</f>
        <v>0</v>
      </c>
      <c r="D10" s="62"/>
      <c r="E10" s="63"/>
      <c r="F10" s="64">
        <f>SUM(F6:F9)</f>
        <v>8544.2862271222566</v>
      </c>
      <c r="G10" s="65">
        <f>SUM(G6:G9)</f>
        <v>1474.3878812467879</v>
      </c>
      <c r="H10" s="60"/>
      <c r="I10" s="66">
        <f>SUM(I6:I9)</f>
        <v>1474.3878812467879</v>
      </c>
      <c r="J10" s="60">
        <f>SUM(J6:J9)</f>
        <v>7069.8983458754683</v>
      </c>
      <c r="K10" s="67" t="e">
        <f>K6+K7+K8+#REF!+K9</f>
        <v>#REF!</v>
      </c>
      <c r="L10" s="67" t="e">
        <f>L6+L7+L8+#REF!+L9</f>
        <v>#REF!</v>
      </c>
      <c r="M10" s="68">
        <f>SUM(M6:M9)</f>
        <v>1474.3878812467879</v>
      </c>
      <c r="N10" s="69"/>
      <c r="O10" s="70">
        <f>SUM(O6:O9)</f>
        <v>17522.52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1474.3878812467879</v>
      </c>
      <c r="O12" s="84">
        <f>+O10</f>
        <v>17522.52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4932.4799999999996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1688.56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10901.480000000001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3520.8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7380.8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2850.05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2082.4299999999998</v>
      </c>
      <c r="F41" s="192">
        <v>1688.56</v>
      </c>
      <c r="G41" s="187"/>
      <c r="H41" s="86"/>
      <c r="I41" s="108" t="s">
        <v>33</v>
      </c>
      <c r="J41" s="193">
        <f>SUM(J38:J40)-J40</f>
        <v>10901.6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4932.4799999999996</v>
      </c>
      <c r="F42" s="192">
        <f>SUM(F40:F41)</f>
        <v>1688.56</v>
      </c>
      <c r="G42" s="187">
        <f>SUM(E42:F42)</f>
        <v>6621.0399999999991</v>
      </c>
      <c r="H42" s="86"/>
      <c r="I42" s="5" t="s">
        <v>103</v>
      </c>
      <c r="J42" s="153">
        <f>O26-J41</f>
        <v>-0.11999999999898137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695.50066755674231</v>
      </c>
      <c r="F46" s="35">
        <v>7.49</v>
      </c>
      <c r="G46" s="214">
        <v>5209.3</v>
      </c>
      <c r="L46" s="38"/>
    </row>
    <row r="47" spans="1:15" ht="15.6" x14ac:dyDescent="0.3">
      <c r="D47" s="215" t="s">
        <v>107</v>
      </c>
      <c r="E47" s="216">
        <f>+G47/F47</f>
        <v>148.57432041642568</v>
      </c>
      <c r="F47" s="217">
        <v>17.29</v>
      </c>
      <c r="G47" s="218">
        <v>2568.85</v>
      </c>
      <c r="L47" s="38"/>
    </row>
    <row r="48" spans="1:15" ht="15.6" x14ac:dyDescent="0.3">
      <c r="D48" s="215" t="s">
        <v>108</v>
      </c>
      <c r="E48" s="216">
        <f>+G48/F48</f>
        <v>534.42930923176243</v>
      </c>
      <c r="F48" s="217">
        <v>15.49</v>
      </c>
      <c r="G48" s="218">
        <v>8278.31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95.883584041857418</v>
      </c>
      <c r="F50" s="221">
        <v>15.29</v>
      </c>
      <c r="G50" s="222">
        <v>1466.06</v>
      </c>
      <c r="L50" s="38"/>
      <c r="M50" s="38"/>
    </row>
    <row r="51" spans="4:13" ht="16.2" thickBot="1" x14ac:dyDescent="0.35">
      <c r="D51" s="223"/>
      <c r="E51" s="224">
        <f>SUM(E46:E50)</f>
        <v>1474.3878812467879</v>
      </c>
      <c r="F51" s="225"/>
      <c r="G51" s="226">
        <f>G46+G47+G48+G50</f>
        <v>17522.52</v>
      </c>
      <c r="J51" s="227">
        <f>G51-E42-F42-J41</f>
        <v>-0.11999999999898137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38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2CBAB04-99B6-4070-8D44-72FAC34F8024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A70E-DEF8-4811-A810-6B1C0AB1E2BA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45759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468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3173.2241035864295</v>
      </c>
      <c r="C6" s="26">
        <f>L33/2.0185</f>
        <v>0</v>
      </c>
      <c r="D6" s="27"/>
      <c r="E6" s="28">
        <v>0</v>
      </c>
      <c r="F6" s="29">
        <f>B6+C6+E6</f>
        <v>3173.2241035864295</v>
      </c>
      <c r="G6" s="30">
        <f>E46</f>
        <v>691.01068090787714</v>
      </c>
      <c r="H6" s="31"/>
      <c r="I6" s="32">
        <f>E46</f>
        <v>691.01068090787714</v>
      </c>
      <c r="J6" s="25">
        <f>F6-I6-H6</f>
        <v>2482.2134226785524</v>
      </c>
      <c r="K6" s="33">
        <v>3200</v>
      </c>
      <c r="L6" s="33">
        <v>2500</v>
      </c>
      <c r="M6" s="34">
        <f>I6</f>
        <v>691.01068090787714</v>
      </c>
      <c r="N6" s="35">
        <f>+F46</f>
        <v>7.49</v>
      </c>
      <c r="O6" s="36">
        <f>M6*N6</f>
        <v>5175.67</v>
      </c>
      <c r="P6" s="37">
        <f>+L6-J6</f>
        <v>17.786577321447567</v>
      </c>
      <c r="Q6" s="38" t="s">
        <v>28</v>
      </c>
    </row>
    <row r="7" spans="1:17" s="38" customFormat="1" x14ac:dyDescent="0.3">
      <c r="A7" s="39" t="s">
        <v>149</v>
      </c>
      <c r="B7" s="40">
        <v>1063.7740997334333</v>
      </c>
      <c r="C7" s="41">
        <f>L29</f>
        <v>0</v>
      </c>
      <c r="D7" s="42"/>
      <c r="E7" s="43"/>
      <c r="F7" s="44">
        <f>B7+C7+E7</f>
        <v>1063.7740997334333</v>
      </c>
      <c r="G7" s="45">
        <f>E47</f>
        <v>138.69462116830539</v>
      </c>
      <c r="H7" s="43">
        <v>0</v>
      </c>
      <c r="I7" s="46">
        <f>E47</f>
        <v>138.69462116830539</v>
      </c>
      <c r="J7" s="40">
        <f>F7-I7-H7</f>
        <v>925.07947856512794</v>
      </c>
      <c r="K7" s="33">
        <v>1050</v>
      </c>
      <c r="L7" s="33">
        <v>900</v>
      </c>
      <c r="M7" s="47">
        <f>I7</f>
        <v>138.69462116830539</v>
      </c>
      <c r="N7" s="35">
        <f>+F47</f>
        <v>17.29</v>
      </c>
      <c r="O7" s="48">
        <f>M7*N7</f>
        <v>2398.0300000000002</v>
      </c>
      <c r="P7" s="37">
        <f>+L7-J7</f>
        <v>-25.079478565127943</v>
      </c>
    </row>
    <row r="8" spans="1:17" s="38" customFormat="1" x14ac:dyDescent="0.3">
      <c r="A8" s="39" t="s">
        <v>150</v>
      </c>
      <c r="B8" s="40">
        <v>1267.5098438868422</v>
      </c>
      <c r="C8" s="41">
        <f>L30</f>
        <v>2200</v>
      </c>
      <c r="D8" s="42"/>
      <c r="E8" s="43"/>
      <c r="F8" s="44">
        <f>B8+C8+E8</f>
        <v>3467.5098438868422</v>
      </c>
      <c r="G8" s="45">
        <f>E48</f>
        <v>559.74693350548739</v>
      </c>
      <c r="H8" s="43">
        <v>0</v>
      </c>
      <c r="I8" s="46">
        <f>E48</f>
        <v>559.74693350548739</v>
      </c>
      <c r="J8" s="40">
        <f>F8-I8-H8</f>
        <v>2907.7629103813547</v>
      </c>
      <c r="K8" s="33">
        <v>1240</v>
      </c>
      <c r="L8" s="33">
        <v>2880</v>
      </c>
      <c r="M8" s="47">
        <f>I8</f>
        <v>559.74693350548739</v>
      </c>
      <c r="N8" s="35">
        <f>+F48</f>
        <v>15.49</v>
      </c>
      <c r="O8" s="48">
        <f>M8*N8</f>
        <v>8670.48</v>
      </c>
      <c r="P8" s="37">
        <f>+L8-J8</f>
        <v>-27.762910381354686</v>
      </c>
    </row>
    <row r="9" spans="1:17" s="38" customFormat="1" ht="15.6" thickBot="1" x14ac:dyDescent="0.35">
      <c r="A9" s="49" t="s">
        <v>32</v>
      </c>
      <c r="B9" s="50">
        <v>1565.3902986687626</v>
      </c>
      <c r="C9" s="51">
        <f>L32</f>
        <v>0</v>
      </c>
      <c r="D9" s="52"/>
      <c r="E9" s="53">
        <v>0</v>
      </c>
      <c r="F9" s="54">
        <f>B9+C9+E9</f>
        <v>1565.3902986687626</v>
      </c>
      <c r="G9" s="55">
        <f>E50</f>
        <v>145.1281883584042</v>
      </c>
      <c r="H9" s="53"/>
      <c r="I9" s="56">
        <f>E50</f>
        <v>145.1281883584042</v>
      </c>
      <c r="J9" s="50">
        <f>F9-I9-H9</f>
        <v>1420.2621103103584</v>
      </c>
      <c r="K9" s="33">
        <v>1560</v>
      </c>
      <c r="L9" s="33">
        <v>1420</v>
      </c>
      <c r="M9" s="57">
        <f>I9</f>
        <v>145.1281883584042</v>
      </c>
      <c r="N9" s="35">
        <f>+F50</f>
        <v>15.29</v>
      </c>
      <c r="O9" s="58">
        <f>M9*N9</f>
        <v>2219.0100000000002</v>
      </c>
      <c r="P9" s="37">
        <f>+L9-J9</f>
        <v>-0.26211031035836641</v>
      </c>
    </row>
    <row r="10" spans="1:17" s="38" customFormat="1" ht="16.2" thickBot="1" x14ac:dyDescent="0.35">
      <c r="A10" s="59" t="s">
        <v>33</v>
      </c>
      <c r="B10" s="60">
        <v>7069.9</v>
      </c>
      <c r="C10" s="61">
        <f>SUM(C6:C9)</f>
        <v>2200</v>
      </c>
      <c r="D10" s="62"/>
      <c r="E10" s="63"/>
      <c r="F10" s="64">
        <f>SUM(F6:F9)</f>
        <v>9269.8983458754683</v>
      </c>
      <c r="G10" s="65">
        <f>SUM(G6:G9)</f>
        <v>1534.5804239400741</v>
      </c>
      <c r="H10" s="60"/>
      <c r="I10" s="66">
        <f>SUM(I6:I9)</f>
        <v>1534.5804239400741</v>
      </c>
      <c r="J10" s="60">
        <f>SUM(J6:J9)</f>
        <v>7735.3179219353933</v>
      </c>
      <c r="K10" s="67" t="e">
        <f>K6+K7+K8+#REF!+K9</f>
        <v>#REF!</v>
      </c>
      <c r="L10" s="67" t="e">
        <f>L6+L7+L8+#REF!+L9</f>
        <v>#REF!</v>
      </c>
      <c r="M10" s="68">
        <f>SUM(M6:M9)</f>
        <v>1534.5804239400741</v>
      </c>
      <c r="N10" s="69"/>
      <c r="O10" s="70">
        <f>SUM(O6:O9)</f>
        <v>18463.190000000002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1534.5804239400741</v>
      </c>
      <c r="O12" s="84">
        <f>+O10</f>
        <v>18463.190000000002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3295.1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1959.37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300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12908.720000000001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>
        <v>2200</v>
      </c>
      <c r="M30" s="141" t="s">
        <v>124</v>
      </c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3216.3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9692.2999999999993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2377.58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917.52</v>
      </c>
      <c r="F41" s="192">
        <v>1959.37</v>
      </c>
      <c r="G41" s="187"/>
      <c r="H41" s="86"/>
      <c r="I41" s="108" t="s">
        <v>33</v>
      </c>
      <c r="J41" s="193">
        <f>SUM(J38:J40)-J40</f>
        <v>12908.599999999999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3295.1</v>
      </c>
      <c r="F42" s="192">
        <f>SUM(F40:F41)</f>
        <v>1959.37</v>
      </c>
      <c r="G42" s="187">
        <f>SUM(E42:F42)</f>
        <v>5254.4699999999993</v>
      </c>
      <c r="H42" s="86"/>
      <c r="I42" s="5" t="s">
        <v>103</v>
      </c>
      <c r="J42" s="153">
        <f>O26-J41</f>
        <v>0.12000000000261934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691.01068090787714</v>
      </c>
      <c r="F46" s="35">
        <v>7.49</v>
      </c>
      <c r="G46" s="214">
        <v>5175.67</v>
      </c>
      <c r="L46" s="38"/>
    </row>
    <row r="47" spans="1:15" ht="15.6" x14ac:dyDescent="0.3">
      <c r="D47" s="215" t="s">
        <v>107</v>
      </c>
      <c r="E47" s="216">
        <f>+G47/F47</f>
        <v>138.69462116830539</v>
      </c>
      <c r="F47" s="217">
        <v>17.29</v>
      </c>
      <c r="G47" s="218">
        <v>2398.0300000000002</v>
      </c>
      <c r="L47" s="38"/>
    </row>
    <row r="48" spans="1:15" ht="15.6" x14ac:dyDescent="0.3">
      <c r="D48" s="215" t="s">
        <v>108</v>
      </c>
      <c r="E48" s="216">
        <f>+G48/F48</f>
        <v>559.74693350548739</v>
      </c>
      <c r="F48" s="217">
        <v>15.49</v>
      </c>
      <c r="G48" s="218">
        <v>8670.48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145.1281883584042</v>
      </c>
      <c r="F50" s="221">
        <v>15.29</v>
      </c>
      <c r="G50" s="222">
        <v>2219.0100000000002</v>
      </c>
      <c r="L50" s="38"/>
      <c r="M50" s="38"/>
    </row>
    <row r="51" spans="4:13" ht="16.2" thickBot="1" x14ac:dyDescent="0.35">
      <c r="D51" s="223"/>
      <c r="E51" s="224">
        <f>SUM(E46:E50)</f>
        <v>1534.5804239400741</v>
      </c>
      <c r="F51" s="225"/>
      <c r="G51" s="226">
        <f>G46+G47+G48+G50</f>
        <v>18463.190000000002</v>
      </c>
      <c r="J51" s="227">
        <f>G51-E42-F42-J41</f>
        <v>300.12000000000262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36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848FB0-A7E7-4A4F-8031-4A5AD48D3770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D8D2-600E-41C8-A199-454FD50239B9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45760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469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2482.2134226785524</v>
      </c>
      <c r="C6" s="26">
        <f>L33/2.0185</f>
        <v>0</v>
      </c>
      <c r="D6" s="27"/>
      <c r="E6" s="28">
        <v>0</v>
      </c>
      <c r="F6" s="29">
        <f>B6+C6+E6</f>
        <v>2482.2134226785524</v>
      </c>
      <c r="G6" s="30">
        <f>E46</f>
        <v>614.55006675567415</v>
      </c>
      <c r="H6" s="31"/>
      <c r="I6" s="32">
        <f>E46</f>
        <v>614.55006675567415</v>
      </c>
      <c r="J6" s="25">
        <f>F6-I6-H6</f>
        <v>1867.6633559228783</v>
      </c>
      <c r="K6" s="33">
        <v>2500</v>
      </c>
      <c r="L6" s="33">
        <v>1800</v>
      </c>
      <c r="M6" s="34">
        <f>I6</f>
        <v>614.55006675567415</v>
      </c>
      <c r="N6" s="35">
        <f>+F46</f>
        <v>7.49</v>
      </c>
      <c r="O6" s="36">
        <f>M6*N6</f>
        <v>4602.9799999999996</v>
      </c>
      <c r="P6" s="37">
        <f>+L6-J6</f>
        <v>-67.663355922878281</v>
      </c>
      <c r="Q6" s="38" t="s">
        <v>28</v>
      </c>
    </row>
    <row r="7" spans="1:17" s="38" customFormat="1" x14ac:dyDescent="0.3">
      <c r="A7" s="39" t="s">
        <v>149</v>
      </c>
      <c r="B7" s="40">
        <v>925.07947856512794</v>
      </c>
      <c r="C7" s="41">
        <f>L29</f>
        <v>0</v>
      </c>
      <c r="D7" s="42"/>
      <c r="E7" s="43"/>
      <c r="F7" s="44">
        <f>B7+C7+E7</f>
        <v>925.07947856512794</v>
      </c>
      <c r="G7" s="45">
        <f>E47</f>
        <v>159.82706766917292</v>
      </c>
      <c r="H7" s="43">
        <v>0</v>
      </c>
      <c r="I7" s="46">
        <f>E47</f>
        <v>159.82706766917292</v>
      </c>
      <c r="J7" s="40">
        <f>F7-I7-H7</f>
        <v>765.25241089595499</v>
      </c>
      <c r="K7" s="33">
        <v>900</v>
      </c>
      <c r="L7" s="33">
        <v>750</v>
      </c>
      <c r="M7" s="47">
        <f>I7</f>
        <v>159.82706766917292</v>
      </c>
      <c r="N7" s="35">
        <f>+F47</f>
        <v>17.29</v>
      </c>
      <c r="O7" s="48">
        <f>M7*N7</f>
        <v>2763.41</v>
      </c>
      <c r="P7" s="37">
        <f>+L7-J7</f>
        <v>-15.252410895954995</v>
      </c>
    </row>
    <row r="8" spans="1:17" s="38" customFormat="1" x14ac:dyDescent="0.3">
      <c r="A8" s="39" t="s">
        <v>150</v>
      </c>
      <c r="B8" s="40">
        <v>2907.7629103813547</v>
      </c>
      <c r="C8" s="41">
        <f>L30</f>
        <v>0</v>
      </c>
      <c r="D8" s="42"/>
      <c r="E8" s="43"/>
      <c r="F8" s="44">
        <f>B8+C8+E8</f>
        <v>2907.7629103813547</v>
      </c>
      <c r="G8" s="45">
        <f>E48</f>
        <v>478.79987088444153</v>
      </c>
      <c r="H8" s="43">
        <v>0</v>
      </c>
      <c r="I8" s="46">
        <f>E48</f>
        <v>478.79987088444153</v>
      </c>
      <c r="J8" s="40">
        <f>F8-I8-H8</f>
        <v>2428.9630394969131</v>
      </c>
      <c r="K8" s="33">
        <v>2880</v>
      </c>
      <c r="L8" s="33">
        <v>2390</v>
      </c>
      <c r="M8" s="47">
        <f>I8</f>
        <v>478.79987088444153</v>
      </c>
      <c r="N8" s="35">
        <f>+F48</f>
        <v>15.49</v>
      </c>
      <c r="O8" s="48">
        <f>M8*N8</f>
        <v>7416.61</v>
      </c>
      <c r="P8" s="37">
        <f>+L8-J8</f>
        <v>-38.963039496913098</v>
      </c>
    </row>
    <row r="9" spans="1:17" s="38" customFormat="1" ht="15.6" thickBot="1" x14ac:dyDescent="0.35">
      <c r="A9" s="49" t="s">
        <v>32</v>
      </c>
      <c r="B9" s="50">
        <v>1420.2621103103584</v>
      </c>
      <c r="C9" s="51">
        <f>L32</f>
        <v>0</v>
      </c>
      <c r="D9" s="52"/>
      <c r="E9" s="53">
        <v>0</v>
      </c>
      <c r="F9" s="54">
        <f>B9+C9+E9</f>
        <v>1420.2621103103584</v>
      </c>
      <c r="G9" s="55">
        <f>E50</f>
        <v>120.50686723348595</v>
      </c>
      <c r="H9" s="53"/>
      <c r="I9" s="56">
        <f>E50</f>
        <v>120.50686723348595</v>
      </c>
      <c r="J9" s="50">
        <f>F9-I9-H9</f>
        <v>1299.7552430768724</v>
      </c>
      <c r="K9" s="33">
        <v>1420</v>
      </c>
      <c r="L9" s="33">
        <v>1300</v>
      </c>
      <c r="M9" s="57">
        <f>I9</f>
        <v>120.50686723348595</v>
      </c>
      <c r="N9" s="35">
        <f>+F50</f>
        <v>15.29</v>
      </c>
      <c r="O9" s="58">
        <f>M9*N9</f>
        <v>1842.55</v>
      </c>
      <c r="P9" s="37">
        <f>+L9-J9</f>
        <v>0.24475692312762476</v>
      </c>
    </row>
    <row r="10" spans="1:17" s="38" customFormat="1" ht="16.2" thickBot="1" x14ac:dyDescent="0.35">
      <c r="A10" s="59" t="s">
        <v>33</v>
      </c>
      <c r="B10" s="60">
        <v>7735.32</v>
      </c>
      <c r="C10" s="61">
        <f>SUM(C6:C9)</f>
        <v>0</v>
      </c>
      <c r="D10" s="62"/>
      <c r="E10" s="63"/>
      <c r="F10" s="64">
        <f>SUM(F6:F9)</f>
        <v>7735.3179219353933</v>
      </c>
      <c r="G10" s="65">
        <f>SUM(G6:G9)</f>
        <v>1373.6838725427747</v>
      </c>
      <c r="H10" s="60"/>
      <c r="I10" s="66">
        <f>SUM(I6:I9)</f>
        <v>1373.6838725427747</v>
      </c>
      <c r="J10" s="60">
        <f>SUM(J6:J9)</f>
        <v>6361.6340493926182</v>
      </c>
      <c r="K10" s="67" t="e">
        <f>K6+K7+K8+#REF!+K9</f>
        <v>#REF!</v>
      </c>
      <c r="L10" s="67" t="e">
        <f>L6+L7+L8+#REF!+L9</f>
        <v>#REF!</v>
      </c>
      <c r="M10" s="68">
        <f>SUM(M6:M9)</f>
        <v>1373.6838725427747</v>
      </c>
      <c r="N10" s="69"/>
      <c r="O10" s="70">
        <f>SUM(O6:O9)</f>
        <v>16625.55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1373.6838725427747</v>
      </c>
      <c r="O12" s="84">
        <f>+O10</f>
        <v>16625.55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1588.5100000000002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1041.08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13995.96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3561.9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10434.200000000001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1025.92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562.59</v>
      </c>
      <c r="F41" s="192">
        <v>1041.08</v>
      </c>
      <c r="G41" s="187"/>
      <c r="H41" s="86"/>
      <c r="I41" s="108" t="s">
        <v>33</v>
      </c>
      <c r="J41" s="193">
        <f>SUM(J38:J40)-J40</f>
        <v>13996.1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1588.5100000000002</v>
      </c>
      <c r="F42" s="192">
        <f>SUM(F40:F41)</f>
        <v>1041.08</v>
      </c>
      <c r="G42" s="187">
        <f>SUM(E42:F42)</f>
        <v>2629.59</v>
      </c>
      <c r="H42" s="86"/>
      <c r="I42" s="5" t="s">
        <v>103</v>
      </c>
      <c r="J42" s="153">
        <f>O26-J41</f>
        <v>-0.14000000000123691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614.55006675567415</v>
      </c>
      <c r="F46" s="35">
        <v>7.49</v>
      </c>
      <c r="G46" s="214">
        <v>4602.9799999999996</v>
      </c>
      <c r="L46" s="38"/>
    </row>
    <row r="47" spans="1:15" ht="15.6" x14ac:dyDescent="0.3">
      <c r="D47" s="215" t="s">
        <v>107</v>
      </c>
      <c r="E47" s="216">
        <f>+G47/F47</f>
        <v>159.82706766917292</v>
      </c>
      <c r="F47" s="217">
        <v>17.29</v>
      </c>
      <c r="G47" s="218">
        <v>2763.41</v>
      </c>
      <c r="L47" s="38"/>
    </row>
    <row r="48" spans="1:15" ht="15.6" x14ac:dyDescent="0.3">
      <c r="D48" s="215" t="s">
        <v>108</v>
      </c>
      <c r="E48" s="216">
        <f>+G48/F48</f>
        <v>478.79987088444153</v>
      </c>
      <c r="F48" s="217">
        <v>15.49</v>
      </c>
      <c r="G48" s="218">
        <v>7416.61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120.50686723348595</v>
      </c>
      <c r="F50" s="221">
        <v>15.29</v>
      </c>
      <c r="G50" s="222">
        <v>1842.55</v>
      </c>
      <c r="L50" s="38"/>
      <c r="M50" s="38"/>
    </row>
    <row r="51" spans="4:13" ht="16.2" thickBot="1" x14ac:dyDescent="0.35">
      <c r="D51" s="223"/>
      <c r="E51" s="224">
        <f>SUM(E46:E50)</f>
        <v>1373.6838725427747</v>
      </c>
      <c r="F51" s="225"/>
      <c r="G51" s="226">
        <f>G46+G47+G48+G50</f>
        <v>16625.55</v>
      </c>
      <c r="J51" s="227">
        <f>G51-E42-F42-J41</f>
        <v>-0.14000000000123691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34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8E42464-4F91-4E26-A607-1597428C4140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C7971-70F9-4BA8-B410-3C234124EDB4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45761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470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1867.6633559228783</v>
      </c>
      <c r="C6" s="26">
        <f>L33/2.0185</f>
        <v>2392.8659895962351</v>
      </c>
      <c r="D6" s="27"/>
      <c r="E6" s="28">
        <v>0</v>
      </c>
      <c r="F6" s="29">
        <f>B6+C6+E6</f>
        <v>4260.5293455191131</v>
      </c>
      <c r="G6" s="30">
        <f>E46</f>
        <v>648.56608811749004</v>
      </c>
      <c r="H6" s="31"/>
      <c r="I6" s="32">
        <f>E46</f>
        <v>648.56608811749004</v>
      </c>
      <c r="J6" s="25">
        <f>F6-I6-H6</f>
        <v>3611.9632574016232</v>
      </c>
      <c r="K6" s="33">
        <v>1800</v>
      </c>
      <c r="L6" s="33">
        <v>3600</v>
      </c>
      <c r="M6" s="34">
        <f>I6</f>
        <v>648.56608811749004</v>
      </c>
      <c r="N6" s="35">
        <f>+F46</f>
        <v>7.49</v>
      </c>
      <c r="O6" s="36">
        <f>M6*N6</f>
        <v>4857.76</v>
      </c>
      <c r="P6" s="37">
        <f>+L6-J6</f>
        <v>-11.963257401623196</v>
      </c>
      <c r="Q6" s="38" t="s">
        <v>28</v>
      </c>
    </row>
    <row r="7" spans="1:17" s="38" customFormat="1" x14ac:dyDescent="0.3">
      <c r="A7" s="39" t="s">
        <v>149</v>
      </c>
      <c r="B7" s="40">
        <v>765.25241089595499</v>
      </c>
      <c r="C7" s="41">
        <f>L29</f>
        <v>1000</v>
      </c>
      <c r="D7" s="42"/>
      <c r="E7" s="43"/>
      <c r="F7" s="44">
        <f>B7+C7+E7</f>
        <v>1765.2524108959551</v>
      </c>
      <c r="G7" s="45">
        <f>E47</f>
        <v>166.62406015037593</v>
      </c>
      <c r="H7" s="43">
        <v>0</v>
      </c>
      <c r="I7" s="46">
        <f>E47</f>
        <v>166.62406015037593</v>
      </c>
      <c r="J7" s="40">
        <f>F7-I7-H7</f>
        <v>1598.6283507455792</v>
      </c>
      <c r="K7" s="33">
        <v>750</v>
      </c>
      <c r="L7" s="33">
        <v>1560</v>
      </c>
      <c r="M7" s="47">
        <f>I7</f>
        <v>166.62406015037593</v>
      </c>
      <c r="N7" s="35">
        <f>+F47</f>
        <v>17.29</v>
      </c>
      <c r="O7" s="48">
        <f>M7*N7</f>
        <v>2880.9299999999994</v>
      </c>
      <c r="P7" s="37">
        <f>+L7-J7</f>
        <v>-38.628350745579155</v>
      </c>
    </row>
    <row r="8" spans="1:17" s="38" customFormat="1" x14ac:dyDescent="0.3">
      <c r="A8" s="39" t="s">
        <v>150</v>
      </c>
      <c r="B8" s="40">
        <v>2428.9630394969131</v>
      </c>
      <c r="C8" s="41">
        <f>L30</f>
        <v>500</v>
      </c>
      <c r="D8" s="42"/>
      <c r="E8" s="43"/>
      <c r="F8" s="44">
        <f>B8+C8+E8</f>
        <v>2928.9630394969131</v>
      </c>
      <c r="G8" s="45">
        <f>E48</f>
        <v>537.86894770819879</v>
      </c>
      <c r="H8" s="43">
        <v>0</v>
      </c>
      <c r="I8" s="46">
        <f>E48</f>
        <v>537.86894770819879</v>
      </c>
      <c r="J8" s="40">
        <f>F8-I8-H8</f>
        <v>2391.0940917887142</v>
      </c>
      <c r="K8" s="33">
        <v>2390</v>
      </c>
      <c r="L8" s="33">
        <v>2360</v>
      </c>
      <c r="M8" s="47">
        <f>I8</f>
        <v>537.86894770819879</v>
      </c>
      <c r="N8" s="35">
        <f>+F48</f>
        <v>15.49</v>
      </c>
      <c r="O8" s="48">
        <f>M8*N8</f>
        <v>8331.59</v>
      </c>
      <c r="P8" s="37">
        <f>+L8-J8</f>
        <v>-31.094091788714195</v>
      </c>
    </row>
    <row r="9" spans="1:17" s="38" customFormat="1" ht="15.6" thickBot="1" x14ac:dyDescent="0.35">
      <c r="A9" s="49" t="s">
        <v>32</v>
      </c>
      <c r="B9" s="50">
        <v>1299.7552430768724</v>
      </c>
      <c r="C9" s="51">
        <f>L32</f>
        <v>0</v>
      </c>
      <c r="D9" s="52"/>
      <c r="E9" s="53">
        <v>0</v>
      </c>
      <c r="F9" s="54">
        <f>B9+C9+E9</f>
        <v>1299.7552430768724</v>
      </c>
      <c r="G9" s="55">
        <f>E50</f>
        <v>174.47024198822763</v>
      </c>
      <c r="H9" s="53"/>
      <c r="I9" s="56">
        <f>E50</f>
        <v>174.47024198822763</v>
      </c>
      <c r="J9" s="50">
        <f>F9-I9-H9</f>
        <v>1125.2850010886448</v>
      </c>
      <c r="K9" s="33">
        <v>1300</v>
      </c>
      <c r="L9" s="33">
        <v>1130</v>
      </c>
      <c r="M9" s="57">
        <f>I9</f>
        <v>174.47024198822763</v>
      </c>
      <c r="N9" s="35">
        <f>+F50</f>
        <v>15.29</v>
      </c>
      <c r="O9" s="58">
        <f>M9*N9</f>
        <v>2667.65</v>
      </c>
      <c r="P9" s="37">
        <f>+L9-J9</f>
        <v>4.7149989113552238</v>
      </c>
    </row>
    <row r="10" spans="1:17" s="38" customFormat="1" ht="16.2" thickBot="1" x14ac:dyDescent="0.35">
      <c r="A10" s="59" t="s">
        <v>33</v>
      </c>
      <c r="B10" s="60">
        <v>6361.63</v>
      </c>
      <c r="C10" s="61">
        <f>SUM(C6:C9)</f>
        <v>3892.8659895962351</v>
      </c>
      <c r="D10" s="62"/>
      <c r="E10" s="63"/>
      <c r="F10" s="64">
        <f>SUM(F6:F9)</f>
        <v>10254.500038988854</v>
      </c>
      <c r="G10" s="65">
        <f>SUM(G6:G9)</f>
        <v>1527.5293379642924</v>
      </c>
      <c r="H10" s="60"/>
      <c r="I10" s="66">
        <f>SUM(I6:I9)</f>
        <v>1527.5293379642924</v>
      </c>
      <c r="J10" s="60">
        <f>SUM(J6:J9)</f>
        <v>8726.970701024562</v>
      </c>
      <c r="K10" s="67" t="e">
        <f>K6+K7+K8+#REF!+K9</f>
        <v>#REF!</v>
      </c>
      <c r="L10" s="67" t="e">
        <f>L6+L7+L8+#REF!+L9</f>
        <v>#REF!</v>
      </c>
      <c r="M10" s="68">
        <f>SUM(M6:M9)</f>
        <v>1527.5293379642924</v>
      </c>
      <c r="N10" s="69"/>
      <c r="O10" s="70">
        <f>SUM(O6:O9)</f>
        <v>18737.93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1527.5293379642924</v>
      </c>
      <c r="O12" s="84">
        <f>+O10</f>
        <v>18737.93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2259.87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663.76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15814.300000000001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>
        <v>1000</v>
      </c>
      <c r="M29" s="141" t="s">
        <v>125</v>
      </c>
      <c r="N29" s="141"/>
      <c r="O29" s="141" t="s">
        <v>117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>
        <v>500</v>
      </c>
      <c r="M30" s="141"/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>
        <v>4830</v>
      </c>
      <c r="M33" s="149" t="s">
        <v>126</v>
      </c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4194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11620.3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1540.66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719.21</v>
      </c>
      <c r="F41" s="192">
        <v>663.76</v>
      </c>
      <c r="G41" s="187"/>
      <c r="H41" s="86"/>
      <c r="I41" s="108" t="s">
        <v>33</v>
      </c>
      <c r="J41" s="193">
        <f>SUM(J38:J40)-J40</f>
        <v>15814.3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2259.87</v>
      </c>
      <c r="F42" s="192">
        <f>SUM(F40:F41)</f>
        <v>663.76</v>
      </c>
      <c r="G42" s="187">
        <f>SUM(E42:F42)</f>
        <v>2923.63</v>
      </c>
      <c r="H42" s="86"/>
      <c r="I42" s="5" t="s">
        <v>103</v>
      </c>
      <c r="J42" s="153">
        <f>O26-J41</f>
        <v>0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648.56608811749004</v>
      </c>
      <c r="F46" s="35">
        <v>7.49</v>
      </c>
      <c r="G46" s="214">
        <v>4857.76</v>
      </c>
      <c r="L46" s="38"/>
    </row>
    <row r="47" spans="1:15" ht="15.6" x14ac:dyDescent="0.3">
      <c r="D47" s="215" t="s">
        <v>107</v>
      </c>
      <c r="E47" s="216">
        <f>+G47/F47</f>
        <v>166.62406015037593</v>
      </c>
      <c r="F47" s="217">
        <v>17.29</v>
      </c>
      <c r="G47" s="218">
        <v>2880.93</v>
      </c>
      <c r="L47" s="38"/>
    </row>
    <row r="48" spans="1:15" ht="15.6" x14ac:dyDescent="0.3">
      <c r="D48" s="215" t="s">
        <v>108</v>
      </c>
      <c r="E48" s="216">
        <f>+G48/F48</f>
        <v>537.86894770819879</v>
      </c>
      <c r="F48" s="217">
        <v>15.49</v>
      </c>
      <c r="G48" s="218">
        <v>8331.59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174.47024198822763</v>
      </c>
      <c r="F50" s="221">
        <v>15.29</v>
      </c>
      <c r="G50" s="222">
        <v>2667.65</v>
      </c>
      <c r="L50" s="38"/>
      <c r="M50" s="38"/>
    </row>
    <row r="51" spans="4:13" ht="16.2" thickBot="1" x14ac:dyDescent="0.35">
      <c r="D51" s="223"/>
      <c r="E51" s="224">
        <f>SUM(E46:E50)</f>
        <v>1527.5293379642924</v>
      </c>
      <c r="F51" s="225"/>
      <c r="G51" s="226">
        <f>G46+G47+G48+G50</f>
        <v>18737.93</v>
      </c>
      <c r="J51" s="227">
        <f>G51-E42-F42-J41</f>
        <v>0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32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213B3F6-A2D9-486B-8DD7-16BAE28F63E8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FE53-D67A-43B8-82EE-722F23AB3E12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45762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471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3611.9632574016232</v>
      </c>
      <c r="C6" s="26">
        <f>L33/2.0185</f>
        <v>0</v>
      </c>
      <c r="D6" s="27"/>
      <c r="E6" s="28">
        <v>0</v>
      </c>
      <c r="F6" s="29">
        <f>B6+C6+E6</f>
        <v>3611.9632574016232</v>
      </c>
      <c r="G6" s="30">
        <f>E46</f>
        <v>703.3364485981308</v>
      </c>
      <c r="H6" s="31"/>
      <c r="I6" s="32">
        <f>E46</f>
        <v>703.3364485981308</v>
      </c>
      <c r="J6" s="25">
        <f>F6-I6-H6</f>
        <v>2908.6268088034922</v>
      </c>
      <c r="K6" s="33">
        <v>3600</v>
      </c>
      <c r="L6" s="33">
        <v>2900</v>
      </c>
      <c r="M6" s="34">
        <f>I6</f>
        <v>703.3364485981308</v>
      </c>
      <c r="N6" s="35">
        <f>+F46</f>
        <v>7.49</v>
      </c>
      <c r="O6" s="36">
        <f>M6*N6</f>
        <v>5267.99</v>
      </c>
      <c r="P6" s="37">
        <f>+L6-J6</f>
        <v>-8.6268088034921675</v>
      </c>
      <c r="Q6" s="38" t="s">
        <v>28</v>
      </c>
    </row>
    <row r="7" spans="1:17" s="38" customFormat="1" x14ac:dyDescent="0.3">
      <c r="A7" s="39" t="s">
        <v>149</v>
      </c>
      <c r="B7" s="40">
        <v>1598.6283507455792</v>
      </c>
      <c r="C7" s="41">
        <f>L29</f>
        <v>0</v>
      </c>
      <c r="D7" s="42"/>
      <c r="E7" s="43"/>
      <c r="F7" s="44">
        <f>B7+C7+E7</f>
        <v>1598.6283507455792</v>
      </c>
      <c r="G7" s="45">
        <f>E47</f>
        <v>172.43204164256795</v>
      </c>
      <c r="H7" s="43">
        <v>0</v>
      </c>
      <c r="I7" s="46">
        <f>E47</f>
        <v>172.43204164256795</v>
      </c>
      <c r="J7" s="40">
        <f>F7-I7-H7</f>
        <v>1426.1963091030111</v>
      </c>
      <c r="K7" s="33">
        <v>1560</v>
      </c>
      <c r="L7" s="33">
        <v>1400</v>
      </c>
      <c r="M7" s="47">
        <f>I7</f>
        <v>172.43204164256795</v>
      </c>
      <c r="N7" s="35">
        <f>+F47</f>
        <v>17.29</v>
      </c>
      <c r="O7" s="48">
        <f>M7*N7</f>
        <v>2981.35</v>
      </c>
      <c r="P7" s="37">
        <f>+L7-J7</f>
        <v>-26.196309103011117</v>
      </c>
    </row>
    <row r="8" spans="1:17" s="38" customFormat="1" x14ac:dyDescent="0.3">
      <c r="A8" s="39" t="s">
        <v>150</v>
      </c>
      <c r="B8" s="40">
        <v>2391.0940917887142</v>
      </c>
      <c r="C8" s="41">
        <f>L30</f>
        <v>0</v>
      </c>
      <c r="D8" s="42"/>
      <c r="E8" s="43"/>
      <c r="F8" s="44">
        <f>B8+C8+E8</f>
        <v>2391.0940917887142</v>
      </c>
      <c r="G8" s="45">
        <f>E48</f>
        <v>555.42414460942541</v>
      </c>
      <c r="H8" s="43">
        <v>0</v>
      </c>
      <c r="I8" s="46">
        <f>E48</f>
        <v>555.42414460942541</v>
      </c>
      <c r="J8" s="40">
        <f>F8-I8-H8</f>
        <v>1835.6699471792888</v>
      </c>
      <c r="K8" s="33">
        <v>2360</v>
      </c>
      <c r="L8" s="33">
        <v>1800</v>
      </c>
      <c r="M8" s="47">
        <f>I8</f>
        <v>555.42414460942541</v>
      </c>
      <c r="N8" s="35">
        <f>+F48</f>
        <v>15.49</v>
      </c>
      <c r="O8" s="48">
        <f>M8*N8</f>
        <v>8603.52</v>
      </c>
      <c r="P8" s="37">
        <f>+L8-J8</f>
        <v>-35.669947179288783</v>
      </c>
    </row>
    <row r="9" spans="1:17" s="38" customFormat="1" ht="15.6" thickBot="1" x14ac:dyDescent="0.35">
      <c r="A9" s="49" t="s">
        <v>32</v>
      </c>
      <c r="B9" s="50">
        <v>1125.2850010886448</v>
      </c>
      <c r="C9" s="51">
        <f>L32</f>
        <v>500</v>
      </c>
      <c r="D9" s="52"/>
      <c r="E9" s="53">
        <v>0</v>
      </c>
      <c r="F9" s="54">
        <f>B9+C9+E9</f>
        <v>1625.2850010886448</v>
      </c>
      <c r="G9" s="55">
        <f>E50</f>
        <v>193.15696533682146</v>
      </c>
      <c r="H9" s="53"/>
      <c r="I9" s="56">
        <f>E50</f>
        <v>193.15696533682146</v>
      </c>
      <c r="J9" s="50">
        <f>F9-I9-H9</f>
        <v>1432.1280357518233</v>
      </c>
      <c r="K9" s="33">
        <v>1130</v>
      </c>
      <c r="L9" s="33">
        <v>1430</v>
      </c>
      <c r="M9" s="57">
        <f>I9</f>
        <v>193.15696533682146</v>
      </c>
      <c r="N9" s="35">
        <f>+F50</f>
        <v>15.29</v>
      </c>
      <c r="O9" s="58">
        <f>M9*N9</f>
        <v>2953.37</v>
      </c>
      <c r="P9" s="37">
        <f>+L9-J9</f>
        <v>-2.1280357518232904</v>
      </c>
    </row>
    <row r="10" spans="1:17" s="38" customFormat="1" ht="16.2" thickBot="1" x14ac:dyDescent="0.35">
      <c r="A10" s="59" t="s">
        <v>33</v>
      </c>
      <c r="B10" s="60">
        <v>8726.9699999999993</v>
      </c>
      <c r="C10" s="61">
        <f>SUM(C6:C9)</f>
        <v>500</v>
      </c>
      <c r="D10" s="62"/>
      <c r="E10" s="63"/>
      <c r="F10" s="64">
        <f>SUM(F6:F9)</f>
        <v>9226.970701024562</v>
      </c>
      <c r="G10" s="65">
        <f>SUM(G6:G9)</f>
        <v>1624.3496001869457</v>
      </c>
      <c r="H10" s="60"/>
      <c r="I10" s="66">
        <f>SUM(I6:I9)</f>
        <v>1624.3496001869457</v>
      </c>
      <c r="J10" s="60">
        <f>SUM(J6:J9)</f>
        <v>7602.6211008376158</v>
      </c>
      <c r="K10" s="67" t="e">
        <f>K6+K7+K8+#REF!+K9</f>
        <v>#REF!</v>
      </c>
      <c r="L10" s="67" t="e">
        <f>L6+L7+L8+#REF!+L9</f>
        <v>#REF!</v>
      </c>
      <c r="M10" s="68">
        <f>SUM(M6:M9)</f>
        <v>1624.3496001869457</v>
      </c>
      <c r="N10" s="69"/>
      <c r="O10" s="70">
        <f>SUM(O6:O9)</f>
        <v>19806.23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1624.3496001869457</v>
      </c>
      <c r="O12" s="84">
        <f>+O10</f>
        <v>19806.23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6172.7999999999993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2839.89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10793.54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117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>
        <v>500</v>
      </c>
      <c r="M32" s="149" t="s">
        <v>127</v>
      </c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2428.1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8365.4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3649.99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2522.81</v>
      </c>
      <c r="F41" s="192">
        <v>2839.89</v>
      </c>
      <c r="G41" s="187"/>
      <c r="H41" s="86"/>
      <c r="I41" s="108" t="s">
        <v>33</v>
      </c>
      <c r="J41" s="193">
        <f>SUM(J38:J40)-J40</f>
        <v>10793.5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6172.7999999999993</v>
      </c>
      <c r="F42" s="192">
        <f>SUM(F40:F41)</f>
        <v>2839.89</v>
      </c>
      <c r="G42" s="187">
        <f>SUM(E42:F42)</f>
        <v>9012.6899999999987</v>
      </c>
      <c r="H42" s="86"/>
      <c r="I42" s="5" t="s">
        <v>103</v>
      </c>
      <c r="J42" s="153">
        <f>O26-J41</f>
        <v>4.0000000000873115E-2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703.3364485981308</v>
      </c>
      <c r="F46" s="35">
        <v>7.49</v>
      </c>
      <c r="G46" s="214">
        <v>5267.99</v>
      </c>
      <c r="L46" s="38"/>
    </row>
    <row r="47" spans="1:15" ht="15.6" x14ac:dyDescent="0.3">
      <c r="D47" s="215" t="s">
        <v>107</v>
      </c>
      <c r="E47" s="216">
        <f>+G47/F47</f>
        <v>172.43204164256795</v>
      </c>
      <c r="F47" s="217">
        <v>17.29</v>
      </c>
      <c r="G47" s="218">
        <v>2981.35</v>
      </c>
      <c r="L47" s="38"/>
    </row>
    <row r="48" spans="1:15" ht="15.6" x14ac:dyDescent="0.3">
      <c r="D48" s="215" t="s">
        <v>108</v>
      </c>
      <c r="E48" s="216">
        <f>+G48/F48</f>
        <v>555.42414460942541</v>
      </c>
      <c r="F48" s="217">
        <v>15.49</v>
      </c>
      <c r="G48" s="218">
        <v>8603.52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193.15696533682146</v>
      </c>
      <c r="F50" s="221">
        <v>15.29</v>
      </c>
      <c r="G50" s="222">
        <v>2953.37</v>
      </c>
      <c r="L50" s="38"/>
      <c r="M50" s="38"/>
    </row>
    <row r="51" spans="4:13" ht="16.2" thickBot="1" x14ac:dyDescent="0.35">
      <c r="D51" s="223"/>
      <c r="E51" s="224">
        <f>SUM(E46:E50)</f>
        <v>1624.3496001869457</v>
      </c>
      <c r="F51" s="225"/>
      <c r="G51" s="226">
        <f>G46+G47+G48+G50</f>
        <v>19806.23</v>
      </c>
      <c r="J51" s="227">
        <f>G51-E42-F42-J41</f>
        <v>4.0000000000873115E-2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30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C859D90-FA71-4C7F-9A50-3E42125DECC6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AEB2-B405-429A-9E54-4716E3FCE78A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45763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472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2908.6268088034922</v>
      </c>
      <c r="C6" s="26">
        <f>L33/2.0185</f>
        <v>0</v>
      </c>
      <c r="D6" s="27"/>
      <c r="E6" s="28">
        <v>0</v>
      </c>
      <c r="F6" s="29">
        <f>B6+C6+E6</f>
        <v>2908.6268088034922</v>
      </c>
      <c r="G6" s="30">
        <f>E46</f>
        <v>612.20961281708946</v>
      </c>
      <c r="H6" s="31"/>
      <c r="I6" s="32">
        <f>E46</f>
        <v>612.20961281708946</v>
      </c>
      <c r="J6" s="25">
        <f>F6-I6-H6</f>
        <v>2296.4171959864025</v>
      </c>
      <c r="K6" s="33">
        <v>2900</v>
      </c>
      <c r="L6" s="33">
        <v>2280</v>
      </c>
      <c r="M6" s="34">
        <f>I6</f>
        <v>612.20961281708946</v>
      </c>
      <c r="N6" s="35">
        <f>+F46</f>
        <v>7.49</v>
      </c>
      <c r="O6" s="36">
        <f>M6*N6</f>
        <v>4585.45</v>
      </c>
      <c r="P6" s="37">
        <f>+L6-J6</f>
        <v>-16.417195986402476</v>
      </c>
      <c r="Q6" s="38" t="s">
        <v>28</v>
      </c>
    </row>
    <row r="7" spans="1:17" s="38" customFormat="1" x14ac:dyDescent="0.3">
      <c r="A7" s="39" t="s">
        <v>149</v>
      </c>
      <c r="B7" s="40">
        <v>1426.1963091030111</v>
      </c>
      <c r="C7" s="41">
        <f>L29</f>
        <v>0</v>
      </c>
      <c r="D7" s="42"/>
      <c r="E7" s="43"/>
      <c r="F7" s="44">
        <f>B7+C7+E7</f>
        <v>1426.1963091030111</v>
      </c>
      <c r="G7" s="45">
        <f>E47</f>
        <v>176.78542510121457</v>
      </c>
      <c r="H7" s="43">
        <v>0</v>
      </c>
      <c r="I7" s="46">
        <f>E47</f>
        <v>176.78542510121457</v>
      </c>
      <c r="J7" s="40">
        <f>F7-I7-H7</f>
        <v>1249.4108840017966</v>
      </c>
      <c r="K7" s="33">
        <v>1400</v>
      </c>
      <c r="L7" s="33">
        <v>1230</v>
      </c>
      <c r="M7" s="47">
        <f>I7</f>
        <v>176.78542510121457</v>
      </c>
      <c r="N7" s="35">
        <f>+F47</f>
        <v>17.29</v>
      </c>
      <c r="O7" s="48">
        <f>M7*N7</f>
        <v>3056.62</v>
      </c>
      <c r="P7" s="37">
        <f>+L7-J7</f>
        <v>-19.410884001796603</v>
      </c>
    </row>
    <row r="8" spans="1:17" s="38" customFormat="1" x14ac:dyDescent="0.3">
      <c r="A8" s="39" t="s">
        <v>150</v>
      </c>
      <c r="B8" s="40">
        <v>1835.6699471792888</v>
      </c>
      <c r="C8" s="41">
        <f>L30</f>
        <v>0</v>
      </c>
      <c r="D8" s="42"/>
      <c r="E8" s="43"/>
      <c r="F8" s="44">
        <f>B8+C8+E8</f>
        <v>1835.6699471792888</v>
      </c>
      <c r="G8" s="45">
        <f>E48</f>
        <v>572.31116849580371</v>
      </c>
      <c r="H8" s="43">
        <v>0</v>
      </c>
      <c r="I8" s="46">
        <f>E48</f>
        <v>572.31116849580371</v>
      </c>
      <c r="J8" s="40">
        <f>F8-I8-H8</f>
        <v>1263.3587786834851</v>
      </c>
      <c r="K8" s="33">
        <v>1800</v>
      </c>
      <c r="L8" s="33">
        <v>1220</v>
      </c>
      <c r="M8" s="47">
        <f>I8</f>
        <v>572.31116849580371</v>
      </c>
      <c r="N8" s="35">
        <f>+F48</f>
        <v>15.49</v>
      </c>
      <c r="O8" s="48">
        <f>M8*N8</f>
        <v>8865.1</v>
      </c>
      <c r="P8" s="37">
        <f>+L8-J8</f>
        <v>-43.35877868348507</v>
      </c>
    </row>
    <row r="9" spans="1:17" s="38" customFormat="1" ht="15.6" thickBot="1" x14ac:dyDescent="0.35">
      <c r="A9" s="49" t="s">
        <v>32</v>
      </c>
      <c r="B9" s="50">
        <v>1432.1280357518233</v>
      </c>
      <c r="C9" s="51">
        <f>L32</f>
        <v>0</v>
      </c>
      <c r="D9" s="52"/>
      <c r="E9" s="53">
        <v>0</v>
      </c>
      <c r="F9" s="54">
        <f>B9+C9+E9</f>
        <v>1432.1280357518233</v>
      </c>
      <c r="G9" s="55">
        <f>E50</f>
        <v>188.11510791366908</v>
      </c>
      <c r="H9" s="53"/>
      <c r="I9" s="56">
        <f>E50</f>
        <v>188.11510791366908</v>
      </c>
      <c r="J9" s="50">
        <f>F9-I9-H9</f>
        <v>1244.0129278381542</v>
      </c>
      <c r="K9" s="33">
        <v>1430</v>
      </c>
      <c r="L9" s="33">
        <v>1250</v>
      </c>
      <c r="M9" s="57">
        <f>I9</f>
        <v>188.11510791366908</v>
      </c>
      <c r="N9" s="35">
        <f>+F50</f>
        <v>15.29</v>
      </c>
      <c r="O9" s="58">
        <f>M9*N9</f>
        <v>2876.28</v>
      </c>
      <c r="P9" s="37">
        <f>+L9-J9</f>
        <v>5.9870721618458447</v>
      </c>
    </row>
    <row r="10" spans="1:17" s="38" customFormat="1" ht="16.2" thickBot="1" x14ac:dyDescent="0.35">
      <c r="A10" s="59" t="s">
        <v>33</v>
      </c>
      <c r="B10" s="60">
        <v>7602.6211008376158</v>
      </c>
      <c r="C10" s="61">
        <f>SUM(C6:C9)</f>
        <v>0</v>
      </c>
      <c r="D10" s="62"/>
      <c r="E10" s="63"/>
      <c r="F10" s="64">
        <f>SUM(F6:F9)</f>
        <v>7602.6211008376158</v>
      </c>
      <c r="G10" s="65">
        <f>SUM(G6:G9)</f>
        <v>1549.4213143277768</v>
      </c>
      <c r="H10" s="60"/>
      <c r="I10" s="66">
        <f>SUM(I6:I9)</f>
        <v>1549.4213143277768</v>
      </c>
      <c r="J10" s="60">
        <f>SUM(J6:J9)</f>
        <v>6053.1997865098383</v>
      </c>
      <c r="K10" s="67" t="e">
        <f>K6+K7+K8+#REF!+K9</f>
        <v>#REF!</v>
      </c>
      <c r="L10" s="67" t="e">
        <f>L6+L7+L8+#REF!+L9</f>
        <v>#REF!</v>
      </c>
      <c r="M10" s="68">
        <f>SUM(M6:M9)</f>
        <v>1549.4213143277768</v>
      </c>
      <c r="N10" s="69"/>
      <c r="O10" s="70">
        <f>SUM(O6:O9)</f>
        <v>19383.449999999997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1549.4213143277768</v>
      </c>
      <c r="O12" s="84">
        <f>+O10</f>
        <v>19383.449999999997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3903.0299999999997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2081.85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13398.569999999998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117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2503.6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10894.7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1853.03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2050</v>
      </c>
      <c r="F41" s="192">
        <v>2081.85</v>
      </c>
      <c r="G41" s="187"/>
      <c r="H41" s="86"/>
      <c r="I41" s="108" t="s">
        <v>33</v>
      </c>
      <c r="J41" s="193">
        <f>SUM(J38:J40)-J40</f>
        <v>13398.300000000001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3903.0299999999997</v>
      </c>
      <c r="F42" s="192">
        <f>SUM(F40:F41)</f>
        <v>2081.85</v>
      </c>
      <c r="G42" s="187">
        <f>SUM(E42:F42)</f>
        <v>5984.8799999999992</v>
      </c>
      <c r="H42" s="86"/>
      <c r="I42" s="5" t="s">
        <v>103</v>
      </c>
      <c r="J42" s="153">
        <f>O26-J41</f>
        <v>0.26999999999679858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612.20961281708946</v>
      </c>
      <c r="F46" s="35">
        <v>7.49</v>
      </c>
      <c r="G46" s="214">
        <v>4585.45</v>
      </c>
      <c r="L46" s="38"/>
    </row>
    <row r="47" spans="1:15" ht="15.6" x14ac:dyDescent="0.3">
      <c r="D47" s="215" t="s">
        <v>107</v>
      </c>
      <c r="E47" s="216">
        <f>+G47/F47</f>
        <v>176.78542510121457</v>
      </c>
      <c r="F47" s="217">
        <v>17.29</v>
      </c>
      <c r="G47" s="218">
        <v>3056.62</v>
      </c>
      <c r="L47" s="38"/>
    </row>
    <row r="48" spans="1:15" ht="15.6" x14ac:dyDescent="0.3">
      <c r="D48" s="215" t="s">
        <v>108</v>
      </c>
      <c r="E48" s="216">
        <f>+G48/F48</f>
        <v>572.31116849580371</v>
      </c>
      <c r="F48" s="217">
        <v>15.49</v>
      </c>
      <c r="G48" s="218">
        <v>8865.1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188.11510791366908</v>
      </c>
      <c r="F50" s="221">
        <v>15.29</v>
      </c>
      <c r="G50" s="222">
        <v>2876.28</v>
      </c>
      <c r="L50" s="38"/>
      <c r="M50" s="38"/>
    </row>
    <row r="51" spans="4:13" ht="16.2" thickBot="1" x14ac:dyDescent="0.35">
      <c r="D51" s="223"/>
      <c r="E51" s="224">
        <f>SUM(E46:E50)</f>
        <v>1549.4213143277768</v>
      </c>
      <c r="F51" s="225"/>
      <c r="G51" s="226">
        <f>G46+G47+G48+G50</f>
        <v>19383.449999999997</v>
      </c>
      <c r="J51" s="227">
        <f>G51-E42-F42-J41</f>
        <v>0.26999999999679858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28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F843D21-4A73-4B5C-942C-876B81276125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E7BA-5D7C-49DF-A2A7-67ABFF6F6B9A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45764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473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2296.4171959864025</v>
      </c>
      <c r="C6" s="26">
        <f>L33/2.0185</f>
        <v>2382.9576418132278</v>
      </c>
      <c r="D6" s="27"/>
      <c r="E6" s="28">
        <v>0</v>
      </c>
      <c r="F6" s="29">
        <f>B6+C6+E6</f>
        <v>4679.3748377996308</v>
      </c>
      <c r="G6" s="30">
        <f>E46</f>
        <v>676.29506008010674</v>
      </c>
      <c r="H6" s="31"/>
      <c r="I6" s="32">
        <f>E46</f>
        <v>676.29506008010674</v>
      </c>
      <c r="J6" s="25">
        <f>F6-I6-H6</f>
        <v>4003.0797777195239</v>
      </c>
      <c r="K6" s="33">
        <v>2280</v>
      </c>
      <c r="L6" s="33">
        <v>4000</v>
      </c>
      <c r="M6" s="34">
        <f>I6</f>
        <v>676.29506008010674</v>
      </c>
      <c r="N6" s="35">
        <f>+F46</f>
        <v>7.49</v>
      </c>
      <c r="O6" s="36">
        <f>M6*N6</f>
        <v>5065.45</v>
      </c>
      <c r="P6" s="37">
        <f>+L6-J6</f>
        <v>-3.0797777195239178</v>
      </c>
      <c r="Q6" s="38" t="s">
        <v>28</v>
      </c>
    </row>
    <row r="7" spans="1:17" s="38" customFormat="1" x14ac:dyDescent="0.3">
      <c r="A7" s="39" t="s">
        <v>149</v>
      </c>
      <c r="B7" s="40">
        <v>1249.4108840017966</v>
      </c>
      <c r="C7" s="41">
        <f>L29</f>
        <v>0</v>
      </c>
      <c r="D7" s="42"/>
      <c r="E7" s="43"/>
      <c r="F7" s="44">
        <f>B7+C7+E7</f>
        <v>1249.4108840017966</v>
      </c>
      <c r="G7" s="45">
        <f>E47</f>
        <v>169.82706766917295</v>
      </c>
      <c r="H7" s="43">
        <v>0</v>
      </c>
      <c r="I7" s="46">
        <f>E47</f>
        <v>169.82706766917295</v>
      </c>
      <c r="J7" s="40">
        <f>F7-I7-H7</f>
        <v>1079.5838163326237</v>
      </c>
      <c r="K7" s="33">
        <v>1230</v>
      </c>
      <c r="L7" s="33">
        <v>1050</v>
      </c>
      <c r="M7" s="47">
        <f>I7</f>
        <v>169.82706766917295</v>
      </c>
      <c r="N7" s="35">
        <f>+F47</f>
        <v>17.29</v>
      </c>
      <c r="O7" s="48">
        <f>M7*N7</f>
        <v>2936.31</v>
      </c>
      <c r="P7" s="37">
        <f>+L7-J7</f>
        <v>-29.583816332623655</v>
      </c>
    </row>
    <row r="8" spans="1:17" s="38" customFormat="1" x14ac:dyDescent="0.3">
      <c r="A8" s="39" t="s">
        <v>150</v>
      </c>
      <c r="B8" s="40">
        <v>1263.3587786834851</v>
      </c>
      <c r="C8" s="41">
        <f>L30</f>
        <v>0</v>
      </c>
      <c r="D8" s="42"/>
      <c r="E8" s="43"/>
      <c r="F8" s="44">
        <f>B8+C8+E8</f>
        <v>1263.3587786834851</v>
      </c>
      <c r="G8" s="45">
        <f>E48</f>
        <v>513.46094254357649</v>
      </c>
      <c r="H8" s="43">
        <v>0</v>
      </c>
      <c r="I8" s="46">
        <f>E48</f>
        <v>513.46094254357649</v>
      </c>
      <c r="J8" s="40">
        <f>F8-I8-H8</f>
        <v>749.89783613990858</v>
      </c>
      <c r="K8" s="33">
        <v>1220</v>
      </c>
      <c r="L8" s="33">
        <v>710</v>
      </c>
      <c r="M8" s="47">
        <f>I8</f>
        <v>513.46094254357649</v>
      </c>
      <c r="N8" s="35">
        <f>+F48</f>
        <v>15.49</v>
      </c>
      <c r="O8" s="48">
        <f>M8*N8</f>
        <v>7953.51</v>
      </c>
      <c r="P8" s="37">
        <f>+L8-J8</f>
        <v>-39.897836139908577</v>
      </c>
    </row>
    <row r="9" spans="1:17" s="38" customFormat="1" ht="15.6" thickBot="1" x14ac:dyDescent="0.35">
      <c r="A9" s="49" t="s">
        <v>32</v>
      </c>
      <c r="B9" s="50">
        <v>1244.0129278381542</v>
      </c>
      <c r="C9" s="51">
        <f>L32</f>
        <v>0</v>
      </c>
      <c r="D9" s="52"/>
      <c r="E9" s="53">
        <v>0</v>
      </c>
      <c r="F9" s="54">
        <f>B9+C9+E9</f>
        <v>1244.0129278381542</v>
      </c>
      <c r="G9" s="55">
        <f>E50</f>
        <v>201.41203400915634</v>
      </c>
      <c r="H9" s="53"/>
      <c r="I9" s="56">
        <f>E50</f>
        <v>201.41203400915634</v>
      </c>
      <c r="J9" s="50">
        <f>F9-I9-H9</f>
        <v>1042.6008938289979</v>
      </c>
      <c r="K9" s="33">
        <v>1250</v>
      </c>
      <c r="L9" s="33">
        <v>1040</v>
      </c>
      <c r="M9" s="57">
        <f>I9</f>
        <v>201.41203400915634</v>
      </c>
      <c r="N9" s="35">
        <f>+F50</f>
        <v>15.29</v>
      </c>
      <c r="O9" s="58">
        <f>M9*N9</f>
        <v>3079.59</v>
      </c>
      <c r="P9" s="37">
        <f>+L9-J9</f>
        <v>-2.6008938289978687</v>
      </c>
    </row>
    <row r="10" spans="1:17" s="38" customFormat="1" ht="16.2" thickBot="1" x14ac:dyDescent="0.35">
      <c r="A10" s="59" t="s">
        <v>33</v>
      </c>
      <c r="B10" s="60">
        <v>6053.2</v>
      </c>
      <c r="C10" s="61">
        <f>SUM(C6:C9)</f>
        <v>2382.9576418132278</v>
      </c>
      <c r="D10" s="62"/>
      <c r="E10" s="63"/>
      <c r="F10" s="64">
        <f>SUM(F6:F9)</f>
        <v>8436.1574283230657</v>
      </c>
      <c r="G10" s="65">
        <f>SUM(G6:G9)</f>
        <v>1560.9951043020124</v>
      </c>
      <c r="H10" s="60"/>
      <c r="I10" s="66">
        <f>SUM(I6:I9)</f>
        <v>1560.9951043020124</v>
      </c>
      <c r="J10" s="60">
        <f>SUM(J6:J9)</f>
        <v>6875.1623240210538</v>
      </c>
      <c r="K10" s="67" t="e">
        <f>K6+K7+K8+#REF!+K9</f>
        <v>#REF!</v>
      </c>
      <c r="L10" s="67" t="e">
        <f>L6+L7+L8+#REF!+L9</f>
        <v>#REF!</v>
      </c>
      <c r="M10" s="68">
        <f>SUM(M6:M9)</f>
        <v>1560.9951043020124</v>
      </c>
      <c r="N10" s="69"/>
      <c r="O10" s="70">
        <f>SUM(O6:O9)</f>
        <v>19034.86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1560.9951043020124</v>
      </c>
      <c r="O12" s="84">
        <f>+O10</f>
        <v>19034.86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2290.94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1389.35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15354.570000000002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117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>
        <v>4810</v>
      </c>
      <c r="M33" s="149" t="s">
        <v>128</v>
      </c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3676.1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11678.2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905.59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1385.35</v>
      </c>
      <c r="F41" s="192">
        <v>1389.35</v>
      </c>
      <c r="G41" s="187"/>
      <c r="H41" s="86"/>
      <c r="I41" s="108" t="s">
        <v>33</v>
      </c>
      <c r="J41" s="193">
        <f>SUM(J38:J40)-J40</f>
        <v>15354.300000000001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2290.94</v>
      </c>
      <c r="F42" s="192">
        <f>SUM(F40:F41)</f>
        <v>1389.35</v>
      </c>
      <c r="G42" s="187">
        <f>SUM(E42:F42)</f>
        <v>3680.29</v>
      </c>
      <c r="H42" s="86"/>
      <c r="I42" s="5" t="s">
        <v>103</v>
      </c>
      <c r="J42" s="153">
        <f>O26-J41</f>
        <v>0.27000000000043656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676.29506008010674</v>
      </c>
      <c r="F46" s="35">
        <v>7.49</v>
      </c>
      <c r="G46" s="214">
        <v>5065.45</v>
      </c>
      <c r="L46" s="38"/>
    </row>
    <row r="47" spans="1:15" ht="15.6" x14ac:dyDescent="0.3">
      <c r="D47" s="215" t="s">
        <v>107</v>
      </c>
      <c r="E47" s="216">
        <f>+G47/F47</f>
        <v>169.82706766917295</v>
      </c>
      <c r="F47" s="217">
        <v>17.29</v>
      </c>
      <c r="G47" s="218">
        <v>2936.31</v>
      </c>
      <c r="L47" s="38"/>
    </row>
    <row r="48" spans="1:15" ht="15.6" x14ac:dyDescent="0.3">
      <c r="D48" s="215" t="s">
        <v>108</v>
      </c>
      <c r="E48" s="216">
        <f>+G48/F48</f>
        <v>513.46094254357649</v>
      </c>
      <c r="F48" s="217">
        <v>15.49</v>
      </c>
      <c r="G48" s="218">
        <v>7953.51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201.41203400915634</v>
      </c>
      <c r="F50" s="221">
        <v>15.29</v>
      </c>
      <c r="G50" s="222">
        <v>3079.59</v>
      </c>
      <c r="L50" s="38"/>
      <c r="M50" s="38"/>
    </row>
    <row r="51" spans="4:13" ht="16.2" thickBot="1" x14ac:dyDescent="0.35">
      <c r="D51" s="223"/>
      <c r="E51" s="224">
        <f>SUM(E46:E50)</f>
        <v>1560.9951043020124</v>
      </c>
      <c r="F51" s="225"/>
      <c r="G51" s="226">
        <f>G46+G47+G48+G50</f>
        <v>19034.86</v>
      </c>
      <c r="J51" s="227">
        <f>G51-E42-F42-J41</f>
        <v>0.27000000000043656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26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C3F3E3D-03E2-4777-AD14-CA7D3905BCFB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777C7-2D4E-4F70-92EC-8A60F8DDDD49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45765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474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4007.4856522188566</v>
      </c>
      <c r="C6" s="26">
        <f>L33/2.0185</f>
        <v>0</v>
      </c>
      <c r="D6" s="27"/>
      <c r="E6" s="28">
        <v>0</v>
      </c>
      <c r="F6" s="29">
        <f>B6+C6+E6</f>
        <v>4007.4856522188566</v>
      </c>
      <c r="G6" s="30">
        <f>E46</f>
        <v>623.95327102803731</v>
      </c>
      <c r="H6" s="31"/>
      <c r="I6" s="32">
        <f>E46</f>
        <v>623.95327102803731</v>
      </c>
      <c r="J6" s="25">
        <f>F6-I6-H6</f>
        <v>3383.5323811908193</v>
      </c>
      <c r="K6" s="33">
        <v>4000</v>
      </c>
      <c r="L6" s="33">
        <v>3400</v>
      </c>
      <c r="M6" s="34">
        <f>I6</f>
        <v>623.95327102803731</v>
      </c>
      <c r="N6" s="35">
        <f>+F46</f>
        <v>7.49</v>
      </c>
      <c r="O6" s="36">
        <f>M6*N6</f>
        <v>4673.41</v>
      </c>
      <c r="P6" s="37">
        <f>+L6-J6</f>
        <v>16.467618809180749</v>
      </c>
      <c r="Q6" s="38" t="s">
        <v>28</v>
      </c>
    </row>
    <row r="7" spans="1:17" s="38" customFormat="1" x14ac:dyDescent="0.3">
      <c r="A7" s="39" t="s">
        <v>149</v>
      </c>
      <c r="B7" s="40">
        <v>1079.5838163326237</v>
      </c>
      <c r="C7" s="41">
        <f>L29</f>
        <v>0</v>
      </c>
      <c r="D7" s="42"/>
      <c r="E7" s="43"/>
      <c r="F7" s="44">
        <f>B7+C7+E7</f>
        <v>1079.5838163326237</v>
      </c>
      <c r="G7" s="45">
        <f>E47</f>
        <v>160.18276460381725</v>
      </c>
      <c r="H7" s="43">
        <v>0</v>
      </c>
      <c r="I7" s="46">
        <f>E47</f>
        <v>160.18276460381725</v>
      </c>
      <c r="J7" s="40">
        <f>F7-I7-H7</f>
        <v>919.40105172880635</v>
      </c>
      <c r="K7" s="33">
        <v>1050</v>
      </c>
      <c r="L7" s="33">
        <v>890</v>
      </c>
      <c r="M7" s="47">
        <f>I7</f>
        <v>160.18276460381725</v>
      </c>
      <c r="N7" s="35">
        <f>+F47</f>
        <v>17.29</v>
      </c>
      <c r="O7" s="48">
        <f>M7*N7</f>
        <v>2769.56</v>
      </c>
      <c r="P7" s="37">
        <f>+L7-J7</f>
        <v>-29.401051728806351</v>
      </c>
    </row>
    <row r="8" spans="1:17" s="38" customFormat="1" x14ac:dyDescent="0.3">
      <c r="A8" s="39" t="s">
        <v>150</v>
      </c>
      <c r="B8" s="40">
        <v>749.89783613990858</v>
      </c>
      <c r="C8" s="41">
        <f>L30</f>
        <v>0</v>
      </c>
      <c r="D8" s="42"/>
      <c r="E8" s="43"/>
      <c r="F8" s="44">
        <f>B8+C8+E8</f>
        <v>749.89783613990858</v>
      </c>
      <c r="G8" s="45">
        <f>E48</f>
        <v>523.64428663653973</v>
      </c>
      <c r="H8" s="43">
        <v>0</v>
      </c>
      <c r="I8" s="46">
        <f>E48</f>
        <v>523.64428663653973</v>
      </c>
      <c r="J8" s="40">
        <f>F8-I8-H8</f>
        <v>226.25354950336884</v>
      </c>
      <c r="K8" s="33">
        <v>710</v>
      </c>
      <c r="L8" s="33">
        <v>190</v>
      </c>
      <c r="M8" s="47">
        <f>I8</f>
        <v>523.64428663653973</v>
      </c>
      <c r="N8" s="35">
        <f>+F48</f>
        <v>15.49</v>
      </c>
      <c r="O8" s="48">
        <f>M8*N8</f>
        <v>8111.2500000000009</v>
      </c>
      <c r="P8" s="37">
        <f>+L8-J8</f>
        <v>-36.253549503368845</v>
      </c>
    </row>
    <row r="9" spans="1:17" s="38" customFormat="1" ht="15.6" thickBot="1" x14ac:dyDescent="0.35">
      <c r="A9" s="49" t="s">
        <v>32</v>
      </c>
      <c r="B9" s="50">
        <v>1042.6008938289979</v>
      </c>
      <c r="C9" s="51">
        <f>L32</f>
        <v>0</v>
      </c>
      <c r="D9" s="52"/>
      <c r="E9" s="53">
        <v>0</v>
      </c>
      <c r="F9" s="54">
        <f>B9+C9+E9</f>
        <v>1042.6008938289979</v>
      </c>
      <c r="G9" s="55">
        <f>E50</f>
        <v>139.76389797253105</v>
      </c>
      <c r="H9" s="53"/>
      <c r="I9" s="56">
        <f>E50</f>
        <v>139.76389797253105</v>
      </c>
      <c r="J9" s="50">
        <f>F9-I9-H9</f>
        <v>902.83699585646684</v>
      </c>
      <c r="K9" s="33">
        <v>1040</v>
      </c>
      <c r="L9" s="33">
        <v>900</v>
      </c>
      <c r="M9" s="57">
        <f>I9</f>
        <v>139.76389797253105</v>
      </c>
      <c r="N9" s="35">
        <f>+F50</f>
        <v>15.29</v>
      </c>
      <c r="O9" s="58">
        <f>M9*N9</f>
        <v>2136.9899999999998</v>
      </c>
      <c r="P9" s="37">
        <f>+L9-J9</f>
        <v>-2.8369958564668423</v>
      </c>
    </row>
    <row r="10" spans="1:17" s="38" customFormat="1" ht="16.2" thickBot="1" x14ac:dyDescent="0.35">
      <c r="A10" s="59" t="s">
        <v>33</v>
      </c>
      <c r="B10" s="60">
        <v>6879.57</v>
      </c>
      <c r="C10" s="61">
        <f>SUM(C6:C9)</f>
        <v>0</v>
      </c>
      <c r="D10" s="62"/>
      <c r="E10" s="63"/>
      <c r="F10" s="64">
        <f>SUM(F6:F9)</f>
        <v>6879.5681985203864</v>
      </c>
      <c r="G10" s="65">
        <f>SUM(G6:G9)</f>
        <v>1447.5442202409254</v>
      </c>
      <c r="H10" s="60"/>
      <c r="I10" s="66">
        <f>SUM(I6:I9)</f>
        <v>1447.5442202409254</v>
      </c>
      <c r="J10" s="60">
        <f>SUM(J6:J9)</f>
        <v>5432.0239782794615</v>
      </c>
      <c r="K10" s="67" t="e">
        <f>K6+K7+K8+#REF!+K9</f>
        <v>#REF!</v>
      </c>
      <c r="L10" s="67" t="e">
        <f>L6+L7+L8+#REF!+L9</f>
        <v>#REF!</v>
      </c>
      <c r="M10" s="68">
        <f>SUM(M6:M9)</f>
        <v>1447.5442202409254</v>
      </c>
      <c r="N10" s="69"/>
      <c r="O10" s="70">
        <f>SUM(O6:O9)</f>
        <v>17691.21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1447.5442202409254</v>
      </c>
      <c r="O12" s="84">
        <f>+O10</f>
        <v>17691.21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2921.77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1929.74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12839.699999999999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117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2743.6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10096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880.79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2040.98</v>
      </c>
      <c r="F41" s="192">
        <v>1929.74</v>
      </c>
      <c r="G41" s="187"/>
      <c r="H41" s="86"/>
      <c r="I41" s="108" t="s">
        <v>33</v>
      </c>
      <c r="J41" s="193">
        <f>SUM(J38:J40)-J40</f>
        <v>12839.6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2921.77</v>
      </c>
      <c r="F42" s="192">
        <f>SUM(F40:F41)</f>
        <v>1929.74</v>
      </c>
      <c r="G42" s="187">
        <f>SUM(E42:F42)</f>
        <v>4851.51</v>
      </c>
      <c r="H42" s="86"/>
      <c r="I42" s="5" t="s">
        <v>103</v>
      </c>
      <c r="J42" s="153">
        <f>O26-J41</f>
        <v>9.9999999998544808E-2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623.95327102803731</v>
      </c>
      <c r="F46" s="35">
        <v>7.49</v>
      </c>
      <c r="G46" s="214">
        <v>4673.41</v>
      </c>
      <c r="L46" s="38"/>
    </row>
    <row r="47" spans="1:15" ht="15.6" x14ac:dyDescent="0.3">
      <c r="D47" s="215" t="s">
        <v>107</v>
      </c>
      <c r="E47" s="216">
        <f>+G47/F47</f>
        <v>160.18276460381725</v>
      </c>
      <c r="F47" s="217">
        <v>17.29</v>
      </c>
      <c r="G47" s="218">
        <v>2769.56</v>
      </c>
      <c r="L47" s="38"/>
    </row>
    <row r="48" spans="1:15" ht="15.6" x14ac:dyDescent="0.3">
      <c r="D48" s="215" t="s">
        <v>108</v>
      </c>
      <c r="E48" s="216">
        <f>+G48/F48</f>
        <v>523.64428663653973</v>
      </c>
      <c r="F48" s="217">
        <v>15.49</v>
      </c>
      <c r="G48" s="218">
        <v>8111.25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139.76389797253105</v>
      </c>
      <c r="F50" s="221">
        <v>15.29</v>
      </c>
      <c r="G50" s="222">
        <v>2136.9899999999998</v>
      </c>
      <c r="L50" s="38"/>
      <c r="M50" s="38"/>
    </row>
    <row r="51" spans="4:13" ht="16.2" thickBot="1" x14ac:dyDescent="0.35">
      <c r="D51" s="223"/>
      <c r="E51" s="224">
        <f>SUM(E46:E50)</f>
        <v>1447.5442202409254</v>
      </c>
      <c r="F51" s="225"/>
      <c r="G51" s="226">
        <f>G46+G47+G48+G50</f>
        <v>17691.21</v>
      </c>
      <c r="J51" s="227">
        <f>G51-E42-F42-J41</f>
        <v>9.9999999998544808E-2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24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8F8C121-942A-4F33-8A64-2F554C673A82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EEA2-0DBD-4DC5-ACCF-4EC245BBD2AB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45766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475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3383.5323811908193</v>
      </c>
      <c r="C6" s="26">
        <f>L33/2.0185</f>
        <v>0</v>
      </c>
      <c r="D6" s="27"/>
      <c r="E6" s="28">
        <v>0</v>
      </c>
      <c r="F6" s="29">
        <f>B6+C6+E6</f>
        <v>3383.5323811908193</v>
      </c>
      <c r="G6" s="30">
        <f>E46</f>
        <v>657.60347129505999</v>
      </c>
      <c r="H6" s="31"/>
      <c r="I6" s="32">
        <f>E46</f>
        <v>657.60347129505999</v>
      </c>
      <c r="J6" s="25">
        <f>F6-I6-H6</f>
        <v>2725.9289098957593</v>
      </c>
      <c r="K6" s="33">
        <v>3400</v>
      </c>
      <c r="L6" s="33">
        <v>2700</v>
      </c>
      <c r="M6" s="34">
        <f>I6</f>
        <v>657.60347129505999</v>
      </c>
      <c r="N6" s="35">
        <f>+F46</f>
        <v>7.49</v>
      </c>
      <c r="O6" s="36">
        <f>M6*N6</f>
        <v>4925.45</v>
      </c>
      <c r="P6" s="37">
        <f>+L6-J6</f>
        <v>-25.928909895759261</v>
      </c>
      <c r="Q6" s="38" t="s">
        <v>28</v>
      </c>
    </row>
    <row r="7" spans="1:17" s="38" customFormat="1" x14ac:dyDescent="0.3">
      <c r="A7" s="39" t="s">
        <v>149</v>
      </c>
      <c r="B7" s="40">
        <v>919.40105172880635</v>
      </c>
      <c r="C7" s="41">
        <f>L29</f>
        <v>1150</v>
      </c>
      <c r="D7" s="42"/>
      <c r="E7" s="43"/>
      <c r="F7" s="44">
        <f>B7+C7+E7</f>
        <v>2069.4010517288061</v>
      </c>
      <c r="G7" s="45">
        <f>E47</f>
        <v>252.77906304222097</v>
      </c>
      <c r="H7" s="43">
        <v>0</v>
      </c>
      <c r="I7" s="46">
        <f>E47</f>
        <v>252.77906304222097</v>
      </c>
      <c r="J7" s="40">
        <f>F7-I7-H7</f>
        <v>1816.6219886865852</v>
      </c>
      <c r="K7" s="33">
        <v>890</v>
      </c>
      <c r="L7" s="33">
        <v>1790</v>
      </c>
      <c r="M7" s="47">
        <f>I7</f>
        <v>252.77906304222097</v>
      </c>
      <c r="N7" s="35">
        <f>+F47</f>
        <v>17.29</v>
      </c>
      <c r="O7" s="48">
        <f>M7*N7</f>
        <v>4370.55</v>
      </c>
      <c r="P7" s="37">
        <f>+L7-J7</f>
        <v>-26.621988686585155</v>
      </c>
    </row>
    <row r="8" spans="1:17" s="38" customFormat="1" x14ac:dyDescent="0.3">
      <c r="A8" s="39" t="s">
        <v>150</v>
      </c>
      <c r="B8" s="40">
        <v>226.25354950336884</v>
      </c>
      <c r="C8" s="41">
        <f>L30</f>
        <v>2850</v>
      </c>
      <c r="D8" s="42"/>
      <c r="E8" s="43"/>
      <c r="F8" s="44">
        <f>B8+C8+E8</f>
        <v>3076.253549503369</v>
      </c>
      <c r="G8" s="45">
        <f>E48</f>
        <v>241.84183344092963</v>
      </c>
      <c r="H8" s="43">
        <v>0</v>
      </c>
      <c r="I8" s="46">
        <f>E48</f>
        <v>241.84183344092963</v>
      </c>
      <c r="J8" s="40">
        <f>F8-I8-H8</f>
        <v>2834.4117160624392</v>
      </c>
      <c r="K8" s="33">
        <v>190</v>
      </c>
      <c r="L8" s="33">
        <v>2780</v>
      </c>
      <c r="M8" s="47">
        <f>I8</f>
        <v>241.84183344092963</v>
      </c>
      <c r="N8" s="35">
        <f>+F48</f>
        <v>15.49</v>
      </c>
      <c r="O8" s="48">
        <f>M8*N8</f>
        <v>3746.13</v>
      </c>
      <c r="P8" s="37">
        <f>+L8-J8</f>
        <v>-54.411716062439154</v>
      </c>
    </row>
    <row r="9" spans="1:17" s="38" customFormat="1" ht="15.6" thickBot="1" x14ac:dyDescent="0.35">
      <c r="A9" s="49" t="s">
        <v>32</v>
      </c>
      <c r="B9" s="50">
        <v>902.83699585646684</v>
      </c>
      <c r="C9" s="51">
        <f>L32</f>
        <v>1050</v>
      </c>
      <c r="D9" s="52"/>
      <c r="E9" s="53">
        <v>0</v>
      </c>
      <c r="F9" s="54">
        <f>B9+C9+E9</f>
        <v>1952.8369958564667</v>
      </c>
      <c r="G9" s="55">
        <f>E50</f>
        <v>154.77894048397647</v>
      </c>
      <c r="H9" s="53"/>
      <c r="I9" s="56">
        <f>E50</f>
        <v>154.77894048397647</v>
      </c>
      <c r="J9" s="50">
        <f>F9-I9-H9</f>
        <v>1798.0580553724903</v>
      </c>
      <c r="K9" s="33">
        <v>900</v>
      </c>
      <c r="L9" s="33">
        <v>1800</v>
      </c>
      <c r="M9" s="57">
        <f>I9</f>
        <v>154.77894048397647</v>
      </c>
      <c r="N9" s="35">
        <f>+F50</f>
        <v>15.29</v>
      </c>
      <c r="O9" s="58">
        <f>M9*N9</f>
        <v>2366.5700000000002</v>
      </c>
      <c r="P9" s="37">
        <f>+L9-J9</f>
        <v>1.9419446275096561</v>
      </c>
    </row>
    <row r="10" spans="1:17" s="38" customFormat="1" ht="16.2" thickBot="1" x14ac:dyDescent="0.35">
      <c r="A10" s="59" t="s">
        <v>33</v>
      </c>
      <c r="B10" s="60">
        <v>5432.02</v>
      </c>
      <c r="C10" s="61">
        <f>SUM(C6:C9)</f>
        <v>5050</v>
      </c>
      <c r="D10" s="62"/>
      <c r="E10" s="63"/>
      <c r="F10" s="64">
        <f>SUM(F6:F9)</f>
        <v>10482.023978279462</v>
      </c>
      <c r="G10" s="65">
        <f>SUM(G6:G9)</f>
        <v>1307.0033082621869</v>
      </c>
      <c r="H10" s="60"/>
      <c r="I10" s="66">
        <f>SUM(I6:I9)</f>
        <v>1307.0033082621869</v>
      </c>
      <c r="J10" s="60">
        <f>SUM(J6:J9)</f>
        <v>9175.0206700172748</v>
      </c>
      <c r="K10" s="67" t="e">
        <f>K6+K7+K8+#REF!+K9</f>
        <v>#REF!</v>
      </c>
      <c r="L10" s="67" t="e">
        <f>L6+L7+L8+#REF!+L9</f>
        <v>#REF!</v>
      </c>
      <c r="M10" s="68">
        <f>SUM(M6:M9)</f>
        <v>1307.0033082621869</v>
      </c>
      <c r="N10" s="69"/>
      <c r="O10" s="70">
        <f>SUM(O6:O9)</f>
        <v>15408.7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1307.0033082621869</v>
      </c>
      <c r="O12" s="84">
        <f>+O10</f>
        <v>15408.7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3320.9399999999996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1564.92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300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5</v>
      </c>
      <c r="O22" s="113">
        <v>76.5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10146.340000000002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>
        <v>1150</v>
      </c>
      <c r="M29" s="141" t="s">
        <v>129</v>
      </c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>
        <v>2850</v>
      </c>
      <c r="M30" s="141" t="s">
        <v>129</v>
      </c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>
        <v>1050</v>
      </c>
      <c r="M32" s="149" t="s">
        <v>130</v>
      </c>
      <c r="N32" s="141"/>
      <c r="O32" s="141" t="s">
        <v>79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3360.5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6785.8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2618.2399999999998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702.7</v>
      </c>
      <c r="F41" s="192">
        <v>1564.92</v>
      </c>
      <c r="G41" s="187"/>
      <c r="H41" s="86"/>
      <c r="I41" s="108" t="s">
        <v>33</v>
      </c>
      <c r="J41" s="193">
        <f>SUM(J38:J40)-J40</f>
        <v>10146.299999999999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3320.9399999999996</v>
      </c>
      <c r="F42" s="192">
        <f>SUM(F40:F41)</f>
        <v>1564.92</v>
      </c>
      <c r="G42" s="187">
        <f>SUM(E42:F42)</f>
        <v>4885.8599999999997</v>
      </c>
      <c r="H42" s="86"/>
      <c r="I42" s="5" t="s">
        <v>103</v>
      </c>
      <c r="J42" s="153">
        <f>O26-J41</f>
        <v>4.0000000002692104E-2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657.60347129505999</v>
      </c>
      <c r="F46" s="35">
        <v>7.49</v>
      </c>
      <c r="G46" s="214">
        <v>4925.45</v>
      </c>
      <c r="L46" s="38"/>
    </row>
    <row r="47" spans="1:15" ht="15.6" x14ac:dyDescent="0.3">
      <c r="D47" s="215" t="s">
        <v>107</v>
      </c>
      <c r="E47" s="216">
        <f>+G47/F47</f>
        <v>252.77906304222097</v>
      </c>
      <c r="F47" s="217">
        <v>17.29</v>
      </c>
      <c r="G47" s="218">
        <v>4370.55</v>
      </c>
      <c r="L47" s="38"/>
    </row>
    <row r="48" spans="1:15" ht="15.6" x14ac:dyDescent="0.3">
      <c r="D48" s="215" t="s">
        <v>108</v>
      </c>
      <c r="E48" s="216">
        <f>+G48/F48</f>
        <v>241.84183344092963</v>
      </c>
      <c r="F48" s="217">
        <v>15.49</v>
      </c>
      <c r="G48" s="218">
        <v>3746.13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154.77894048397647</v>
      </c>
      <c r="F50" s="221">
        <v>15.29</v>
      </c>
      <c r="G50" s="222">
        <v>2366.5700000000002</v>
      </c>
      <c r="L50" s="38"/>
      <c r="M50" s="38"/>
    </row>
    <row r="51" spans="4:13" ht="16.2" thickBot="1" x14ac:dyDescent="0.35">
      <c r="D51" s="223"/>
      <c r="E51" s="224">
        <f>SUM(E46:E50)</f>
        <v>1307.0033082621869</v>
      </c>
      <c r="F51" s="225"/>
      <c r="G51" s="226">
        <f>G46+G47+G48+G50</f>
        <v>15408.7</v>
      </c>
      <c r="J51" s="227">
        <f>G51-E42-F42-J41</f>
        <v>376.54000000000269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22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0FFC01-46B1-4AD2-A03A-CC1A49D3D993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D930-B9C5-426A-83E3-932BB053AD25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45749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458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2706.0391938413568</v>
      </c>
      <c r="C6" s="26">
        <f>L33/2.0185</f>
        <v>0</v>
      </c>
      <c r="D6" s="27"/>
      <c r="E6" s="28">
        <v>0</v>
      </c>
      <c r="F6" s="29">
        <f>B6+C6+E6</f>
        <v>2706.0391938413568</v>
      </c>
      <c r="G6" s="30">
        <f>E46</f>
        <v>670.10413885180242</v>
      </c>
      <c r="H6" s="31"/>
      <c r="I6" s="32">
        <f>E46</f>
        <v>670.10413885180242</v>
      </c>
      <c r="J6" s="25">
        <f>F6-I6-H6</f>
        <v>2035.9350549895544</v>
      </c>
      <c r="K6" s="33">
        <v>2700</v>
      </c>
      <c r="L6" s="33">
        <v>2000</v>
      </c>
      <c r="M6" s="34">
        <f>I6</f>
        <v>670.10413885180242</v>
      </c>
      <c r="N6" s="35">
        <f>+F46</f>
        <v>7.49</v>
      </c>
      <c r="O6" s="36">
        <f>M6*N6</f>
        <v>5019.08</v>
      </c>
      <c r="P6" s="37">
        <f>+L6-J6</f>
        <v>-35.935054989554374</v>
      </c>
      <c r="Q6" s="38" t="s">
        <v>28</v>
      </c>
    </row>
    <row r="7" spans="1:17" s="38" customFormat="1" x14ac:dyDescent="0.3">
      <c r="A7" s="39" t="s">
        <v>149</v>
      </c>
      <c r="B7" s="40">
        <v>1825.874157570333</v>
      </c>
      <c r="C7" s="41">
        <f>L29</f>
        <v>0</v>
      </c>
      <c r="D7" s="42"/>
      <c r="E7" s="43"/>
      <c r="F7" s="44">
        <f>B7+C7+E7</f>
        <v>1825.874157570333</v>
      </c>
      <c r="G7" s="45">
        <f>E47</f>
        <v>202.17004048582996</v>
      </c>
      <c r="H7" s="43">
        <v>0</v>
      </c>
      <c r="I7" s="46">
        <f>E47</f>
        <v>202.17004048582996</v>
      </c>
      <c r="J7" s="40">
        <f>F7-I7-H7</f>
        <v>1623.704117084503</v>
      </c>
      <c r="K7" s="33">
        <v>1800</v>
      </c>
      <c r="L7" s="33">
        <v>1620</v>
      </c>
      <c r="M7" s="47">
        <f>I7</f>
        <v>202.17004048582996</v>
      </c>
      <c r="N7" s="35">
        <f>+F47</f>
        <v>17.29</v>
      </c>
      <c r="O7" s="48">
        <f>M7*N7</f>
        <v>3495.52</v>
      </c>
      <c r="P7" s="37">
        <f>+L7-J7</f>
        <v>-3.7041170845029683</v>
      </c>
    </row>
    <row r="8" spans="1:17" s="38" customFormat="1" x14ac:dyDescent="0.3">
      <c r="A8" s="39" t="s">
        <v>150</v>
      </c>
      <c r="B8" s="40">
        <v>2731.2180427248013</v>
      </c>
      <c r="C8" s="41">
        <f>L30</f>
        <v>0</v>
      </c>
      <c r="D8" s="42"/>
      <c r="E8" s="43"/>
      <c r="F8" s="44">
        <f>B8+C8+E8</f>
        <v>2731.2180427248013</v>
      </c>
      <c r="G8" s="45">
        <f>E48</f>
        <v>530.95868302130407</v>
      </c>
      <c r="H8" s="43">
        <v>0</v>
      </c>
      <c r="I8" s="46">
        <f>E48</f>
        <v>530.95868302130407</v>
      </c>
      <c r="J8" s="40">
        <f>F8-I8-H8</f>
        <v>2200.2593597034975</v>
      </c>
      <c r="K8" s="33">
        <v>2700</v>
      </c>
      <c r="L8" s="33">
        <v>2180</v>
      </c>
      <c r="M8" s="47">
        <f>I8</f>
        <v>530.95868302130407</v>
      </c>
      <c r="N8" s="35">
        <f>+F48</f>
        <v>15.49</v>
      </c>
      <c r="O8" s="48">
        <f>M8*N8</f>
        <v>8224.5499999999993</v>
      </c>
      <c r="P8" s="37">
        <f>+L8-J8</f>
        <v>-20.259359703497466</v>
      </c>
    </row>
    <row r="9" spans="1:17" s="38" customFormat="1" ht="15.6" thickBot="1" x14ac:dyDescent="0.35">
      <c r="A9" s="49" t="s">
        <v>32</v>
      </c>
      <c r="B9" s="50">
        <v>1619.4524307812544</v>
      </c>
      <c r="C9" s="51">
        <f>L32</f>
        <v>0</v>
      </c>
      <c r="D9" s="52"/>
      <c r="E9" s="53">
        <v>0</v>
      </c>
      <c r="F9" s="54">
        <f>B9+C9+E9</f>
        <v>1619.4524307812544</v>
      </c>
      <c r="G9" s="55">
        <f>E50</f>
        <v>166.40876389797253</v>
      </c>
      <c r="H9" s="53"/>
      <c r="I9" s="56">
        <f>E50</f>
        <v>166.40876389797253</v>
      </c>
      <c r="J9" s="50">
        <f>F9-I9-H9</f>
        <v>1453.043666883282</v>
      </c>
      <c r="K9" s="33">
        <v>1620</v>
      </c>
      <c r="L9" s="33">
        <v>1450</v>
      </c>
      <c r="M9" s="57">
        <f>I9</f>
        <v>166.40876389797253</v>
      </c>
      <c r="N9" s="35">
        <f>+F50</f>
        <v>15.29</v>
      </c>
      <c r="O9" s="58">
        <f>M9*N9</f>
        <v>2544.39</v>
      </c>
      <c r="P9" s="37">
        <f>+L9-J9</f>
        <v>-3.0436668832819578</v>
      </c>
    </row>
    <row r="10" spans="1:17" s="38" customFormat="1" ht="16.2" thickBot="1" x14ac:dyDescent="0.35">
      <c r="A10" s="59" t="s">
        <v>33</v>
      </c>
      <c r="B10" s="60">
        <v>7060</v>
      </c>
      <c r="C10" s="61">
        <f>SUM(C6:C9)</f>
        <v>0</v>
      </c>
      <c r="D10" s="62"/>
      <c r="E10" s="63"/>
      <c r="F10" s="64">
        <f>SUM(F6:F9)</f>
        <v>8882.583824917745</v>
      </c>
      <c r="G10" s="65">
        <f>SUM(G6:G9)</f>
        <v>1569.6416262569089</v>
      </c>
      <c r="H10" s="60"/>
      <c r="I10" s="66">
        <f>SUM(I6:I9)</f>
        <v>1569.6416262569089</v>
      </c>
      <c r="J10" s="60">
        <f>SUM(J6:J9)</f>
        <v>7312.9421986608368</v>
      </c>
      <c r="K10" s="67" t="e">
        <f>K6+K7+K8+#REF!+K9</f>
        <v>#REF!</v>
      </c>
      <c r="L10" s="67" t="e">
        <f>L6+L7+L8+#REF!+L9</f>
        <v>#REF!</v>
      </c>
      <c r="M10" s="68">
        <f>SUM(M6:M9)</f>
        <v>1569.6416262569089</v>
      </c>
      <c r="N10" s="69"/>
      <c r="O10" s="70">
        <f>SUM(O6:O9)</f>
        <v>19283.54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1569.6416262569089</v>
      </c>
      <c r="O12" s="84">
        <f>+O10</f>
        <v>19283.54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3747.0699999999997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889.18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58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300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11.79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14335.5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78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1"/>
      <c r="N33" s="147"/>
      <c r="O33" s="152" t="s">
        <v>83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4130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10205.5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3139.47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607.6</v>
      </c>
      <c r="F41" s="192">
        <v>889.18</v>
      </c>
      <c r="G41" s="187"/>
      <c r="H41" s="86"/>
      <c r="I41" s="108" t="s">
        <v>33</v>
      </c>
      <c r="J41" s="193">
        <f>SUM(J38:J40)-J40</f>
        <v>14335.5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3747.0699999999997</v>
      </c>
      <c r="F42" s="192">
        <f>SUM(F40:F41)</f>
        <v>889.18</v>
      </c>
      <c r="G42" s="187">
        <f>SUM(E42:F42)</f>
        <v>4636.25</v>
      </c>
      <c r="H42" s="86"/>
      <c r="I42" s="5" t="s">
        <v>103</v>
      </c>
      <c r="J42" s="153">
        <f>O26-J41</f>
        <v>0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670.10413885180242</v>
      </c>
      <c r="F46" s="35">
        <v>7.49</v>
      </c>
      <c r="G46" s="214">
        <v>5019.08</v>
      </c>
      <c r="L46" s="38"/>
    </row>
    <row r="47" spans="1:15" ht="15.6" x14ac:dyDescent="0.3">
      <c r="D47" s="215" t="s">
        <v>107</v>
      </c>
      <c r="E47" s="216">
        <f>+G47/F47</f>
        <v>202.17004048582996</v>
      </c>
      <c r="F47" s="217">
        <v>17.29</v>
      </c>
      <c r="G47" s="218">
        <v>3495.52</v>
      </c>
      <c r="L47" s="38"/>
    </row>
    <row r="48" spans="1:15" ht="15.6" x14ac:dyDescent="0.3">
      <c r="D48" s="215" t="s">
        <v>108</v>
      </c>
      <c r="E48" s="216">
        <f>+G48/F48</f>
        <v>530.95868302130407</v>
      </c>
      <c r="F48" s="217">
        <v>15.49</v>
      </c>
      <c r="G48" s="218">
        <v>8224.5499999999993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166.40876389797253</v>
      </c>
      <c r="F50" s="221">
        <v>15.29</v>
      </c>
      <c r="G50" s="222">
        <v>2544.39</v>
      </c>
      <c r="L50" s="38"/>
      <c r="M50" s="38"/>
    </row>
    <row r="51" spans="4:13" ht="16.2" thickBot="1" x14ac:dyDescent="0.35">
      <c r="D51" s="223"/>
      <c r="E51" s="224">
        <f>SUM(E46:E50)</f>
        <v>1569.6416262569089</v>
      </c>
      <c r="F51" s="225"/>
      <c r="G51" s="226">
        <f>G46+G47+G48+G50</f>
        <v>19283.54</v>
      </c>
      <c r="J51" s="227">
        <f>G51-E42-F42-J41</f>
        <v>311.79000000000087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56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B3CF3A8-3721-4427-9721-BA201D8F1FC7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E09A-3AEF-4858-8181-3C45F6D7DB10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45767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476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2725.9289098957593</v>
      </c>
      <c r="C6" s="26">
        <f>L33/2.0185</f>
        <v>0</v>
      </c>
      <c r="D6" s="27"/>
      <c r="E6" s="28">
        <v>0</v>
      </c>
      <c r="F6" s="29">
        <f>B6+C6+E6</f>
        <v>2725.9289098957593</v>
      </c>
      <c r="G6" s="30">
        <f>E46</f>
        <v>662.30707610146862</v>
      </c>
      <c r="H6" s="31"/>
      <c r="I6" s="32">
        <f>E46</f>
        <v>662.30707610146862</v>
      </c>
      <c r="J6" s="25">
        <f>F6-I6-H6</f>
        <v>2063.6218337942905</v>
      </c>
      <c r="K6" s="33">
        <v>2700</v>
      </c>
      <c r="L6" s="33">
        <v>2100</v>
      </c>
      <c r="M6" s="34">
        <f>I6</f>
        <v>662.30707610146862</v>
      </c>
      <c r="N6" s="35">
        <f>+F46</f>
        <v>7.49</v>
      </c>
      <c r="O6" s="36">
        <f>M6*N6</f>
        <v>4960.68</v>
      </c>
      <c r="P6" s="37">
        <f>+L6-J6</f>
        <v>36.378166205709476</v>
      </c>
      <c r="Q6" s="38" t="s">
        <v>28</v>
      </c>
    </row>
    <row r="7" spans="1:17" s="38" customFormat="1" x14ac:dyDescent="0.3">
      <c r="A7" s="39" t="s">
        <v>149</v>
      </c>
      <c r="B7" s="40">
        <v>1816.6219886865852</v>
      </c>
      <c r="C7" s="41">
        <f>L29</f>
        <v>0</v>
      </c>
      <c r="D7" s="42"/>
      <c r="E7" s="43"/>
      <c r="F7" s="44">
        <f>B7+C7+E7</f>
        <v>1816.6219886865852</v>
      </c>
      <c r="G7" s="45">
        <f>E47</f>
        <v>206.07923655292078</v>
      </c>
      <c r="H7" s="43">
        <v>0</v>
      </c>
      <c r="I7" s="46">
        <f>E47</f>
        <v>206.07923655292078</v>
      </c>
      <c r="J7" s="40">
        <f>F7-I7-H7</f>
        <v>1610.5427521336644</v>
      </c>
      <c r="K7" s="33">
        <v>1790</v>
      </c>
      <c r="L7" s="33">
        <v>1580</v>
      </c>
      <c r="M7" s="47">
        <f>I7</f>
        <v>206.07923655292078</v>
      </c>
      <c r="N7" s="35">
        <f>+F47</f>
        <v>17.29</v>
      </c>
      <c r="O7" s="48">
        <f>M7*N7</f>
        <v>3563.11</v>
      </c>
      <c r="P7" s="37">
        <f>+L7-J7</f>
        <v>-30.542752133664408</v>
      </c>
    </row>
    <row r="8" spans="1:17" s="38" customFormat="1" x14ac:dyDescent="0.3">
      <c r="A8" s="39" t="s">
        <v>150</v>
      </c>
      <c r="B8" s="40">
        <v>2834.4117160624392</v>
      </c>
      <c r="C8" s="41">
        <f>L30</f>
        <v>0</v>
      </c>
      <c r="D8" s="42"/>
      <c r="E8" s="43"/>
      <c r="F8" s="44">
        <f>B8+C8+E8</f>
        <v>2834.4117160624392</v>
      </c>
      <c r="G8" s="45">
        <f>E48</f>
        <v>522.32278889606198</v>
      </c>
      <c r="H8" s="43">
        <v>0</v>
      </c>
      <c r="I8" s="46">
        <f>E48</f>
        <v>522.32278889606198</v>
      </c>
      <c r="J8" s="40">
        <f>F8-I8-H8</f>
        <v>2312.0889271663773</v>
      </c>
      <c r="K8" s="33">
        <v>2780</v>
      </c>
      <c r="L8" s="33">
        <v>2270</v>
      </c>
      <c r="M8" s="47">
        <f>I8</f>
        <v>522.32278889606198</v>
      </c>
      <c r="N8" s="35">
        <f>+F48</f>
        <v>15.49</v>
      </c>
      <c r="O8" s="48">
        <f>M8*N8</f>
        <v>8090.78</v>
      </c>
      <c r="P8" s="37">
        <f>+L8-J8</f>
        <v>-42.088927166377289</v>
      </c>
    </row>
    <row r="9" spans="1:17" s="38" customFormat="1" ht="15.6" thickBot="1" x14ac:dyDescent="0.35">
      <c r="A9" s="49" t="s">
        <v>32</v>
      </c>
      <c r="B9" s="50">
        <v>1798.0580553724903</v>
      </c>
      <c r="C9" s="51">
        <f>L32</f>
        <v>0</v>
      </c>
      <c r="D9" s="52"/>
      <c r="E9" s="53">
        <v>0</v>
      </c>
      <c r="F9" s="54">
        <f>B9+C9+E9</f>
        <v>1798.0580553724903</v>
      </c>
      <c r="G9" s="55">
        <f>E50</f>
        <v>187.94375408763898</v>
      </c>
      <c r="H9" s="53"/>
      <c r="I9" s="56">
        <f>E50</f>
        <v>187.94375408763898</v>
      </c>
      <c r="J9" s="50">
        <f>F9-I9-H9</f>
        <v>1610.1143012848513</v>
      </c>
      <c r="K9" s="33">
        <v>1800</v>
      </c>
      <c r="L9" s="33">
        <v>1610</v>
      </c>
      <c r="M9" s="57">
        <f>I9</f>
        <v>187.94375408763898</v>
      </c>
      <c r="N9" s="35">
        <f>+F50</f>
        <v>15.29</v>
      </c>
      <c r="O9" s="58">
        <f>M9*N9</f>
        <v>2873.66</v>
      </c>
      <c r="P9" s="37">
        <f>+L9-J9</f>
        <v>-0.11430128485130808</v>
      </c>
    </row>
    <row r="10" spans="1:17" s="38" customFormat="1" ht="16.2" thickBot="1" x14ac:dyDescent="0.35">
      <c r="A10" s="59" t="s">
        <v>33</v>
      </c>
      <c r="B10" s="60">
        <v>9175.02</v>
      </c>
      <c r="C10" s="61">
        <f>SUM(C6:C9)</f>
        <v>0</v>
      </c>
      <c r="D10" s="62"/>
      <c r="E10" s="63"/>
      <c r="F10" s="64">
        <f>SUM(F6:F9)</f>
        <v>9175.0206700172748</v>
      </c>
      <c r="G10" s="65">
        <f>SUM(G6:G9)</f>
        <v>1578.6528556380904</v>
      </c>
      <c r="H10" s="60"/>
      <c r="I10" s="66">
        <f>SUM(I6:I9)</f>
        <v>1578.6528556380904</v>
      </c>
      <c r="J10" s="60">
        <f>SUM(J6:J9)</f>
        <v>7596.367814379184</v>
      </c>
      <c r="K10" s="67" t="e">
        <f>K6+K7+K8+#REF!+K9</f>
        <v>#REF!</v>
      </c>
      <c r="L10" s="67" t="e">
        <f>L6+L7+L8+#REF!+L9</f>
        <v>#REF!</v>
      </c>
      <c r="M10" s="68">
        <f>SUM(M6:M9)</f>
        <v>1578.6528556380904</v>
      </c>
      <c r="N10" s="69"/>
      <c r="O10" s="70">
        <f>SUM(O6:O9)</f>
        <v>19488.23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1578.6528556380904</v>
      </c>
      <c r="O12" s="84">
        <f>+O10</f>
        <v>19488.23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6490.3600000000006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1052.8800000000001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11944.989999999998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79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3907.8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8037.3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4314.13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2176.23</v>
      </c>
      <c r="F41" s="192">
        <v>1052.8800000000001</v>
      </c>
      <c r="G41" s="187"/>
      <c r="H41" s="86"/>
      <c r="I41" s="108" t="s">
        <v>33</v>
      </c>
      <c r="J41" s="193">
        <f>SUM(J38:J40)-J40</f>
        <v>11945.1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6490.3600000000006</v>
      </c>
      <c r="F42" s="192">
        <f>SUM(F40:F41)</f>
        <v>1052.8800000000001</v>
      </c>
      <c r="G42" s="187">
        <f>SUM(E42:F42)</f>
        <v>7543.2400000000007</v>
      </c>
      <c r="H42" s="86"/>
      <c r="I42" s="5" t="s">
        <v>103</v>
      </c>
      <c r="J42" s="153">
        <f>O26-J41</f>
        <v>-0.11000000000240107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662.30707610146862</v>
      </c>
      <c r="F46" s="35">
        <v>7.49</v>
      </c>
      <c r="G46" s="214">
        <v>4960.68</v>
      </c>
      <c r="L46" s="38"/>
    </row>
    <row r="47" spans="1:15" ht="15.6" x14ac:dyDescent="0.3">
      <c r="D47" s="215" t="s">
        <v>107</v>
      </c>
      <c r="E47" s="216">
        <f>+G47/F47</f>
        <v>206.07923655292078</v>
      </c>
      <c r="F47" s="217">
        <v>17.29</v>
      </c>
      <c r="G47" s="218">
        <v>3563.11</v>
      </c>
      <c r="L47" s="38"/>
    </row>
    <row r="48" spans="1:15" ht="15.6" x14ac:dyDescent="0.3">
      <c r="D48" s="215" t="s">
        <v>108</v>
      </c>
      <c r="E48" s="216">
        <f>+G48/F48</f>
        <v>522.32278889606198</v>
      </c>
      <c r="F48" s="217">
        <v>15.49</v>
      </c>
      <c r="G48" s="218">
        <v>8090.78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187.94375408763898</v>
      </c>
      <c r="F50" s="221">
        <v>15.29</v>
      </c>
      <c r="G50" s="222">
        <v>2873.66</v>
      </c>
      <c r="L50" s="38"/>
      <c r="M50" s="38"/>
    </row>
    <row r="51" spans="4:13" ht="16.2" thickBot="1" x14ac:dyDescent="0.35">
      <c r="D51" s="223"/>
      <c r="E51" s="224">
        <f>SUM(E46:E50)</f>
        <v>1578.6528556380904</v>
      </c>
      <c r="F51" s="225"/>
      <c r="G51" s="226">
        <f>G46+G47+G48+G50</f>
        <v>19488.23</v>
      </c>
      <c r="J51" s="227">
        <f>G51-E42-F42-J41</f>
        <v>-0.11000000000240107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20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2AB6256-0AAF-440C-98FB-298B90175473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90E7-6DAC-4CE6-A227-82895B7085F4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45767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476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2063.6218337942905</v>
      </c>
      <c r="C6" s="26">
        <f>L33/2.0185</f>
        <v>0</v>
      </c>
      <c r="D6" s="27"/>
      <c r="E6" s="28">
        <v>0</v>
      </c>
      <c r="F6" s="29">
        <f>B6+C6+E6</f>
        <v>2063.6218337942905</v>
      </c>
      <c r="G6" s="30">
        <f>E46</f>
        <v>708.64485981308405</v>
      </c>
      <c r="H6" s="31"/>
      <c r="I6" s="32">
        <f>E46</f>
        <v>708.64485981308405</v>
      </c>
      <c r="J6" s="25">
        <f>F6-I6-H6</f>
        <v>1354.9769739812064</v>
      </c>
      <c r="K6" s="33">
        <v>2100</v>
      </c>
      <c r="L6" s="33">
        <v>1350</v>
      </c>
      <c r="M6" s="34">
        <f>I6</f>
        <v>708.64485981308405</v>
      </c>
      <c r="N6" s="35">
        <f>+F46</f>
        <v>7.49</v>
      </c>
      <c r="O6" s="36">
        <f>M6*N6</f>
        <v>5307.75</v>
      </c>
      <c r="P6" s="37">
        <f>+L6-J6</f>
        <v>-4.9769739812063563</v>
      </c>
      <c r="Q6" s="38" t="s">
        <v>28</v>
      </c>
    </row>
    <row r="7" spans="1:17" s="38" customFormat="1" x14ac:dyDescent="0.3">
      <c r="A7" s="39" t="s">
        <v>149</v>
      </c>
      <c r="B7" s="40">
        <v>1610.5427521336644</v>
      </c>
      <c r="C7" s="41">
        <f>L29</f>
        <v>0</v>
      </c>
      <c r="D7" s="42"/>
      <c r="E7" s="43"/>
      <c r="F7" s="44">
        <f>B7+C7+E7</f>
        <v>1610.5427521336644</v>
      </c>
      <c r="G7" s="45">
        <f>E47</f>
        <v>194.17524580682476</v>
      </c>
      <c r="H7" s="43">
        <v>0</v>
      </c>
      <c r="I7" s="46">
        <f>E47</f>
        <v>194.17524580682476</v>
      </c>
      <c r="J7" s="40">
        <f>F7-I7-H7</f>
        <v>1416.3675063268397</v>
      </c>
      <c r="K7" s="33">
        <v>1580</v>
      </c>
      <c r="L7" s="33">
        <v>1380</v>
      </c>
      <c r="M7" s="47">
        <f>I7</f>
        <v>194.17524580682476</v>
      </c>
      <c r="N7" s="35">
        <f>+F47</f>
        <v>17.29</v>
      </c>
      <c r="O7" s="48">
        <f>M7*N7</f>
        <v>3357.29</v>
      </c>
      <c r="P7" s="37">
        <f>+L7-J7</f>
        <v>-36.367506326839703</v>
      </c>
    </row>
    <row r="8" spans="1:17" s="38" customFormat="1" x14ac:dyDescent="0.3">
      <c r="A8" s="39" t="s">
        <v>150</v>
      </c>
      <c r="B8" s="40">
        <v>2312.0889271663773</v>
      </c>
      <c r="C8" s="41">
        <f>L30</f>
        <v>0</v>
      </c>
      <c r="D8" s="42"/>
      <c r="E8" s="43"/>
      <c r="F8" s="44">
        <f>B8+C8+E8</f>
        <v>2312.0889271663773</v>
      </c>
      <c r="G8" s="45">
        <f>E48</f>
        <v>589.41446094254366</v>
      </c>
      <c r="H8" s="43">
        <v>0</v>
      </c>
      <c r="I8" s="46">
        <f>E48</f>
        <v>589.41446094254366</v>
      </c>
      <c r="J8" s="40">
        <f>F8-I8-H8</f>
        <v>1722.6744662238336</v>
      </c>
      <c r="K8" s="33">
        <v>2270</v>
      </c>
      <c r="L8" s="33">
        <v>1680</v>
      </c>
      <c r="M8" s="47">
        <f>I8</f>
        <v>589.41446094254366</v>
      </c>
      <c r="N8" s="35">
        <f>+F48</f>
        <v>15.49</v>
      </c>
      <c r="O8" s="48">
        <f>M8*N8</f>
        <v>9130.0300000000007</v>
      </c>
      <c r="P8" s="37">
        <f>+L8-J8</f>
        <v>-42.674466223833633</v>
      </c>
    </row>
    <row r="9" spans="1:17" s="38" customFormat="1" ht="15.6" thickBot="1" x14ac:dyDescent="0.35">
      <c r="A9" s="49" t="s">
        <v>32</v>
      </c>
      <c r="B9" s="50">
        <v>1610.1143012848513</v>
      </c>
      <c r="C9" s="51">
        <f>L32</f>
        <v>0</v>
      </c>
      <c r="D9" s="52"/>
      <c r="E9" s="53">
        <v>0</v>
      </c>
      <c r="F9" s="54">
        <f>B9+C9+E9</f>
        <v>1610.1143012848513</v>
      </c>
      <c r="G9" s="55">
        <f>E50</f>
        <v>409.13603662524525</v>
      </c>
      <c r="H9" s="53"/>
      <c r="I9" s="56">
        <f>E50</f>
        <v>409.13603662524525</v>
      </c>
      <c r="J9" s="50">
        <f>F9-I9-H9</f>
        <v>1200.9782646596061</v>
      </c>
      <c r="K9" s="33">
        <v>1610</v>
      </c>
      <c r="L9" s="33">
        <v>1200</v>
      </c>
      <c r="M9" s="57">
        <f>I9</f>
        <v>409.13603662524525</v>
      </c>
      <c r="N9" s="35">
        <f>+F50</f>
        <v>15.29</v>
      </c>
      <c r="O9" s="58">
        <f>M9*N9</f>
        <v>6255.69</v>
      </c>
      <c r="P9" s="37">
        <f>+L9-J9</f>
        <v>-0.97826465960611131</v>
      </c>
    </row>
    <row r="10" spans="1:17" s="38" customFormat="1" ht="16.2" thickBot="1" x14ac:dyDescent="0.35">
      <c r="A10" s="59" t="s">
        <v>33</v>
      </c>
      <c r="B10" s="60">
        <v>7596.367814379184</v>
      </c>
      <c r="C10" s="61">
        <f>SUM(C6:C9)</f>
        <v>0</v>
      </c>
      <c r="D10" s="62"/>
      <c r="E10" s="63"/>
      <c r="F10" s="64">
        <f>SUM(F6:F9)</f>
        <v>7596.367814379184</v>
      </c>
      <c r="G10" s="65">
        <f>SUM(G6:G9)</f>
        <v>1901.3706031876977</v>
      </c>
      <c r="H10" s="60"/>
      <c r="I10" s="66">
        <f>SUM(I6:I9)</f>
        <v>1901.3706031876977</v>
      </c>
      <c r="J10" s="60">
        <f>SUM(J6:J9)</f>
        <v>5694.9972111914858</v>
      </c>
      <c r="K10" s="67" t="e">
        <f>K6+K7+K8+#REF!+K9</f>
        <v>#REF!</v>
      </c>
      <c r="L10" s="67" t="e">
        <f>L6+L7+L8+#REF!+L9</f>
        <v>#REF!</v>
      </c>
      <c r="M10" s="68">
        <f>SUM(M6:M9)</f>
        <v>1901.3706031876977</v>
      </c>
      <c r="N10" s="69"/>
      <c r="O10" s="70">
        <f>SUM(O6:O9)</f>
        <v>24050.76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1901.3706031876977</v>
      </c>
      <c r="O12" s="84">
        <f>+O10</f>
        <v>24050.76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3463.01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870.25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19717.5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79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4437.5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15280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2711.78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751.23</v>
      </c>
      <c r="F41" s="192">
        <v>870.25</v>
      </c>
      <c r="G41" s="187"/>
      <c r="H41" s="86"/>
      <c r="I41" s="108" t="s">
        <v>33</v>
      </c>
      <c r="J41" s="193">
        <f>SUM(J38:J40)-J40</f>
        <v>19717.5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3463.01</v>
      </c>
      <c r="F42" s="192">
        <f>SUM(F40:F41)</f>
        <v>870.25</v>
      </c>
      <c r="G42" s="187">
        <f>SUM(E42:F42)</f>
        <v>4333.26</v>
      </c>
      <c r="H42" s="86"/>
      <c r="I42" s="5" t="s">
        <v>103</v>
      </c>
      <c r="J42" s="153">
        <f>O26-J41</f>
        <v>0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708.64485981308405</v>
      </c>
      <c r="F46" s="35">
        <v>7.49</v>
      </c>
      <c r="G46" s="214">
        <v>5307.75</v>
      </c>
      <c r="L46" s="38"/>
    </row>
    <row r="47" spans="1:15" ht="15.6" x14ac:dyDescent="0.3">
      <c r="D47" s="215" t="s">
        <v>107</v>
      </c>
      <c r="E47" s="216">
        <f>+G47/F47</f>
        <v>194.17524580682476</v>
      </c>
      <c r="F47" s="217">
        <v>17.29</v>
      </c>
      <c r="G47" s="218">
        <v>3357.29</v>
      </c>
      <c r="L47" s="38"/>
    </row>
    <row r="48" spans="1:15" ht="15.6" x14ac:dyDescent="0.3">
      <c r="D48" s="215" t="s">
        <v>108</v>
      </c>
      <c r="E48" s="216">
        <f>+G48/F48</f>
        <v>589.41446094254366</v>
      </c>
      <c r="F48" s="217">
        <v>15.49</v>
      </c>
      <c r="G48" s="218">
        <v>9130.0300000000007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409.13603662524525</v>
      </c>
      <c r="F50" s="221">
        <v>15.29</v>
      </c>
      <c r="G50" s="222">
        <v>6255.69</v>
      </c>
      <c r="L50" s="38"/>
      <c r="M50" s="38"/>
    </row>
    <row r="51" spans="4:13" ht="16.2" thickBot="1" x14ac:dyDescent="0.35">
      <c r="D51" s="223"/>
      <c r="E51" s="224">
        <f>SUM(E46:E50)</f>
        <v>1901.3706031876977</v>
      </c>
      <c r="F51" s="225"/>
      <c r="G51" s="226">
        <f>G46+G47+G48+G50</f>
        <v>24050.76</v>
      </c>
      <c r="J51" s="227">
        <f>G51-E42-F42-J41</f>
        <v>0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18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D4BA098-20F0-42A2-AC49-8E48B07769F3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2863-A076-4419-9F8C-03EAC5EBF54D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45769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478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1354.9769739812064</v>
      </c>
      <c r="C6" s="26">
        <f>L33/2.0185</f>
        <v>0</v>
      </c>
      <c r="D6" s="27"/>
      <c r="E6" s="28">
        <v>0</v>
      </c>
      <c r="F6" s="29">
        <f>B6+C6+E6</f>
        <v>1354.9769739812064</v>
      </c>
      <c r="G6" s="30">
        <f>E46</f>
        <v>670.48998664886517</v>
      </c>
      <c r="H6" s="31"/>
      <c r="I6" s="32">
        <f>E46</f>
        <v>670.48998664886517</v>
      </c>
      <c r="J6" s="25">
        <f>F6-I6-H6</f>
        <v>684.48698733234119</v>
      </c>
      <c r="K6" s="33">
        <v>1350</v>
      </c>
      <c r="L6" s="33">
        <v>700</v>
      </c>
      <c r="M6" s="34">
        <f>I6</f>
        <v>670.48998664886517</v>
      </c>
      <c r="N6" s="35">
        <f>+F46</f>
        <v>7.49</v>
      </c>
      <c r="O6" s="36">
        <f>M6*N6</f>
        <v>5021.97</v>
      </c>
      <c r="P6" s="37">
        <f>+L6-J6</f>
        <v>15.513012667658813</v>
      </c>
      <c r="Q6" s="38" t="s">
        <v>28</v>
      </c>
    </row>
    <row r="7" spans="1:17" s="38" customFormat="1" x14ac:dyDescent="0.3">
      <c r="A7" s="39" t="s">
        <v>149</v>
      </c>
      <c r="B7" s="40">
        <v>1416.3675063268397</v>
      </c>
      <c r="C7" s="41">
        <f>L29</f>
        <v>0</v>
      </c>
      <c r="D7" s="42"/>
      <c r="E7" s="43"/>
      <c r="F7" s="44">
        <f>B7+C7+E7</f>
        <v>1416.3675063268397</v>
      </c>
      <c r="G7" s="45">
        <f>E47</f>
        <v>181.39097744360902</v>
      </c>
      <c r="H7" s="43">
        <v>0</v>
      </c>
      <c r="I7" s="46">
        <f>E47</f>
        <v>181.39097744360902</v>
      </c>
      <c r="J7" s="40">
        <f>F7-I7-H7</f>
        <v>1234.9765288832307</v>
      </c>
      <c r="K7" s="33">
        <v>1380</v>
      </c>
      <c r="L7" s="33">
        <v>1200</v>
      </c>
      <c r="M7" s="47">
        <f>I7</f>
        <v>181.39097744360902</v>
      </c>
      <c r="N7" s="35">
        <f>+F47</f>
        <v>17.29</v>
      </c>
      <c r="O7" s="48">
        <f>M7*N7</f>
        <v>3136.2499999999995</v>
      </c>
      <c r="P7" s="37">
        <f>+L7-J7</f>
        <v>-34.976528883230685</v>
      </c>
    </row>
    <row r="8" spans="1:17" s="38" customFormat="1" x14ac:dyDescent="0.3">
      <c r="A8" s="39" t="s">
        <v>150</v>
      </c>
      <c r="B8" s="40">
        <v>1722.6744662238336</v>
      </c>
      <c r="C8" s="41">
        <f>L30</f>
        <v>990</v>
      </c>
      <c r="D8" s="42"/>
      <c r="E8" s="43"/>
      <c r="F8" s="44">
        <f>B8+C8+E8</f>
        <v>2712.6744662238334</v>
      </c>
      <c r="G8" s="45">
        <f>E48</f>
        <v>627.50225952227242</v>
      </c>
      <c r="H8" s="43">
        <v>0</v>
      </c>
      <c r="I8" s="46">
        <f>E48</f>
        <v>627.50225952227242</v>
      </c>
      <c r="J8" s="40">
        <f>F8-I8-H8</f>
        <v>2085.1722067015608</v>
      </c>
      <c r="K8" s="33">
        <v>1680</v>
      </c>
      <c r="L8" s="33">
        <v>2040</v>
      </c>
      <c r="M8" s="47">
        <f>I8</f>
        <v>627.50225952227242</v>
      </c>
      <c r="N8" s="35">
        <f>+F48</f>
        <v>15.49</v>
      </c>
      <c r="O8" s="48">
        <f>M8*N8</f>
        <v>9720.01</v>
      </c>
      <c r="P8" s="37">
        <f>+L8-J8</f>
        <v>-45.172206701560754</v>
      </c>
    </row>
    <row r="9" spans="1:17" s="38" customFormat="1" ht="15.6" thickBot="1" x14ac:dyDescent="0.35">
      <c r="A9" s="49" t="s">
        <v>32</v>
      </c>
      <c r="B9" s="50">
        <v>1200.9782646596061</v>
      </c>
      <c r="C9" s="51">
        <f>L32</f>
        <v>0</v>
      </c>
      <c r="D9" s="52"/>
      <c r="E9" s="53">
        <v>0</v>
      </c>
      <c r="F9" s="54">
        <f>B9+C9+E9</f>
        <v>1200.9782646596061</v>
      </c>
      <c r="G9" s="55">
        <f>E50</f>
        <v>164.84303466317854</v>
      </c>
      <c r="H9" s="53"/>
      <c r="I9" s="56">
        <f>E50</f>
        <v>164.84303466317854</v>
      </c>
      <c r="J9" s="50">
        <f>F9-I9-H9</f>
        <v>1036.1352299964276</v>
      </c>
      <c r="K9" s="33">
        <v>1200</v>
      </c>
      <c r="L9" s="33">
        <v>1040</v>
      </c>
      <c r="M9" s="57">
        <f>I9</f>
        <v>164.84303466317854</v>
      </c>
      <c r="N9" s="35">
        <f>+F50</f>
        <v>15.29</v>
      </c>
      <c r="O9" s="58">
        <f>M9*N9</f>
        <v>2520.4499999999998</v>
      </c>
      <c r="P9" s="37">
        <f>+L9-J9</f>
        <v>3.8647700035724029</v>
      </c>
    </row>
    <row r="10" spans="1:17" s="38" customFormat="1" ht="16.2" thickBot="1" x14ac:dyDescent="0.35">
      <c r="A10" s="59" t="s">
        <v>33</v>
      </c>
      <c r="B10" s="60">
        <v>5695</v>
      </c>
      <c r="C10" s="61">
        <f>SUM(C6:C9)</f>
        <v>990</v>
      </c>
      <c r="D10" s="62"/>
      <c r="E10" s="63"/>
      <c r="F10" s="64">
        <f>SUM(F6:F9)</f>
        <v>6684.9972111914858</v>
      </c>
      <c r="G10" s="65">
        <f>SUM(G6:G9)</f>
        <v>1644.2262582779251</v>
      </c>
      <c r="H10" s="60"/>
      <c r="I10" s="66">
        <f>SUM(I6:I9)</f>
        <v>1644.2262582779251</v>
      </c>
      <c r="J10" s="60">
        <f>SUM(J6:J9)</f>
        <v>5040.77095291356</v>
      </c>
      <c r="K10" s="67" t="e">
        <f>K6+K7+K8+#REF!+K9</f>
        <v>#REF!</v>
      </c>
      <c r="L10" s="67" t="e">
        <f>L6+L7+L8+#REF!+L9</f>
        <v>#REF!</v>
      </c>
      <c r="M10" s="68">
        <f>SUM(M6:M9)</f>
        <v>1644.2262582779251</v>
      </c>
      <c r="N10" s="69"/>
      <c r="O10" s="70">
        <f>SUM(O6:O9)</f>
        <v>20398.68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1644.2262582779251</v>
      </c>
      <c r="O12" s="84">
        <f>+O10</f>
        <v>20398.68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4241.4399999999996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931.47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15225.770000000002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>
        <v>990</v>
      </c>
      <c r="M30" s="141" t="s">
        <v>132</v>
      </c>
      <c r="N30" s="141"/>
      <c r="O30" s="141" t="s">
        <v>131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79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4090.5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11135.2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1762.74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2478.6999999999998</v>
      </c>
      <c r="F41" s="192">
        <v>931.47</v>
      </c>
      <c r="G41" s="187"/>
      <c r="H41" s="86"/>
      <c r="I41" s="108" t="s">
        <v>33</v>
      </c>
      <c r="J41" s="193">
        <f>SUM(J38:J40)-J40</f>
        <v>15225.7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4241.4399999999996</v>
      </c>
      <c r="F42" s="192">
        <f>SUM(F40:F41)</f>
        <v>931.47</v>
      </c>
      <c r="G42" s="187">
        <f>SUM(E42:F42)</f>
        <v>5172.91</v>
      </c>
      <c r="H42" s="86"/>
      <c r="I42" s="5" t="s">
        <v>103</v>
      </c>
      <c r="J42" s="153">
        <f>O26-J41</f>
        <v>7.0000000001527951E-2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670.48998664886517</v>
      </c>
      <c r="F46" s="35">
        <v>7.49</v>
      </c>
      <c r="G46" s="214">
        <v>5021.97</v>
      </c>
      <c r="L46" s="38"/>
    </row>
    <row r="47" spans="1:15" ht="15.6" x14ac:dyDescent="0.3">
      <c r="D47" s="215" t="s">
        <v>107</v>
      </c>
      <c r="E47" s="216">
        <f>+G47/F47</f>
        <v>181.39097744360902</v>
      </c>
      <c r="F47" s="217">
        <v>17.29</v>
      </c>
      <c r="G47" s="218">
        <v>3136.25</v>
      </c>
      <c r="L47" s="38"/>
    </row>
    <row r="48" spans="1:15" ht="15.6" x14ac:dyDescent="0.3">
      <c r="D48" s="215" t="s">
        <v>108</v>
      </c>
      <c r="E48" s="216">
        <f>+G48/F48</f>
        <v>627.50225952227242</v>
      </c>
      <c r="F48" s="217">
        <v>15.49</v>
      </c>
      <c r="G48" s="218">
        <v>9720.01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164.84303466317854</v>
      </c>
      <c r="F50" s="221">
        <v>15.29</v>
      </c>
      <c r="G50" s="222">
        <v>2520.4499999999998</v>
      </c>
      <c r="L50" s="38"/>
      <c r="M50" s="38"/>
    </row>
    <row r="51" spans="4:13" ht="16.2" thickBot="1" x14ac:dyDescent="0.35">
      <c r="D51" s="223"/>
      <c r="E51" s="224">
        <f>SUM(E46:E50)</f>
        <v>1644.2262582779251</v>
      </c>
      <c r="F51" s="225"/>
      <c r="G51" s="226">
        <f>G46+G47+G48+G50</f>
        <v>20398.68</v>
      </c>
      <c r="J51" s="227">
        <f>G51-E42-F42-J41</f>
        <v>7.0000000001527951E-2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16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E611C98-ADCD-43C1-A059-8764659828D4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D7AF-AFE6-44F3-BF3B-1C251D13228E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45770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479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684.48698733234119</v>
      </c>
      <c r="C6" s="26">
        <f>L33/2.0185</f>
        <v>1907.3569482288829</v>
      </c>
      <c r="D6" s="27"/>
      <c r="E6" s="28">
        <v>0</v>
      </c>
      <c r="F6" s="29">
        <f>B6+C6+E6</f>
        <v>2591.843935561224</v>
      </c>
      <c r="G6" s="30">
        <f>E46</f>
        <v>661.91722296395199</v>
      </c>
      <c r="H6" s="31"/>
      <c r="I6" s="32">
        <f>E46</f>
        <v>661.91722296395199</v>
      </c>
      <c r="J6" s="25">
        <f>F6-I6-H6</f>
        <v>1929.9267125972719</v>
      </c>
      <c r="K6" s="33">
        <v>700</v>
      </c>
      <c r="L6" s="33">
        <v>2000</v>
      </c>
      <c r="M6" s="34">
        <f>I6</f>
        <v>661.91722296395199</v>
      </c>
      <c r="N6" s="35">
        <f>+F46</f>
        <v>7.49</v>
      </c>
      <c r="O6" s="36">
        <f>M6*N6</f>
        <v>4957.76</v>
      </c>
      <c r="P6" s="37">
        <f>+L6-J6</f>
        <v>70.073287402728056</v>
      </c>
      <c r="Q6" s="38" t="s">
        <v>28</v>
      </c>
    </row>
    <row r="7" spans="1:17" s="38" customFormat="1" x14ac:dyDescent="0.3">
      <c r="A7" s="39" t="s">
        <v>149</v>
      </c>
      <c r="B7" s="40">
        <v>1234.9765288832307</v>
      </c>
      <c r="C7" s="41">
        <f>L29</f>
        <v>0</v>
      </c>
      <c r="D7" s="42"/>
      <c r="E7" s="43"/>
      <c r="F7" s="44">
        <f>B7+C7+E7</f>
        <v>1234.9765288832307</v>
      </c>
      <c r="G7" s="45">
        <f>E47</f>
        <v>192.24522845575478</v>
      </c>
      <c r="H7" s="43">
        <v>0</v>
      </c>
      <c r="I7" s="46">
        <f>E47</f>
        <v>192.24522845575478</v>
      </c>
      <c r="J7" s="40">
        <f>F7-I7-H7</f>
        <v>1042.7313004274758</v>
      </c>
      <c r="K7" s="33">
        <v>1200</v>
      </c>
      <c r="L7" s="33">
        <v>1000</v>
      </c>
      <c r="M7" s="47">
        <f>I7</f>
        <v>192.24522845575478</v>
      </c>
      <c r="N7" s="35">
        <f>+F47</f>
        <v>17.29</v>
      </c>
      <c r="O7" s="48">
        <f>M7*N7</f>
        <v>3323.92</v>
      </c>
      <c r="P7" s="37">
        <f>+L7-J7</f>
        <v>-42.731300427475844</v>
      </c>
    </row>
    <row r="8" spans="1:17" s="38" customFormat="1" x14ac:dyDescent="0.3">
      <c r="A8" s="39" t="s">
        <v>150</v>
      </c>
      <c r="B8" s="40">
        <v>2085.1722067015608</v>
      </c>
      <c r="C8" s="41">
        <f>L30</f>
        <v>0</v>
      </c>
      <c r="D8" s="42"/>
      <c r="E8" s="43"/>
      <c r="F8" s="44">
        <f>B8+C8+E8</f>
        <v>2085.1722067015608</v>
      </c>
      <c r="G8" s="45">
        <f>E48</f>
        <v>606.27630729502903</v>
      </c>
      <c r="H8" s="43">
        <v>0</v>
      </c>
      <c r="I8" s="46">
        <f>E48</f>
        <v>606.27630729502903</v>
      </c>
      <c r="J8" s="40">
        <f>F8-I8-H8</f>
        <v>1478.8958994065317</v>
      </c>
      <c r="K8" s="33">
        <v>2040</v>
      </c>
      <c r="L8" s="33">
        <v>1430</v>
      </c>
      <c r="M8" s="47">
        <f>I8</f>
        <v>606.27630729502903</v>
      </c>
      <c r="N8" s="35">
        <f>+F48</f>
        <v>15.49</v>
      </c>
      <c r="O8" s="48">
        <f>M8*N8</f>
        <v>9391.2199999999993</v>
      </c>
      <c r="P8" s="37">
        <f>+L8-J8</f>
        <v>-48.895899406531726</v>
      </c>
    </row>
    <row r="9" spans="1:17" s="38" customFormat="1" ht="15.6" thickBot="1" x14ac:dyDescent="0.35">
      <c r="A9" s="49" t="s">
        <v>32</v>
      </c>
      <c r="B9" s="50">
        <v>1036.1352299964276</v>
      </c>
      <c r="C9" s="51">
        <f>L32</f>
        <v>500</v>
      </c>
      <c r="D9" s="52"/>
      <c r="E9" s="53">
        <v>0</v>
      </c>
      <c r="F9" s="54">
        <f>B9+C9+E9</f>
        <v>1536.1352299964276</v>
      </c>
      <c r="G9" s="55">
        <f>E50</f>
        <v>169.22956180510138</v>
      </c>
      <c r="H9" s="53"/>
      <c r="I9" s="56">
        <f>E50</f>
        <v>169.22956180510138</v>
      </c>
      <c r="J9" s="50">
        <f>F9-I9-H9</f>
        <v>1366.9056681913262</v>
      </c>
      <c r="K9" s="33">
        <v>1040</v>
      </c>
      <c r="L9" s="33">
        <v>1360</v>
      </c>
      <c r="M9" s="57">
        <f>I9</f>
        <v>169.22956180510138</v>
      </c>
      <c r="N9" s="35">
        <f>+F50</f>
        <v>15.29</v>
      </c>
      <c r="O9" s="58">
        <f>M9*N9</f>
        <v>2587.52</v>
      </c>
      <c r="P9" s="37">
        <f>+L9-J9</f>
        <v>-6.9056681913261855</v>
      </c>
    </row>
    <row r="10" spans="1:17" s="38" customFormat="1" ht="16.2" thickBot="1" x14ac:dyDescent="0.35">
      <c r="A10" s="59" t="s">
        <v>33</v>
      </c>
      <c r="B10" s="60">
        <v>5040.7700000000004</v>
      </c>
      <c r="C10" s="61">
        <f>SUM(C6:C9)</f>
        <v>2407.3569482288831</v>
      </c>
      <c r="D10" s="62"/>
      <c r="E10" s="63"/>
      <c r="F10" s="64">
        <f>SUM(F6:F9)</f>
        <v>7448.1279011424431</v>
      </c>
      <c r="G10" s="65">
        <f>SUM(G6:G9)</f>
        <v>1629.6683205198372</v>
      </c>
      <c r="H10" s="60"/>
      <c r="I10" s="66">
        <f>SUM(I6:I9)</f>
        <v>1629.6683205198372</v>
      </c>
      <c r="J10" s="60">
        <f>SUM(J6:J9)</f>
        <v>5818.4595806226052</v>
      </c>
      <c r="K10" s="67" t="e">
        <f>K6+K7+K8+#REF!+K9</f>
        <v>#REF!</v>
      </c>
      <c r="L10" s="67" t="e">
        <f>L6+L7+L8+#REF!+L9</f>
        <v>#REF!</v>
      </c>
      <c r="M10" s="68">
        <f>SUM(M6:M9)</f>
        <v>1629.6683205198372</v>
      </c>
      <c r="N10" s="69"/>
      <c r="O10" s="70">
        <f>SUM(O6:O9)</f>
        <v>20260.420000000002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1629.6683205198372</v>
      </c>
      <c r="O12" s="84">
        <f>+O10</f>
        <v>20260.420000000002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1969.72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969.66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17321.04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131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>
        <v>500</v>
      </c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>
        <v>3850</v>
      </c>
      <c r="M33" s="149" t="s">
        <v>134</v>
      </c>
      <c r="N33" s="147" t="s">
        <v>135</v>
      </c>
      <c r="O33" s="152" t="s">
        <v>133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3988.1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13333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664.01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1305.71</v>
      </c>
      <c r="F41" s="192">
        <v>969.66</v>
      </c>
      <c r="G41" s="187"/>
      <c r="H41" s="86"/>
      <c r="I41" s="108" t="s">
        <v>33</v>
      </c>
      <c r="J41" s="193">
        <f>SUM(J38:J40)-J40</f>
        <v>17321.099999999999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1969.72</v>
      </c>
      <c r="F42" s="192">
        <f>SUM(F40:F41)</f>
        <v>969.66</v>
      </c>
      <c r="G42" s="187">
        <f>SUM(E42:F42)</f>
        <v>2939.38</v>
      </c>
      <c r="H42" s="86"/>
      <c r="I42" s="5" t="s">
        <v>103</v>
      </c>
      <c r="J42" s="153">
        <f>O26-J41</f>
        <v>-5.9999999997671694E-2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661.91722296395199</v>
      </c>
      <c r="F46" s="35">
        <v>7.49</v>
      </c>
      <c r="G46" s="214">
        <v>4957.76</v>
      </c>
      <c r="L46" s="38"/>
    </row>
    <row r="47" spans="1:15" ht="15.6" x14ac:dyDescent="0.3">
      <c r="D47" s="215" t="s">
        <v>107</v>
      </c>
      <c r="E47" s="216">
        <f>+G47/F47</f>
        <v>192.24522845575478</v>
      </c>
      <c r="F47" s="217">
        <v>17.29</v>
      </c>
      <c r="G47" s="218">
        <v>3323.92</v>
      </c>
      <c r="L47" s="38"/>
    </row>
    <row r="48" spans="1:15" ht="15.6" x14ac:dyDescent="0.3">
      <c r="D48" s="215" t="s">
        <v>108</v>
      </c>
      <c r="E48" s="216">
        <f>+G48/F48</f>
        <v>606.27630729502903</v>
      </c>
      <c r="F48" s="217">
        <v>15.49</v>
      </c>
      <c r="G48" s="218">
        <v>9391.2199999999993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169.22956180510138</v>
      </c>
      <c r="F50" s="221">
        <v>15.29</v>
      </c>
      <c r="G50" s="222">
        <v>2587.52</v>
      </c>
      <c r="L50" s="38"/>
      <c r="M50" s="38"/>
    </row>
    <row r="51" spans="4:13" ht="16.2" thickBot="1" x14ac:dyDescent="0.35">
      <c r="D51" s="223"/>
      <c r="E51" s="224">
        <f>SUM(E46:E50)</f>
        <v>1629.6683205198372</v>
      </c>
      <c r="F51" s="225"/>
      <c r="G51" s="226">
        <f>G46+G47+G48+G50</f>
        <v>20260.420000000002</v>
      </c>
      <c r="J51" s="227">
        <f>G51-E42-F42-J41</f>
        <v>-5.9999999997671694E-2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14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BEB566A-099F-4DE0-93EC-DA028EA6B220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3AB6-DAB6-4C94-8CE2-76024075B2E0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45771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480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1929.9267125972719</v>
      </c>
      <c r="C6" s="26">
        <f>L33/2.0185</f>
        <v>1882.586078771365</v>
      </c>
      <c r="D6" s="27"/>
      <c r="E6" s="28">
        <v>0</v>
      </c>
      <c r="F6" s="29">
        <f>B6+C6+E6</f>
        <v>3812.512791368637</v>
      </c>
      <c r="G6" s="30">
        <f>E46</f>
        <v>626.26835781041382</v>
      </c>
      <c r="H6" s="31"/>
      <c r="I6" s="32">
        <f>E46</f>
        <v>626.26835781041382</v>
      </c>
      <c r="J6" s="25">
        <f>F6-I6-H6</f>
        <v>3186.2444335582231</v>
      </c>
      <c r="K6" s="33">
        <v>2000</v>
      </c>
      <c r="L6" s="33">
        <v>3300</v>
      </c>
      <c r="M6" s="34">
        <f>I6</f>
        <v>626.26835781041382</v>
      </c>
      <c r="N6" s="35">
        <f>+F46</f>
        <v>7.49</v>
      </c>
      <c r="O6" s="36">
        <f>M6*N6</f>
        <v>4690.75</v>
      </c>
      <c r="P6" s="37">
        <f>+L6-J6</f>
        <v>113.75556644177686</v>
      </c>
      <c r="Q6" s="38" t="s">
        <v>28</v>
      </c>
    </row>
    <row r="7" spans="1:17" s="38" customFormat="1" x14ac:dyDescent="0.3">
      <c r="A7" s="39" t="s">
        <v>149</v>
      </c>
      <c r="B7" s="40">
        <v>1042.7313004274758</v>
      </c>
      <c r="C7" s="41">
        <f>L29</f>
        <v>0</v>
      </c>
      <c r="D7" s="42"/>
      <c r="E7" s="43"/>
      <c r="F7" s="44">
        <f>B7+C7+E7</f>
        <v>1042.7313004274758</v>
      </c>
      <c r="G7" s="45">
        <f>E47</f>
        <v>151.98785425101215</v>
      </c>
      <c r="H7" s="43">
        <v>0</v>
      </c>
      <c r="I7" s="46">
        <f>E47</f>
        <v>151.98785425101215</v>
      </c>
      <c r="J7" s="40">
        <f>F7-I7-H7</f>
        <v>890.74344617646375</v>
      </c>
      <c r="K7" s="33">
        <v>1000</v>
      </c>
      <c r="L7" s="33">
        <v>850</v>
      </c>
      <c r="M7" s="47">
        <f>I7</f>
        <v>151.98785425101215</v>
      </c>
      <c r="N7" s="35">
        <f>+F47</f>
        <v>17.29</v>
      </c>
      <c r="O7" s="48">
        <f>M7*N7</f>
        <v>2627.87</v>
      </c>
      <c r="P7" s="37">
        <f>+L7-J7</f>
        <v>-40.743446176463749</v>
      </c>
    </row>
    <row r="8" spans="1:17" s="38" customFormat="1" x14ac:dyDescent="0.3">
      <c r="A8" s="39" t="s">
        <v>150</v>
      </c>
      <c r="B8" s="40">
        <v>1478.8958994065317</v>
      </c>
      <c r="C8" s="41">
        <f>L30</f>
        <v>990</v>
      </c>
      <c r="D8" s="42"/>
      <c r="E8" s="43"/>
      <c r="F8" s="44">
        <f>B8+C8+E8</f>
        <v>2468.8958994065315</v>
      </c>
      <c r="G8" s="45">
        <f>E48</f>
        <v>553.21045836023234</v>
      </c>
      <c r="H8" s="43">
        <v>0</v>
      </c>
      <c r="I8" s="46">
        <f>E48</f>
        <v>553.21045836023234</v>
      </c>
      <c r="J8" s="40">
        <f>F8-I8-H8</f>
        <v>1915.6854410462993</v>
      </c>
      <c r="K8" s="33">
        <v>1430</v>
      </c>
      <c r="L8" s="33">
        <v>1870</v>
      </c>
      <c r="M8" s="47">
        <f>I8</f>
        <v>553.21045836023234</v>
      </c>
      <c r="N8" s="35">
        <f>+F48</f>
        <v>15.49</v>
      </c>
      <c r="O8" s="48">
        <f>M8*N8</f>
        <v>8569.23</v>
      </c>
      <c r="P8" s="37">
        <f>+L8-J8</f>
        <v>-45.685441046299275</v>
      </c>
    </row>
    <row r="9" spans="1:17" s="38" customFormat="1" ht="15.6" thickBot="1" x14ac:dyDescent="0.35">
      <c r="A9" s="49" t="s">
        <v>32</v>
      </c>
      <c r="B9" s="50">
        <v>1366.9056681913262</v>
      </c>
      <c r="C9" s="51">
        <f>L32</f>
        <v>0</v>
      </c>
      <c r="D9" s="52"/>
      <c r="E9" s="53">
        <v>0</v>
      </c>
      <c r="F9" s="54">
        <f>B9+C9+E9</f>
        <v>1366.9056681913262</v>
      </c>
      <c r="G9" s="55">
        <f>E50</f>
        <v>241.35055591890125</v>
      </c>
      <c r="H9" s="53"/>
      <c r="I9" s="56">
        <f>E50</f>
        <v>241.35055591890125</v>
      </c>
      <c r="J9" s="50">
        <f>F9-I9-H9</f>
        <v>1125.555112272425</v>
      </c>
      <c r="K9" s="33">
        <v>1360</v>
      </c>
      <c r="L9" s="33">
        <v>1130</v>
      </c>
      <c r="M9" s="57">
        <f>I9</f>
        <v>241.35055591890125</v>
      </c>
      <c r="N9" s="35">
        <f>+F50</f>
        <v>15.29</v>
      </c>
      <c r="O9" s="58">
        <f>M9*N9</f>
        <v>3690.25</v>
      </c>
      <c r="P9" s="37">
        <f>+L9-J9</f>
        <v>4.444887727574951</v>
      </c>
    </row>
    <row r="10" spans="1:17" s="38" customFormat="1" ht="16.2" thickBot="1" x14ac:dyDescent="0.35">
      <c r="A10" s="59" t="s">
        <v>33</v>
      </c>
      <c r="B10" s="60">
        <v>5818.4595806226052</v>
      </c>
      <c r="C10" s="61">
        <f>SUM(C6:C9)</f>
        <v>2872.586078771365</v>
      </c>
      <c r="D10" s="62"/>
      <c r="E10" s="63"/>
      <c r="F10" s="64">
        <f>SUM(F6:F9)</f>
        <v>8691.0456593939707</v>
      </c>
      <c r="G10" s="65">
        <f>SUM(G6:G9)</f>
        <v>1572.8172263405595</v>
      </c>
      <c r="H10" s="60"/>
      <c r="I10" s="66">
        <f>SUM(I6:I9)</f>
        <v>1572.8172263405595</v>
      </c>
      <c r="J10" s="60">
        <f>SUM(J6:J9)</f>
        <v>7118.2284330534112</v>
      </c>
      <c r="K10" s="67" t="e">
        <f>K6+K7+K8+#REF!+K9</f>
        <v>#REF!</v>
      </c>
      <c r="L10" s="67" t="e">
        <f>L6+L7+L8+#REF!+L9</f>
        <v>#REF!</v>
      </c>
      <c r="M10" s="68">
        <f>SUM(M6:M9)</f>
        <v>1572.8172263405595</v>
      </c>
      <c r="N10" s="69"/>
      <c r="O10" s="70">
        <f>SUM(O6:O9)</f>
        <v>19578.099999999999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1572.8172263405595</v>
      </c>
      <c r="O12" s="84">
        <f>+O10</f>
        <v>19578.099999999999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4005.04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2356.25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13216.809999999998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>
        <v>990</v>
      </c>
      <c r="M30" s="141" t="s">
        <v>136</v>
      </c>
      <c r="N30" s="141" t="s">
        <v>138</v>
      </c>
      <c r="O30" s="141" t="s">
        <v>131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>
        <v>3800</v>
      </c>
      <c r="M33" s="149" t="s">
        <v>137</v>
      </c>
      <c r="N33" s="147" t="s">
        <v>139</v>
      </c>
      <c r="O33" s="141" t="s">
        <v>92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2334.5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10882.3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1191.3399999999999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2813.7</v>
      </c>
      <c r="F41" s="192">
        <v>2356.25</v>
      </c>
      <c r="G41" s="187"/>
      <c r="H41" s="86"/>
      <c r="I41" s="108" t="s">
        <v>33</v>
      </c>
      <c r="J41" s="193">
        <f>SUM(J38:J40)-J40</f>
        <v>13216.8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4005.04</v>
      </c>
      <c r="F42" s="192">
        <f>SUM(F40:F41)</f>
        <v>2356.25</v>
      </c>
      <c r="G42" s="187">
        <f>SUM(E42:F42)</f>
        <v>6361.29</v>
      </c>
      <c r="H42" s="86"/>
      <c r="I42" s="5" t="s">
        <v>103</v>
      </c>
      <c r="J42" s="153">
        <f>O26-J41</f>
        <v>9.9999999983992893E-3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626.26835781041382</v>
      </c>
      <c r="F46" s="35">
        <v>7.49</v>
      </c>
      <c r="G46" s="214">
        <v>4690.75</v>
      </c>
      <c r="L46" s="38"/>
    </row>
    <row r="47" spans="1:15" ht="15.6" x14ac:dyDescent="0.3">
      <c r="D47" s="215" t="s">
        <v>107</v>
      </c>
      <c r="E47" s="216">
        <f>+G47/F47</f>
        <v>151.98785425101215</v>
      </c>
      <c r="F47" s="217">
        <v>17.29</v>
      </c>
      <c r="G47" s="218">
        <v>2627.87</v>
      </c>
      <c r="L47" s="38"/>
    </row>
    <row r="48" spans="1:15" ht="15.6" x14ac:dyDescent="0.3">
      <c r="D48" s="215" t="s">
        <v>108</v>
      </c>
      <c r="E48" s="216">
        <f>+G48/F48</f>
        <v>553.21045836023234</v>
      </c>
      <c r="F48" s="217">
        <v>15.49</v>
      </c>
      <c r="G48" s="218">
        <v>8569.23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241.35055591890125</v>
      </c>
      <c r="F50" s="221">
        <v>15.29</v>
      </c>
      <c r="G50" s="222">
        <v>3690.25</v>
      </c>
      <c r="L50" s="38"/>
      <c r="M50" s="38"/>
    </row>
    <row r="51" spans="4:13" ht="16.2" thickBot="1" x14ac:dyDescent="0.35">
      <c r="D51" s="223"/>
      <c r="E51" s="224">
        <f>SUM(E46:E50)</f>
        <v>1572.8172263405595</v>
      </c>
      <c r="F51" s="225"/>
      <c r="G51" s="226">
        <f>G46+G47+G48+G50</f>
        <v>19578.099999999999</v>
      </c>
      <c r="J51" s="227">
        <f>G51-E42-F42-J41</f>
        <v>9.9999999983992893E-3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12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DBA8AB8-5F77-4771-9DA2-D19A633E8CC3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9906-4877-4B21-AACF-3C8621259FA0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45772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481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3186.2444335582231</v>
      </c>
      <c r="C6" s="26">
        <f>L33/2.0185</f>
        <v>0</v>
      </c>
      <c r="D6" s="27"/>
      <c r="E6" s="28">
        <v>0</v>
      </c>
      <c r="F6" s="29">
        <f>B6+C6+E6</f>
        <v>3186.2444335582231</v>
      </c>
      <c r="G6" s="30">
        <f>E46</f>
        <v>772.27770360480633</v>
      </c>
      <c r="H6" s="31"/>
      <c r="I6" s="32">
        <f>E46</f>
        <v>772.27770360480633</v>
      </c>
      <c r="J6" s="25">
        <f>F6-I6-H6</f>
        <v>2413.9667299534167</v>
      </c>
      <c r="K6" s="33">
        <v>3300</v>
      </c>
      <c r="L6" s="33">
        <v>2550</v>
      </c>
      <c r="M6" s="34">
        <f>I6</f>
        <v>772.27770360480633</v>
      </c>
      <c r="N6" s="35">
        <f>+F46</f>
        <v>7.49</v>
      </c>
      <c r="O6" s="36">
        <f>M6*N6</f>
        <v>5784.36</v>
      </c>
      <c r="P6" s="37">
        <f>+L6-J6</f>
        <v>136.03327004658331</v>
      </c>
      <c r="Q6" s="38" t="s">
        <v>28</v>
      </c>
    </row>
    <row r="7" spans="1:17" s="38" customFormat="1" x14ac:dyDescent="0.3">
      <c r="A7" s="39" t="s">
        <v>149</v>
      </c>
      <c r="B7" s="40">
        <v>890.74344617646375</v>
      </c>
      <c r="C7" s="41">
        <f>L29</f>
        <v>0</v>
      </c>
      <c r="D7" s="42"/>
      <c r="E7" s="43"/>
      <c r="F7" s="44">
        <f>B7+C7+E7</f>
        <v>890.74344617646375</v>
      </c>
      <c r="G7" s="45">
        <f>E47</f>
        <v>142.05610179294391</v>
      </c>
      <c r="H7" s="43">
        <v>0</v>
      </c>
      <c r="I7" s="46">
        <f>E47</f>
        <v>142.05610179294391</v>
      </c>
      <c r="J7" s="40">
        <f>F7-I7-H7</f>
        <v>748.68734438351987</v>
      </c>
      <c r="K7" s="33">
        <v>850</v>
      </c>
      <c r="L7" s="33">
        <v>710</v>
      </c>
      <c r="M7" s="47">
        <f>I7</f>
        <v>142.05610179294391</v>
      </c>
      <c r="N7" s="35">
        <f>+F47</f>
        <v>17.29</v>
      </c>
      <c r="O7" s="48">
        <f>M7*N7</f>
        <v>2456.15</v>
      </c>
      <c r="P7" s="37">
        <f>+L7-J7</f>
        <v>-38.687344383519871</v>
      </c>
    </row>
    <row r="8" spans="1:17" s="38" customFormat="1" x14ac:dyDescent="0.3">
      <c r="A8" s="39" t="s">
        <v>150</v>
      </c>
      <c r="B8" s="40">
        <v>1915.6854410462993</v>
      </c>
      <c r="C8" s="41">
        <f>L30</f>
        <v>1970</v>
      </c>
      <c r="D8" s="42"/>
      <c r="E8" s="43"/>
      <c r="F8" s="44">
        <f>B8+C8+E8</f>
        <v>3885.6854410462993</v>
      </c>
      <c r="G8" s="45">
        <f>E48</f>
        <v>550.23821820529372</v>
      </c>
      <c r="H8" s="43">
        <v>0</v>
      </c>
      <c r="I8" s="46">
        <f>E48</f>
        <v>550.23821820529372</v>
      </c>
      <c r="J8" s="40">
        <f>F8-I8-H8</f>
        <v>3335.4472228410054</v>
      </c>
      <c r="K8" s="33">
        <v>1870</v>
      </c>
      <c r="L8" s="33">
        <v>3290</v>
      </c>
      <c r="M8" s="47">
        <f>I8</f>
        <v>550.23821820529372</v>
      </c>
      <c r="N8" s="35">
        <f>+F48</f>
        <v>15.49</v>
      </c>
      <c r="O8" s="48">
        <f>M8*N8</f>
        <v>8523.19</v>
      </c>
      <c r="P8" s="37">
        <f>+L8-J8</f>
        <v>-45.447222841005441</v>
      </c>
    </row>
    <row r="9" spans="1:17" s="38" customFormat="1" ht="15.6" thickBot="1" x14ac:dyDescent="0.35">
      <c r="A9" s="49" t="s">
        <v>32</v>
      </c>
      <c r="B9" s="50">
        <v>1125.555112272425</v>
      </c>
      <c r="C9" s="51">
        <f>L32</f>
        <v>2900</v>
      </c>
      <c r="D9" s="52"/>
      <c r="E9" s="53">
        <v>0</v>
      </c>
      <c r="F9" s="54">
        <f>B9+C9+E9</f>
        <v>4025.555112272425</v>
      </c>
      <c r="G9" s="55">
        <f>E50</f>
        <v>474.86919555264882</v>
      </c>
      <c r="H9" s="53"/>
      <c r="I9" s="56">
        <f>E50</f>
        <v>474.86919555264882</v>
      </c>
      <c r="J9" s="50">
        <f>F9-I9-H9</f>
        <v>3550.6859167197763</v>
      </c>
      <c r="K9" s="33">
        <v>1130</v>
      </c>
      <c r="L9" s="33">
        <v>3550</v>
      </c>
      <c r="M9" s="57">
        <f>I9</f>
        <v>474.86919555264882</v>
      </c>
      <c r="N9" s="35">
        <f>+F50</f>
        <v>15.29</v>
      </c>
      <c r="O9" s="58">
        <f>M9*N9</f>
        <v>7260.75</v>
      </c>
      <c r="P9" s="37">
        <f>+L9-J9</f>
        <v>-0.68591671977628721</v>
      </c>
    </row>
    <row r="10" spans="1:17" s="38" customFormat="1" ht="16.2" thickBot="1" x14ac:dyDescent="0.35">
      <c r="A10" s="59" t="s">
        <v>33</v>
      </c>
      <c r="B10" s="60">
        <v>7118.2284330534112</v>
      </c>
      <c r="C10" s="61">
        <f>SUM(C6:C9)</f>
        <v>4870</v>
      </c>
      <c r="D10" s="62"/>
      <c r="E10" s="63"/>
      <c r="F10" s="64">
        <f>SUM(F6:F9)</f>
        <v>11988.228433053411</v>
      </c>
      <c r="G10" s="65">
        <f>SUM(G6:G9)</f>
        <v>1939.4412191556926</v>
      </c>
      <c r="H10" s="60"/>
      <c r="I10" s="66">
        <f>SUM(I6:I9)</f>
        <v>1939.4412191556926</v>
      </c>
      <c r="J10" s="60">
        <f>SUM(J6:J9)</f>
        <v>10048.787213897718</v>
      </c>
      <c r="K10" s="67" t="e">
        <f>K6+K7+K8+#REF!+K9</f>
        <v>#REF!</v>
      </c>
      <c r="L10" s="67" t="e">
        <f>L6+L7+L8+#REF!+L9</f>
        <v>#REF!</v>
      </c>
      <c r="M10" s="68">
        <f>SUM(M6:M9)</f>
        <v>1939.4412191556926</v>
      </c>
      <c r="N10" s="69"/>
      <c r="O10" s="70">
        <f>SUM(O6:O9)</f>
        <v>24024.45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1939.4412191556926</v>
      </c>
      <c r="O12" s="84">
        <f>+O10</f>
        <v>24024.45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8188.9400000000005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1959.06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13876.45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>
        <v>1970</v>
      </c>
      <c r="M30" s="141" t="s">
        <v>140</v>
      </c>
      <c r="N30" s="141" t="s">
        <v>138</v>
      </c>
      <c r="O30" s="141" t="s">
        <v>131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>
        <v>2900</v>
      </c>
      <c r="M32" s="149" t="s">
        <v>141</v>
      </c>
      <c r="N32" s="141" t="s">
        <v>138</v>
      </c>
      <c r="O32" s="141" t="s">
        <v>131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41" t="s">
        <v>92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3825.3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10051.1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2567.27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5621.67</v>
      </c>
      <c r="F41" s="192">
        <v>1959.06</v>
      </c>
      <c r="G41" s="187"/>
      <c r="H41" s="86"/>
      <c r="I41" s="108" t="s">
        <v>33</v>
      </c>
      <c r="J41" s="193">
        <f>SUM(J38:J40)-J40</f>
        <v>13876.400000000001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8188.9400000000005</v>
      </c>
      <c r="F42" s="192">
        <f>SUM(F40:F41)</f>
        <v>1959.06</v>
      </c>
      <c r="G42" s="187">
        <f>SUM(E42:F42)</f>
        <v>10148</v>
      </c>
      <c r="H42" s="86"/>
      <c r="I42" s="5" t="s">
        <v>103</v>
      </c>
      <c r="J42" s="153">
        <f>O26-J41</f>
        <v>4.9999999999272404E-2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772.27770360480633</v>
      </c>
      <c r="F46" s="35">
        <v>7.49</v>
      </c>
      <c r="G46" s="214">
        <v>5784.36</v>
      </c>
      <c r="L46" s="38"/>
    </row>
    <row r="47" spans="1:15" ht="15.6" x14ac:dyDescent="0.3">
      <c r="D47" s="215" t="s">
        <v>107</v>
      </c>
      <c r="E47" s="216">
        <f>+G47/F47</f>
        <v>142.05610179294391</v>
      </c>
      <c r="F47" s="217">
        <v>17.29</v>
      </c>
      <c r="G47" s="218">
        <v>2456.15</v>
      </c>
      <c r="L47" s="38"/>
    </row>
    <row r="48" spans="1:15" ht="15.6" x14ac:dyDescent="0.3">
      <c r="D48" s="215" t="s">
        <v>108</v>
      </c>
      <c r="E48" s="216">
        <f>+G48/F48</f>
        <v>550.23821820529372</v>
      </c>
      <c r="F48" s="217">
        <v>15.49</v>
      </c>
      <c r="G48" s="218">
        <v>8523.19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474.86919555264882</v>
      </c>
      <c r="F50" s="221">
        <v>15.29</v>
      </c>
      <c r="G50" s="222">
        <v>7260.75</v>
      </c>
      <c r="L50" s="38"/>
      <c r="M50" s="38"/>
    </row>
    <row r="51" spans="4:13" ht="16.2" thickBot="1" x14ac:dyDescent="0.35">
      <c r="D51" s="223"/>
      <c r="E51" s="224">
        <f>SUM(E46:E50)</f>
        <v>1939.4412191556926</v>
      </c>
      <c r="F51" s="225"/>
      <c r="G51" s="226">
        <f>G46+G47+G48+G50</f>
        <v>24024.45</v>
      </c>
      <c r="J51" s="227">
        <f>G51-E42-F42-J41</f>
        <v>4.9999999999272404E-2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10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692329C-D7F8-4802-AC4B-64FEA4C43C8B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E15C-630A-40BA-A9BE-D8DA33F79AA1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45773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482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2413.9667299534167</v>
      </c>
      <c r="C6" s="26">
        <f>L33/2.0185</f>
        <v>2387.9118157047315</v>
      </c>
      <c r="D6" s="27"/>
      <c r="E6" s="28">
        <v>0</v>
      </c>
      <c r="F6" s="29">
        <f>B6+C6+E6</f>
        <v>4801.8785456581481</v>
      </c>
      <c r="G6" s="30">
        <f>E46</f>
        <v>802.849132176235</v>
      </c>
      <c r="H6" s="31"/>
      <c r="I6" s="32">
        <f>E46</f>
        <v>802.849132176235</v>
      </c>
      <c r="J6" s="25">
        <f>F6-I6-H6</f>
        <v>3999.0294134819133</v>
      </c>
      <c r="K6" s="33">
        <v>2550</v>
      </c>
      <c r="L6" s="33">
        <v>4190</v>
      </c>
      <c r="M6" s="34">
        <f>I6</f>
        <v>802.849132176235</v>
      </c>
      <c r="N6" s="35">
        <f>+F46</f>
        <v>7.49</v>
      </c>
      <c r="O6" s="36">
        <f>M6*N6</f>
        <v>6013.34</v>
      </c>
      <c r="P6" s="37">
        <f>+L6-J6</f>
        <v>190.97058651808675</v>
      </c>
      <c r="Q6" s="38" t="s">
        <v>28</v>
      </c>
    </row>
    <row r="7" spans="1:17" s="38" customFormat="1" x14ac:dyDescent="0.3">
      <c r="A7" s="39" t="s">
        <v>149</v>
      </c>
      <c r="B7" s="40">
        <v>748.68734438351987</v>
      </c>
      <c r="C7" s="41">
        <f>L29</f>
        <v>0</v>
      </c>
      <c r="D7" s="42"/>
      <c r="E7" s="43"/>
      <c r="F7" s="44">
        <f>B7+C7+E7</f>
        <v>748.68734438351987</v>
      </c>
      <c r="G7" s="45">
        <f>E47</f>
        <v>156.44476576055524</v>
      </c>
      <c r="H7" s="43">
        <v>0</v>
      </c>
      <c r="I7" s="46">
        <f>E47</f>
        <v>156.44476576055524</v>
      </c>
      <c r="J7" s="40">
        <f>F7-I7-H7</f>
        <v>592.24257862296463</v>
      </c>
      <c r="K7" s="33">
        <v>710</v>
      </c>
      <c r="L7" s="33">
        <v>550</v>
      </c>
      <c r="M7" s="47">
        <f>I7</f>
        <v>156.44476576055524</v>
      </c>
      <c r="N7" s="35">
        <f>+F47</f>
        <v>17.29</v>
      </c>
      <c r="O7" s="48">
        <f>M7*N7</f>
        <v>2704.93</v>
      </c>
      <c r="P7" s="37">
        <f>+L7-J7</f>
        <v>-42.242578622964629</v>
      </c>
    </row>
    <row r="8" spans="1:17" s="38" customFormat="1" x14ac:dyDescent="0.3">
      <c r="A8" s="39" t="s">
        <v>150</v>
      </c>
      <c r="B8" s="40">
        <v>3335.4472228410054</v>
      </c>
      <c r="C8" s="41">
        <f>L30</f>
        <v>0</v>
      </c>
      <c r="D8" s="42"/>
      <c r="E8" s="43"/>
      <c r="F8" s="44">
        <f>B8+C8+E8</f>
        <v>3335.4472228410054</v>
      </c>
      <c r="G8" s="45">
        <f>E48</f>
        <v>564.36991607488699</v>
      </c>
      <c r="H8" s="43">
        <v>0</v>
      </c>
      <c r="I8" s="46">
        <f>E48</f>
        <v>564.36991607488699</v>
      </c>
      <c r="J8" s="40">
        <f>F8-I8-H8</f>
        <v>2771.0773067661185</v>
      </c>
      <c r="K8" s="33">
        <v>3290</v>
      </c>
      <c r="L8" s="33">
        <v>2730</v>
      </c>
      <c r="M8" s="47">
        <f>I8</f>
        <v>564.36991607488699</v>
      </c>
      <c r="N8" s="35">
        <f>+F48</f>
        <v>15.49</v>
      </c>
      <c r="O8" s="48">
        <f>M8*N8</f>
        <v>8742.09</v>
      </c>
      <c r="P8" s="37">
        <f>+L8-J8</f>
        <v>-41.077306766118454</v>
      </c>
    </row>
    <row r="9" spans="1:17" s="38" customFormat="1" ht="15.6" thickBot="1" x14ac:dyDescent="0.35">
      <c r="A9" s="49" t="s">
        <v>32</v>
      </c>
      <c r="B9" s="50">
        <v>3550.6859167197763</v>
      </c>
      <c r="C9" s="51">
        <f>L32</f>
        <v>0</v>
      </c>
      <c r="D9" s="52"/>
      <c r="E9" s="53">
        <v>0</v>
      </c>
      <c r="F9" s="54">
        <f>B9+C9+E9</f>
        <v>3550.6859167197763</v>
      </c>
      <c r="G9" s="55">
        <f>E50</f>
        <v>209.19293655984305</v>
      </c>
      <c r="H9" s="53"/>
      <c r="I9" s="56">
        <f>E50</f>
        <v>209.19293655984305</v>
      </c>
      <c r="J9" s="50">
        <f>F9-I9-H9</f>
        <v>3341.4929801599333</v>
      </c>
      <c r="K9" s="33">
        <v>3550</v>
      </c>
      <c r="L9" s="33">
        <v>3340</v>
      </c>
      <c r="M9" s="57">
        <f>I9</f>
        <v>209.19293655984305</v>
      </c>
      <c r="N9" s="35">
        <f>+F50</f>
        <v>15.29</v>
      </c>
      <c r="O9" s="58">
        <f>M9*N9</f>
        <v>3198.56</v>
      </c>
      <c r="P9" s="37">
        <f>+L9-J9</f>
        <v>-1.4929801599332677</v>
      </c>
    </row>
    <row r="10" spans="1:17" s="38" customFormat="1" ht="16.2" thickBot="1" x14ac:dyDescent="0.35">
      <c r="A10" s="59" t="s">
        <v>33</v>
      </c>
      <c r="B10" s="60">
        <v>10048.787213897718</v>
      </c>
      <c r="C10" s="61">
        <f>SUM(C6:C9)</f>
        <v>2387.9118157047315</v>
      </c>
      <c r="D10" s="62"/>
      <c r="E10" s="63"/>
      <c r="F10" s="64">
        <f>SUM(F6:F9)</f>
        <v>12436.699029602451</v>
      </c>
      <c r="G10" s="65">
        <f>SUM(G6:G9)</f>
        <v>1732.8567505715203</v>
      </c>
      <c r="H10" s="60"/>
      <c r="I10" s="66">
        <f>SUM(I6:I9)</f>
        <v>1732.8567505715203</v>
      </c>
      <c r="J10" s="60">
        <f>SUM(J6:J9)</f>
        <v>10703.842279030929</v>
      </c>
      <c r="K10" s="67" t="e">
        <f>K6+K7+K8+#REF!+K9</f>
        <v>#REF!</v>
      </c>
      <c r="L10" s="67" t="e">
        <f>L6+L7+L8+#REF!+L9</f>
        <v>#REF!</v>
      </c>
      <c r="M10" s="68">
        <f>SUM(M6:M9)</f>
        <v>1732.8567505715203</v>
      </c>
      <c r="N10" s="69"/>
      <c r="O10" s="70">
        <f>SUM(O6:O9)</f>
        <v>20658.920000000002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1732.8567505715203</v>
      </c>
      <c r="O12" s="84">
        <f>+O10</f>
        <v>20658.920000000002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3335.37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768.37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300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16255.180000000004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131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131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>
        <v>4820</v>
      </c>
      <c r="M33" s="149" t="s">
        <v>142</v>
      </c>
      <c r="N33" s="147" t="s">
        <v>118</v>
      </c>
      <c r="O33" s="141" t="s">
        <v>143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5245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11010.1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2165.37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1170</v>
      </c>
      <c r="F41" s="192">
        <v>768.37</v>
      </c>
      <c r="G41" s="187"/>
      <c r="H41" s="86"/>
      <c r="I41" s="108" t="s">
        <v>33</v>
      </c>
      <c r="J41" s="193">
        <f>SUM(J38:J40)-J40</f>
        <v>16255.1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3335.37</v>
      </c>
      <c r="F42" s="192">
        <f>SUM(F40:F41)</f>
        <v>768.37</v>
      </c>
      <c r="G42" s="187">
        <f>SUM(E42:F42)</f>
        <v>4103.74</v>
      </c>
      <c r="H42" s="86"/>
      <c r="I42" s="5" t="s">
        <v>103</v>
      </c>
      <c r="J42" s="153">
        <f>O26-J41</f>
        <v>8.0000000003565219E-2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802.849132176235</v>
      </c>
      <c r="F46" s="35">
        <v>7.49</v>
      </c>
      <c r="G46" s="214">
        <v>6013.34</v>
      </c>
      <c r="L46" s="38"/>
    </row>
    <row r="47" spans="1:15" ht="15.6" x14ac:dyDescent="0.3">
      <c r="D47" s="215" t="s">
        <v>107</v>
      </c>
      <c r="E47" s="216">
        <f>+G47/F47</f>
        <v>156.44476576055524</v>
      </c>
      <c r="F47" s="217">
        <v>17.29</v>
      </c>
      <c r="G47" s="218">
        <v>2704.93</v>
      </c>
      <c r="L47" s="38"/>
    </row>
    <row r="48" spans="1:15" ht="15.6" x14ac:dyDescent="0.3">
      <c r="D48" s="215" t="s">
        <v>108</v>
      </c>
      <c r="E48" s="216">
        <f>+G48/F48</f>
        <v>564.36991607488699</v>
      </c>
      <c r="F48" s="217">
        <v>15.49</v>
      </c>
      <c r="G48" s="218">
        <v>8742.09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209.19293655984305</v>
      </c>
      <c r="F50" s="221">
        <v>15.29</v>
      </c>
      <c r="G50" s="222">
        <v>3198.56</v>
      </c>
      <c r="L50" s="38"/>
      <c r="M50" s="38"/>
    </row>
    <row r="51" spans="4:13" ht="16.2" thickBot="1" x14ac:dyDescent="0.35">
      <c r="D51" s="223"/>
      <c r="E51" s="224">
        <f>SUM(E46:E50)</f>
        <v>1732.8567505715203</v>
      </c>
      <c r="F51" s="225"/>
      <c r="G51" s="226">
        <f>G46+G47+G48+G50</f>
        <v>20658.920000000002</v>
      </c>
      <c r="J51" s="227">
        <f>G51-E42-F42-J41</f>
        <v>300.08000000000357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8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30BA099-BC80-4B68-ACE5-3BDDA1419F2C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2CA0-E999-449C-85F4-650E57F11E44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45774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483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3999.0294134819133</v>
      </c>
      <c r="C6" s="26">
        <f>L33/2.0185</f>
        <v>0</v>
      </c>
      <c r="D6" s="27"/>
      <c r="E6" s="28">
        <v>0</v>
      </c>
      <c r="F6" s="29">
        <f>B6+C6+E6</f>
        <v>3999.0294134819133</v>
      </c>
      <c r="G6" s="30">
        <f>E46</f>
        <v>690.40453938584778</v>
      </c>
      <c r="H6" s="31"/>
      <c r="I6" s="32">
        <f>E46</f>
        <v>690.40453938584778</v>
      </c>
      <c r="J6" s="25">
        <f>F6-I6-H6</f>
        <v>3308.6248740960655</v>
      </c>
      <c r="K6" s="33">
        <v>4190</v>
      </c>
      <c r="L6" s="33">
        <v>3500</v>
      </c>
      <c r="M6" s="34">
        <f>I6</f>
        <v>690.40453938584778</v>
      </c>
      <c r="N6" s="35">
        <f>+F46</f>
        <v>7.49</v>
      </c>
      <c r="O6" s="36">
        <f>M6*N6</f>
        <v>5171.13</v>
      </c>
      <c r="P6" s="37">
        <f>+L6-J6</f>
        <v>191.37512590393453</v>
      </c>
      <c r="Q6" s="38" t="s">
        <v>28</v>
      </c>
    </row>
    <row r="7" spans="1:17" s="38" customFormat="1" x14ac:dyDescent="0.3">
      <c r="A7" s="39" t="s">
        <v>149</v>
      </c>
      <c r="B7" s="40">
        <v>592.24257862296463</v>
      </c>
      <c r="C7" s="41">
        <f>L29</f>
        <v>0</v>
      </c>
      <c r="D7" s="42"/>
      <c r="E7" s="43"/>
      <c r="F7" s="44">
        <f>B7+C7+E7</f>
        <v>592.24257862296463</v>
      </c>
      <c r="G7" s="45">
        <f>E47</f>
        <v>151.55639097744361</v>
      </c>
      <c r="H7" s="43">
        <v>0</v>
      </c>
      <c r="I7" s="46">
        <f>E47</f>
        <v>151.55639097744361</v>
      </c>
      <c r="J7" s="40">
        <f>F7-I7-H7</f>
        <v>440.68618764552104</v>
      </c>
      <c r="K7" s="33">
        <v>550</v>
      </c>
      <c r="L7" s="33">
        <v>400</v>
      </c>
      <c r="M7" s="47">
        <f>I7</f>
        <v>151.55639097744361</v>
      </c>
      <c r="N7" s="35">
        <f>+F47</f>
        <v>17.29</v>
      </c>
      <c r="O7" s="48">
        <f>M7*N7</f>
        <v>2620.41</v>
      </c>
      <c r="P7" s="37">
        <f>+L7-J7</f>
        <v>-40.686187645521045</v>
      </c>
    </row>
    <row r="8" spans="1:17" s="38" customFormat="1" x14ac:dyDescent="0.3">
      <c r="A8" s="39" t="s">
        <v>150</v>
      </c>
      <c r="B8" s="40">
        <v>2771.0773067661185</v>
      </c>
      <c r="C8" s="41">
        <f>L30</f>
        <v>0</v>
      </c>
      <c r="D8" s="42"/>
      <c r="E8" s="43"/>
      <c r="F8" s="44">
        <f>B8+C8+E8</f>
        <v>2771.0773067661185</v>
      </c>
      <c r="G8" s="45">
        <f>E48</f>
        <v>585.53712072304711</v>
      </c>
      <c r="H8" s="43">
        <v>0</v>
      </c>
      <c r="I8" s="46">
        <f>E48</f>
        <v>585.53712072304711</v>
      </c>
      <c r="J8" s="40">
        <f>F8-I8-H8</f>
        <v>2185.5401860430711</v>
      </c>
      <c r="K8" s="33">
        <v>2730</v>
      </c>
      <c r="L8" s="33">
        <v>2140</v>
      </c>
      <c r="M8" s="47">
        <f>I8</f>
        <v>585.53712072304711</v>
      </c>
      <c r="N8" s="35">
        <f>+F48</f>
        <v>15.49</v>
      </c>
      <c r="O8" s="48">
        <f>M8*N8</f>
        <v>9069.9699999999993</v>
      </c>
      <c r="P8" s="37">
        <f>+L8-J8</f>
        <v>-45.540186043071117</v>
      </c>
    </row>
    <row r="9" spans="1:17" s="38" customFormat="1" ht="15.6" thickBot="1" x14ac:dyDescent="0.35">
      <c r="A9" s="49" t="s">
        <v>32</v>
      </c>
      <c r="B9" s="50">
        <v>3341.4929801599333</v>
      </c>
      <c r="C9" s="51">
        <f>L32</f>
        <v>0</v>
      </c>
      <c r="D9" s="52"/>
      <c r="E9" s="53">
        <v>0</v>
      </c>
      <c r="F9" s="54">
        <f>B9+C9+E9</f>
        <v>3341.4929801599333</v>
      </c>
      <c r="G9" s="55">
        <f>E50</f>
        <v>111.92674950948332</v>
      </c>
      <c r="H9" s="53"/>
      <c r="I9" s="56">
        <f>E50</f>
        <v>111.92674950948332</v>
      </c>
      <c r="J9" s="50">
        <f>F9-I9-H9</f>
        <v>3229.5662306504501</v>
      </c>
      <c r="K9" s="33">
        <v>3340</v>
      </c>
      <c r="L9" s="33">
        <v>3235</v>
      </c>
      <c r="M9" s="57">
        <f>I9</f>
        <v>111.92674950948332</v>
      </c>
      <c r="N9" s="35">
        <f>+F50</f>
        <v>15.29</v>
      </c>
      <c r="O9" s="58">
        <f>M9*N9</f>
        <v>1711.36</v>
      </c>
      <c r="P9" s="37">
        <f>+L9-J9</f>
        <v>5.4337693495499479</v>
      </c>
    </row>
    <row r="10" spans="1:17" s="38" customFormat="1" ht="16.2" thickBot="1" x14ac:dyDescent="0.35">
      <c r="A10" s="59" t="s">
        <v>33</v>
      </c>
      <c r="B10" s="60">
        <v>10703.842279030929</v>
      </c>
      <c r="C10" s="61">
        <f>SUM(C6:C9)</f>
        <v>0</v>
      </c>
      <c r="D10" s="62"/>
      <c r="E10" s="63"/>
      <c r="F10" s="64">
        <f>SUM(F6:F9)</f>
        <v>10703.842279030929</v>
      </c>
      <c r="G10" s="65">
        <f>SUM(G6:G9)</f>
        <v>1539.4248005958216</v>
      </c>
      <c r="H10" s="60"/>
      <c r="I10" s="66">
        <f>SUM(I6:I9)</f>
        <v>1539.4248005958216</v>
      </c>
      <c r="J10" s="60">
        <f>SUM(J6:J9)</f>
        <v>9164.4174784351089</v>
      </c>
      <c r="K10" s="67" t="e">
        <f>K6+K7+K8+#REF!+K9</f>
        <v>#REF!</v>
      </c>
      <c r="L10" s="67" t="e">
        <f>L6+L7+L8+#REF!+L9</f>
        <v>#REF!</v>
      </c>
      <c r="M10" s="68">
        <f>SUM(M6:M9)</f>
        <v>1539.4248005958216</v>
      </c>
      <c r="N10" s="69"/>
      <c r="O10" s="70">
        <f>SUM(O6:O9)</f>
        <v>18572.87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1539.4248005958216</v>
      </c>
      <c r="O12" s="84">
        <f>+O10</f>
        <v>18572.87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2212.6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1260.93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/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15099.339999999998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131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131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41" t="s">
        <v>143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3910.2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11189.2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1740.18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472.42</v>
      </c>
      <c r="F41" s="192">
        <v>1260.93</v>
      </c>
      <c r="G41" s="187"/>
      <c r="H41" s="86"/>
      <c r="I41" s="108" t="s">
        <v>33</v>
      </c>
      <c r="J41" s="193">
        <f>SUM(J38:J40)-J40</f>
        <v>15099.400000000001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2212.6</v>
      </c>
      <c r="F42" s="192">
        <f>SUM(F40:F41)</f>
        <v>1260.93</v>
      </c>
      <c r="G42" s="187">
        <f>SUM(E42:F42)</f>
        <v>3473.5299999999997</v>
      </c>
      <c r="H42" s="86"/>
      <c r="I42" s="5" t="s">
        <v>103</v>
      </c>
      <c r="J42" s="153">
        <f>O26-J41</f>
        <v>-6.0000000003128662E-2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690.40453938584778</v>
      </c>
      <c r="F46" s="35">
        <v>7.49</v>
      </c>
      <c r="G46" s="214">
        <v>5171.13</v>
      </c>
      <c r="L46" s="38"/>
    </row>
    <row r="47" spans="1:15" ht="15.6" x14ac:dyDescent="0.3">
      <c r="D47" s="215" t="s">
        <v>107</v>
      </c>
      <c r="E47" s="216">
        <f>+G47/F47</f>
        <v>151.55639097744361</v>
      </c>
      <c r="F47" s="217">
        <v>17.29</v>
      </c>
      <c r="G47" s="218">
        <v>2620.41</v>
      </c>
      <c r="L47" s="38"/>
    </row>
    <row r="48" spans="1:15" ht="15.6" x14ac:dyDescent="0.3">
      <c r="D48" s="215" t="s">
        <v>108</v>
      </c>
      <c r="E48" s="216">
        <f>+G48/F48</f>
        <v>585.53712072304711</v>
      </c>
      <c r="F48" s="217">
        <v>15.49</v>
      </c>
      <c r="G48" s="218">
        <v>9069.9699999999993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111.92674950948332</v>
      </c>
      <c r="F50" s="221">
        <v>15.29</v>
      </c>
      <c r="G50" s="222">
        <v>1711.36</v>
      </c>
      <c r="L50" s="38"/>
      <c r="M50" s="38"/>
    </row>
    <row r="51" spans="4:13" ht="16.2" thickBot="1" x14ac:dyDescent="0.35">
      <c r="D51" s="223"/>
      <c r="E51" s="224">
        <f>SUM(E46:E50)</f>
        <v>1539.4248005958216</v>
      </c>
      <c r="F51" s="225"/>
      <c r="G51" s="226">
        <f>G46+G47+G48+G50</f>
        <v>18572.87</v>
      </c>
      <c r="J51" s="227">
        <f>G51-E42-F42-J41</f>
        <v>-6.0000000003128662E-2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6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D92FA3B-D276-4803-A1E0-016C527FE09D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6E83-6F6E-40BF-886F-770966BF5475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45775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484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3308.6248740960655</v>
      </c>
      <c r="C6" s="26">
        <f>L33/2.0185</f>
        <v>1917.2652960118901</v>
      </c>
      <c r="D6" s="27"/>
      <c r="E6" s="28">
        <v>0</v>
      </c>
      <c r="F6" s="29">
        <f>B6+C6+E6</f>
        <v>5225.8901701079558</v>
      </c>
      <c r="G6" s="30">
        <f>E46</f>
        <v>565.00534045393863</v>
      </c>
      <c r="H6" s="31"/>
      <c r="I6" s="32">
        <f>E46</f>
        <v>565.00534045393863</v>
      </c>
      <c r="J6" s="25">
        <f>F6-I6-H6</f>
        <v>4660.8848296540173</v>
      </c>
      <c r="K6" s="33">
        <v>3500</v>
      </c>
      <c r="L6" s="33">
        <v>4860</v>
      </c>
      <c r="M6" s="34">
        <f>I6</f>
        <v>565.00534045393863</v>
      </c>
      <c r="N6" s="35">
        <f>+F46</f>
        <v>7.49</v>
      </c>
      <c r="O6" s="36">
        <f>M6*N6</f>
        <v>4231.8900000000003</v>
      </c>
      <c r="P6" s="37">
        <f>+L6-J6</f>
        <v>199.11517034598273</v>
      </c>
      <c r="Q6" s="38" t="s">
        <v>28</v>
      </c>
    </row>
    <row r="7" spans="1:17" s="38" customFormat="1" x14ac:dyDescent="0.3">
      <c r="A7" s="39" t="s">
        <v>149</v>
      </c>
      <c r="B7" s="40">
        <v>440.68618764552104</v>
      </c>
      <c r="C7" s="41">
        <f>L29</f>
        <v>0</v>
      </c>
      <c r="D7" s="42"/>
      <c r="E7" s="43"/>
      <c r="F7" s="44">
        <f>B7+C7+E7</f>
        <v>440.68618764552104</v>
      </c>
      <c r="G7" s="45">
        <f>E47</f>
        <v>164.40023134759977</v>
      </c>
      <c r="H7" s="43">
        <v>0</v>
      </c>
      <c r="I7" s="46">
        <f>E47</f>
        <v>164.40023134759977</v>
      </c>
      <c r="J7" s="40">
        <f>F7-I7-H7</f>
        <v>276.2859562979213</v>
      </c>
      <c r="K7" s="33">
        <v>400</v>
      </c>
      <c r="L7" s="33">
        <v>235</v>
      </c>
      <c r="M7" s="47">
        <f>I7</f>
        <v>164.40023134759977</v>
      </c>
      <c r="N7" s="35">
        <f>+F47</f>
        <v>17.29</v>
      </c>
      <c r="O7" s="48">
        <f>M7*N7</f>
        <v>2842.48</v>
      </c>
      <c r="P7" s="37">
        <f>+L7-J7</f>
        <v>-41.285956297921302</v>
      </c>
    </row>
    <row r="8" spans="1:17" s="38" customFormat="1" x14ac:dyDescent="0.3">
      <c r="A8" s="39" t="s">
        <v>150</v>
      </c>
      <c r="B8" s="40">
        <v>2185.5401860430711</v>
      </c>
      <c r="C8" s="41">
        <f>L30</f>
        <v>0</v>
      </c>
      <c r="D8" s="42"/>
      <c r="E8" s="43"/>
      <c r="F8" s="44">
        <f>B8+C8+E8</f>
        <v>2185.5401860430711</v>
      </c>
      <c r="G8" s="45">
        <f>E48</f>
        <v>569.48418334409291</v>
      </c>
      <c r="H8" s="43">
        <v>0</v>
      </c>
      <c r="I8" s="46">
        <f>E48</f>
        <v>569.48418334409291</v>
      </c>
      <c r="J8" s="40">
        <f>F8-I8-H8</f>
        <v>1616.0560026989783</v>
      </c>
      <c r="K8" s="33">
        <v>2140</v>
      </c>
      <c r="L8" s="33">
        <v>1570</v>
      </c>
      <c r="M8" s="47">
        <f>I8</f>
        <v>569.48418334409291</v>
      </c>
      <c r="N8" s="35">
        <f>+F48</f>
        <v>15.49</v>
      </c>
      <c r="O8" s="48">
        <f>M8*N8</f>
        <v>8821.31</v>
      </c>
      <c r="P8" s="37">
        <f>+L8-J8</f>
        <v>-46.056002698978318</v>
      </c>
    </row>
    <row r="9" spans="1:17" s="38" customFormat="1" ht="15.6" thickBot="1" x14ac:dyDescent="0.35">
      <c r="A9" s="49" t="s">
        <v>32</v>
      </c>
      <c r="B9" s="50">
        <v>3229.5662306504501</v>
      </c>
      <c r="C9" s="51">
        <f>L32</f>
        <v>0</v>
      </c>
      <c r="D9" s="52"/>
      <c r="E9" s="53">
        <v>0</v>
      </c>
      <c r="F9" s="54">
        <f>B9+C9+E9</f>
        <v>3229.5662306504501</v>
      </c>
      <c r="G9" s="55">
        <f>E50</f>
        <v>163.74950948332244</v>
      </c>
      <c r="H9" s="53"/>
      <c r="I9" s="56">
        <f>E50</f>
        <v>163.74950948332244</v>
      </c>
      <c r="J9" s="50">
        <f>F9-I9-H9</f>
        <v>3065.8167211671275</v>
      </c>
      <c r="K9" s="33">
        <v>3235</v>
      </c>
      <c r="L9" s="33">
        <v>3060</v>
      </c>
      <c r="M9" s="57">
        <f>I9</f>
        <v>163.74950948332244</v>
      </c>
      <c r="N9" s="35">
        <f>+F50</f>
        <v>15.29</v>
      </c>
      <c r="O9" s="58">
        <f>M9*N9</f>
        <v>2503.73</v>
      </c>
      <c r="P9" s="37">
        <f>+L9-J9</f>
        <v>-5.8167211671275254</v>
      </c>
    </row>
    <row r="10" spans="1:17" s="38" customFormat="1" ht="16.2" thickBot="1" x14ac:dyDescent="0.35">
      <c r="A10" s="59" t="s">
        <v>33</v>
      </c>
      <c r="B10" s="60">
        <v>9164.4174784351089</v>
      </c>
      <c r="C10" s="61">
        <f>SUM(C6:C9)</f>
        <v>1917.2652960118901</v>
      </c>
      <c r="D10" s="62"/>
      <c r="E10" s="63"/>
      <c r="F10" s="64">
        <f>SUM(F6:F9)</f>
        <v>11081.682774446999</v>
      </c>
      <c r="G10" s="65">
        <f>SUM(G6:G9)</f>
        <v>1462.6392646289537</v>
      </c>
      <c r="H10" s="60"/>
      <c r="I10" s="66">
        <f>SUM(I6:I9)</f>
        <v>1462.6392646289537</v>
      </c>
      <c r="J10" s="60">
        <f>SUM(J6:J9)</f>
        <v>9619.0435098180442</v>
      </c>
      <c r="K10" s="67" t="e">
        <f>K6+K7+K8+#REF!+K9</f>
        <v>#REF!</v>
      </c>
      <c r="L10" s="67" t="e">
        <f>L6+L7+L8+#REF!+L9</f>
        <v>#REF!</v>
      </c>
      <c r="M10" s="68">
        <f>SUM(M6:M9)</f>
        <v>1462.6392646289537</v>
      </c>
      <c r="N10" s="69"/>
      <c r="O10" s="70">
        <f>SUM(O6:O9)</f>
        <v>18399.41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1462.6392646289537</v>
      </c>
      <c r="O12" s="84">
        <f>+O10</f>
        <v>18399.41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2256.4300000000003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867.76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145</v>
      </c>
      <c r="M20" s="287"/>
      <c r="N20" s="95">
        <v>0</v>
      </c>
      <c r="O20" s="96">
        <v>6660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/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26.73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80.45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8508.0399999999991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131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131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>
        <v>3870</v>
      </c>
      <c r="M33" s="149"/>
      <c r="N33" s="147" t="s">
        <v>144</v>
      </c>
      <c r="O33" s="141" t="s">
        <v>133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3337.4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5170.7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929.51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1326.92</v>
      </c>
      <c r="F41" s="192">
        <v>867.76</v>
      </c>
      <c r="G41" s="187"/>
      <c r="H41" s="86"/>
      <c r="I41" s="108" t="s">
        <v>33</v>
      </c>
      <c r="J41" s="193">
        <f>SUM(J38:J40)-J40</f>
        <v>8508.1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2256.4300000000003</v>
      </c>
      <c r="F42" s="192">
        <f>SUM(F40:F41)</f>
        <v>867.76</v>
      </c>
      <c r="G42" s="187">
        <f>SUM(E42:F42)</f>
        <v>3124.1900000000005</v>
      </c>
      <c r="H42" s="86"/>
      <c r="I42" s="5" t="s">
        <v>103</v>
      </c>
      <c r="J42" s="153">
        <f>O26-J41</f>
        <v>-6.0000000001309672E-2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565.00534045393863</v>
      </c>
      <c r="F46" s="35">
        <v>7.49</v>
      </c>
      <c r="G46" s="214">
        <v>4231.8900000000003</v>
      </c>
      <c r="L46" s="38"/>
    </row>
    <row r="47" spans="1:15" ht="15.6" x14ac:dyDescent="0.3">
      <c r="D47" s="215" t="s">
        <v>107</v>
      </c>
      <c r="E47" s="216">
        <f>+G47/F47</f>
        <v>164.40023134759977</v>
      </c>
      <c r="F47" s="217">
        <v>17.29</v>
      </c>
      <c r="G47" s="218">
        <v>2842.48</v>
      </c>
      <c r="L47" s="38"/>
    </row>
    <row r="48" spans="1:15" ht="15.6" x14ac:dyDescent="0.3">
      <c r="D48" s="215" t="s">
        <v>108</v>
      </c>
      <c r="E48" s="216">
        <f>+G48/F48</f>
        <v>569.48418334409291</v>
      </c>
      <c r="F48" s="217">
        <v>15.49</v>
      </c>
      <c r="G48" s="218">
        <v>8821.31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163.74950948332244</v>
      </c>
      <c r="F50" s="221">
        <v>15.29</v>
      </c>
      <c r="G50" s="222">
        <v>2503.73</v>
      </c>
      <c r="L50" s="38"/>
      <c r="M50" s="38"/>
    </row>
    <row r="51" spans="4:13" ht="16.2" thickBot="1" x14ac:dyDescent="0.35">
      <c r="D51" s="223"/>
      <c r="E51" s="224">
        <f>SUM(E46:E50)</f>
        <v>1462.6392646289537</v>
      </c>
      <c r="F51" s="225"/>
      <c r="G51" s="226">
        <f>G46+G47+G48+G50</f>
        <v>18399.41</v>
      </c>
      <c r="J51" s="227">
        <f>G51-E42-F42-J41</f>
        <v>6767.119999999999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4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7406E01-15EB-4E64-A5E8-7DBD355C5179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9C3C-0C9C-4B2F-AD3D-09EC7C59D226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45776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485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4660.8848296540173</v>
      </c>
      <c r="C6" s="26">
        <f>L33/2.0185</f>
        <v>0</v>
      </c>
      <c r="D6" s="27"/>
      <c r="E6" s="28">
        <v>0</v>
      </c>
      <c r="F6" s="29">
        <f>B6+C6+E6</f>
        <v>4660.8848296540173</v>
      </c>
      <c r="G6" s="30">
        <f>E46</f>
        <v>754.23765020026701</v>
      </c>
      <c r="H6" s="31"/>
      <c r="I6" s="32">
        <f>E46</f>
        <v>754.23765020026701</v>
      </c>
      <c r="J6" s="25">
        <f>F6-I6-H6</f>
        <v>3906.6471794537501</v>
      </c>
      <c r="K6" s="33">
        <v>4860</v>
      </c>
      <c r="L6" s="33">
        <v>4120</v>
      </c>
      <c r="M6" s="34">
        <f>I6</f>
        <v>754.23765020026701</v>
      </c>
      <c r="N6" s="35">
        <f>+F46</f>
        <v>7.49</v>
      </c>
      <c r="O6" s="36">
        <f>M6*N6</f>
        <v>5649.24</v>
      </c>
      <c r="P6" s="37">
        <f>+L6-J6</f>
        <v>213.35282054624986</v>
      </c>
      <c r="Q6" s="38" t="s">
        <v>28</v>
      </c>
    </row>
    <row r="7" spans="1:17" s="38" customFormat="1" x14ac:dyDescent="0.3">
      <c r="A7" s="39" t="s">
        <v>149</v>
      </c>
      <c r="B7" s="40">
        <v>276.2859562979213</v>
      </c>
      <c r="C7" s="41">
        <f>L29</f>
        <v>0</v>
      </c>
      <c r="D7" s="42"/>
      <c r="E7" s="43"/>
      <c r="F7" s="44">
        <f>B7+C7+E7</f>
        <v>276.2859562979213</v>
      </c>
      <c r="G7" s="45">
        <f>E47</f>
        <v>166.62579525737422</v>
      </c>
      <c r="H7" s="43">
        <v>0</v>
      </c>
      <c r="I7" s="46">
        <f>E47</f>
        <v>166.62579525737422</v>
      </c>
      <c r="J7" s="40">
        <f>F7-I7-H7</f>
        <v>109.66016104054708</v>
      </c>
      <c r="K7" s="33">
        <v>235</v>
      </c>
      <c r="L7" s="33">
        <v>70</v>
      </c>
      <c r="M7" s="47">
        <f>I7</f>
        <v>166.62579525737422</v>
      </c>
      <c r="N7" s="35">
        <f>+F47</f>
        <v>17.29</v>
      </c>
      <c r="O7" s="48">
        <f>M7*N7</f>
        <v>2880.96</v>
      </c>
      <c r="P7" s="37">
        <f>+L7-J7</f>
        <v>-39.660161040547081</v>
      </c>
    </row>
    <row r="8" spans="1:17" s="38" customFormat="1" x14ac:dyDescent="0.3">
      <c r="A8" s="39" t="s">
        <v>150</v>
      </c>
      <c r="B8" s="40">
        <v>1616.0560026989783</v>
      </c>
      <c r="C8" s="41">
        <f>L30</f>
        <v>0</v>
      </c>
      <c r="D8" s="42"/>
      <c r="E8" s="43"/>
      <c r="F8" s="44">
        <f>B8+C8+E8</f>
        <v>1616.0560026989783</v>
      </c>
      <c r="G8" s="45">
        <f>E48</f>
        <v>565.39767591994837</v>
      </c>
      <c r="H8" s="43">
        <v>0</v>
      </c>
      <c r="I8" s="46">
        <f>E48</f>
        <v>565.39767591994837</v>
      </c>
      <c r="J8" s="40">
        <f>F8-I8-H8</f>
        <v>1050.6583267790299</v>
      </c>
      <c r="K8" s="33">
        <v>1570</v>
      </c>
      <c r="L8" s="33">
        <v>1000</v>
      </c>
      <c r="M8" s="47">
        <f>I8</f>
        <v>565.39767591994837</v>
      </c>
      <c r="N8" s="35">
        <f>+F48</f>
        <v>15.49</v>
      </c>
      <c r="O8" s="48">
        <f>M8*N8</f>
        <v>8758.01</v>
      </c>
      <c r="P8" s="37">
        <f>+L8-J8</f>
        <v>-50.658326779029949</v>
      </c>
    </row>
    <row r="9" spans="1:17" s="38" customFormat="1" ht="15.6" thickBot="1" x14ac:dyDescent="0.35">
      <c r="A9" s="49" t="s">
        <v>32</v>
      </c>
      <c r="B9" s="50">
        <v>3065.8167211671275</v>
      </c>
      <c r="C9" s="51">
        <f>L32</f>
        <v>0</v>
      </c>
      <c r="D9" s="52"/>
      <c r="E9" s="53">
        <v>0</v>
      </c>
      <c r="F9" s="54">
        <f>B9+C9+E9</f>
        <v>3065.8167211671275</v>
      </c>
      <c r="G9" s="55">
        <f>E50</f>
        <v>228.37148463047745</v>
      </c>
      <c r="H9" s="53"/>
      <c r="I9" s="56">
        <f>E50</f>
        <v>228.37148463047745</v>
      </c>
      <c r="J9" s="50">
        <f>F9-I9-H9</f>
        <v>2837.4452365366501</v>
      </c>
      <c r="K9" s="33">
        <v>3060</v>
      </c>
      <c r="L9" s="33">
        <v>2840</v>
      </c>
      <c r="M9" s="57">
        <f>I9</f>
        <v>228.37148463047745</v>
      </c>
      <c r="N9" s="35">
        <f>+F50</f>
        <v>15.29</v>
      </c>
      <c r="O9" s="58">
        <f>M9*N9</f>
        <v>3491.8</v>
      </c>
      <c r="P9" s="37">
        <f>+L9-J9</f>
        <v>2.5547634633499001</v>
      </c>
    </row>
    <row r="10" spans="1:17" s="38" customFormat="1" ht="16.2" thickBot="1" x14ac:dyDescent="0.35">
      <c r="A10" s="59" t="s">
        <v>33</v>
      </c>
      <c r="B10" s="60">
        <v>9619.0435098180442</v>
      </c>
      <c r="C10" s="61">
        <f>SUM(C6:C9)</f>
        <v>0</v>
      </c>
      <c r="D10" s="62"/>
      <c r="E10" s="63"/>
      <c r="F10" s="64">
        <f>SUM(F6:F9)</f>
        <v>9619.0435098180442</v>
      </c>
      <c r="G10" s="65">
        <f>SUM(G6:G9)</f>
        <v>1714.6326060080669</v>
      </c>
      <c r="H10" s="60"/>
      <c r="I10" s="66">
        <f>SUM(I6:I9)</f>
        <v>1714.6326060080669</v>
      </c>
      <c r="J10" s="60">
        <f>SUM(J6:J9)</f>
        <v>7904.4109038099778</v>
      </c>
      <c r="K10" s="67" t="e">
        <f>K6+K7+K8+#REF!+K9</f>
        <v>#REF!</v>
      </c>
      <c r="L10" s="67" t="e">
        <f>L6+L7+L8+#REF!+L9</f>
        <v>#REF!</v>
      </c>
      <c r="M10" s="68">
        <f>SUM(M6:M9)</f>
        <v>1714.6326060080669</v>
      </c>
      <c r="N10" s="69"/>
      <c r="O10" s="70">
        <f>SUM(O6:O9)</f>
        <v>20780.009999999998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1714.6326060080669</v>
      </c>
      <c r="O12" s="84">
        <f>+O10</f>
        <v>20780.009999999998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5623.03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2390.64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145</v>
      </c>
      <c r="M20" s="287"/>
      <c r="N20" s="95">
        <v>0</v>
      </c>
      <c r="O20" s="96"/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/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/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/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12766.34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79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131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131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41" t="s">
        <v>133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3258.6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9507.7000000000007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3543.06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2079.9699999999998</v>
      </c>
      <c r="F41" s="192">
        <v>2390.64</v>
      </c>
      <c r="G41" s="187"/>
      <c r="H41" s="86"/>
      <c r="I41" s="108" t="s">
        <v>33</v>
      </c>
      <c r="J41" s="193">
        <f>SUM(J38:J40)-J40</f>
        <v>12766.300000000001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5623.03</v>
      </c>
      <c r="F42" s="192">
        <f>SUM(F40:F41)</f>
        <v>2390.64</v>
      </c>
      <c r="G42" s="187">
        <f>SUM(E42:F42)</f>
        <v>8013.67</v>
      </c>
      <c r="H42" s="86"/>
      <c r="I42" s="5" t="s">
        <v>103</v>
      </c>
      <c r="J42" s="153">
        <f>O26-J41</f>
        <v>3.9999999999054126E-2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754.23765020026701</v>
      </c>
      <c r="F46" s="35">
        <v>7.49</v>
      </c>
      <c r="G46" s="214">
        <v>5649.24</v>
      </c>
      <c r="L46" s="38"/>
    </row>
    <row r="47" spans="1:15" ht="15.6" x14ac:dyDescent="0.3">
      <c r="D47" s="215" t="s">
        <v>107</v>
      </c>
      <c r="E47" s="216">
        <f>+G47/F47</f>
        <v>166.62579525737422</v>
      </c>
      <c r="F47" s="217">
        <v>17.29</v>
      </c>
      <c r="G47" s="218">
        <v>2880.96</v>
      </c>
      <c r="L47" s="38"/>
    </row>
    <row r="48" spans="1:15" ht="15.6" x14ac:dyDescent="0.3">
      <c r="D48" s="215" t="s">
        <v>108</v>
      </c>
      <c r="E48" s="216">
        <f>+G48/F48</f>
        <v>565.39767591994837</v>
      </c>
      <c r="F48" s="217">
        <v>15.49</v>
      </c>
      <c r="G48" s="218">
        <v>8758.01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228.37148463047745</v>
      </c>
      <c r="F50" s="221">
        <v>15.29</v>
      </c>
      <c r="G50" s="222">
        <v>3491.8</v>
      </c>
      <c r="L50" s="38"/>
      <c r="M50" s="38"/>
    </row>
    <row r="51" spans="4:13" ht="16.2" thickBot="1" x14ac:dyDescent="0.35">
      <c r="D51" s="223"/>
      <c r="E51" s="224">
        <f>SUM(E46:E50)</f>
        <v>1714.6326060080669</v>
      </c>
      <c r="F51" s="225"/>
      <c r="G51" s="226">
        <f>G46+G47+G48+G50</f>
        <v>20780.009999999998</v>
      </c>
      <c r="J51" s="227">
        <f>G51-E42-F42-J41</f>
        <v>3.9999999999054126E-2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2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778960C-9251-4509-99D5-A968EDF5F24C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8C75-5BC6-48CC-B438-5EB78A7E4C2C}">
  <sheetPr>
    <pageSetUpPr fitToPage="1"/>
  </sheetPr>
  <dimension ref="A1:Q51"/>
  <sheetViews>
    <sheetView zoomScale="87" zoomScaleNormal="87" workbookViewId="0">
      <selection activeCell="B16" sqref="B16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45750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459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2035.9350549895544</v>
      </c>
      <c r="C6" s="26">
        <f>L33/2.0185</f>
        <v>0</v>
      </c>
      <c r="D6" s="27"/>
      <c r="E6" s="28">
        <v>0</v>
      </c>
      <c r="F6" s="29">
        <f>B6+C6+E6</f>
        <v>2035.9350549895544</v>
      </c>
      <c r="G6" s="30">
        <f>E46</f>
        <v>716.02670226969292</v>
      </c>
      <c r="H6" s="31"/>
      <c r="I6" s="32">
        <f>E46</f>
        <v>716.02670226969292</v>
      </c>
      <c r="J6" s="25">
        <f>F6-I6-H6</f>
        <v>1319.9083527198613</v>
      </c>
      <c r="K6" s="33">
        <v>2000</v>
      </c>
      <c r="L6" s="33">
        <v>1300</v>
      </c>
      <c r="M6" s="34">
        <f>I6</f>
        <v>716.02670226969292</v>
      </c>
      <c r="N6" s="35">
        <f>+F46</f>
        <v>7.49</v>
      </c>
      <c r="O6" s="36">
        <f>M6*N6</f>
        <v>5363.04</v>
      </c>
      <c r="P6" s="37">
        <f>+L6-J6</f>
        <v>-19.908352719861341</v>
      </c>
      <c r="Q6" s="38" t="s">
        <v>28</v>
      </c>
    </row>
    <row r="7" spans="1:17" s="38" customFormat="1" x14ac:dyDescent="0.3">
      <c r="A7" s="39" t="s">
        <v>149</v>
      </c>
      <c r="B7" s="40">
        <v>1623.704117084503</v>
      </c>
      <c r="C7" s="41">
        <f>L29</f>
        <v>980</v>
      </c>
      <c r="D7" s="42"/>
      <c r="E7" s="43"/>
      <c r="F7" s="44">
        <f>B7+C7+E7</f>
        <v>2603.7041170845032</v>
      </c>
      <c r="G7" s="45">
        <f>E47</f>
        <v>159.67032967032966</v>
      </c>
      <c r="H7" s="43">
        <v>0</v>
      </c>
      <c r="I7" s="46">
        <f>E47</f>
        <v>159.67032967032966</v>
      </c>
      <c r="J7" s="40">
        <f>F7-I7-H7</f>
        <v>2444.0337874141737</v>
      </c>
      <c r="K7" s="33">
        <v>1620</v>
      </c>
      <c r="L7" s="33">
        <v>2440</v>
      </c>
      <c r="M7" s="47">
        <f>I7</f>
        <v>159.67032967032966</v>
      </c>
      <c r="N7" s="35">
        <f>+F47</f>
        <v>17.29</v>
      </c>
      <c r="O7" s="48">
        <f>M7*N7</f>
        <v>2760.7</v>
      </c>
      <c r="P7" s="37">
        <f>+L7-J7</f>
        <v>-4.0337874141737302</v>
      </c>
    </row>
    <row r="8" spans="1:17" s="38" customFormat="1" x14ac:dyDescent="0.3">
      <c r="A8" s="39" t="s">
        <v>150</v>
      </c>
      <c r="B8" s="40">
        <v>2200.2593597034975</v>
      </c>
      <c r="C8" s="41">
        <f>L30</f>
        <v>1970</v>
      </c>
      <c r="D8" s="42"/>
      <c r="E8" s="43"/>
      <c r="F8" s="44">
        <f>B8+C8+E8</f>
        <v>4170.2593597034975</v>
      </c>
      <c r="G8" s="45">
        <f>E48</f>
        <v>621.21110393802451</v>
      </c>
      <c r="H8" s="43">
        <v>0</v>
      </c>
      <c r="I8" s="46">
        <f>E48</f>
        <v>621.21110393802451</v>
      </c>
      <c r="J8" s="40">
        <f>F8-I8-H8</f>
        <v>3549.0482557654732</v>
      </c>
      <c r="K8" s="33">
        <v>2180</v>
      </c>
      <c r="L8" s="33">
        <v>3530</v>
      </c>
      <c r="M8" s="47">
        <f>I8</f>
        <v>621.21110393802451</v>
      </c>
      <c r="N8" s="35">
        <f>+F48</f>
        <v>15.49</v>
      </c>
      <c r="O8" s="48">
        <f>M8*N8</f>
        <v>9622.56</v>
      </c>
      <c r="P8" s="37">
        <f>+L8-J8</f>
        <v>-19.048255765473186</v>
      </c>
    </row>
    <row r="9" spans="1:17" s="38" customFormat="1" ht="15.6" thickBot="1" x14ac:dyDescent="0.35">
      <c r="A9" s="49" t="s">
        <v>32</v>
      </c>
      <c r="B9" s="50">
        <v>1453.043666883282</v>
      </c>
      <c r="C9" s="51">
        <f>L32</f>
        <v>0</v>
      </c>
      <c r="D9" s="52"/>
      <c r="E9" s="53">
        <v>0</v>
      </c>
      <c r="F9" s="54">
        <f>B9+C9+E9</f>
        <v>1453.043666883282</v>
      </c>
      <c r="G9" s="55">
        <f>E50</f>
        <v>146.80183126226291</v>
      </c>
      <c r="H9" s="53"/>
      <c r="I9" s="56">
        <f>E50</f>
        <v>146.80183126226291</v>
      </c>
      <c r="J9" s="50">
        <f>F9-I9-H9</f>
        <v>1306.2418356210192</v>
      </c>
      <c r="K9" s="33">
        <v>1450</v>
      </c>
      <c r="L9" s="33">
        <v>1300</v>
      </c>
      <c r="M9" s="57">
        <f>I9</f>
        <v>146.80183126226291</v>
      </c>
      <c r="N9" s="35">
        <f>+F50</f>
        <v>15.29</v>
      </c>
      <c r="O9" s="58">
        <f>M9*N9</f>
        <v>2244.6</v>
      </c>
      <c r="P9" s="37">
        <f>+L9-J9</f>
        <v>-6.2418356210191632</v>
      </c>
    </row>
    <row r="10" spans="1:17" s="38" customFormat="1" ht="16.2" thickBot="1" x14ac:dyDescent="0.35">
      <c r="A10" s="59" t="s">
        <v>33</v>
      </c>
      <c r="B10" s="60">
        <v>7312.94</v>
      </c>
      <c r="C10" s="61">
        <f>SUM(C6:C9)</f>
        <v>2950</v>
      </c>
      <c r="D10" s="62"/>
      <c r="E10" s="63"/>
      <c r="F10" s="64">
        <f>SUM(F6:F9)</f>
        <v>10262.942198660838</v>
      </c>
      <c r="G10" s="65">
        <f>SUM(G6:G9)</f>
        <v>1643.7099671403103</v>
      </c>
      <c r="H10" s="60"/>
      <c r="I10" s="66">
        <f>SUM(I6:I9)</f>
        <v>1643.7099671403103</v>
      </c>
      <c r="J10" s="60">
        <f>SUM(J6:J9)</f>
        <v>8619.2322315205274</v>
      </c>
      <c r="K10" s="67" t="e">
        <f>K6+K7+K8+#REF!+K9</f>
        <v>#REF!</v>
      </c>
      <c r="L10" s="67" t="e">
        <f>L6+L7+L8+#REF!+L9</f>
        <v>#REF!</v>
      </c>
      <c r="M10" s="68">
        <f>SUM(M6:M9)</f>
        <v>1643.7099671403103</v>
      </c>
      <c r="N10" s="69"/>
      <c r="O10" s="70">
        <f>SUM(O6:O9)</f>
        <v>19990.899999999998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1643.7099671403103</v>
      </c>
      <c r="O12" s="84">
        <f>+O10</f>
        <v>19990.899999999998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2838.79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867.64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58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16284.469999999998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>
        <v>980</v>
      </c>
      <c r="M29" s="141" t="s">
        <v>111</v>
      </c>
      <c r="N29" s="141"/>
      <c r="O29" s="141" t="s">
        <v>78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>
        <v>1970</v>
      </c>
      <c r="M30" s="141" t="s">
        <v>111</v>
      </c>
      <c r="N30" s="141"/>
      <c r="O30" s="141" t="s">
        <v>78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78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1"/>
      <c r="N33" s="147"/>
      <c r="O33" s="152" t="s">
        <v>83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4495.3999999999996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11789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1142.56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1696.23</v>
      </c>
      <c r="F41" s="192">
        <v>867.64</v>
      </c>
      <c r="G41" s="187"/>
      <c r="H41" s="86"/>
      <c r="I41" s="108" t="s">
        <v>33</v>
      </c>
      <c r="J41" s="193">
        <f>SUM(J38:J40)-J40</f>
        <v>16284.4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2838.79</v>
      </c>
      <c r="F42" s="192">
        <f>SUM(F40:F41)</f>
        <v>867.64</v>
      </c>
      <c r="G42" s="187">
        <f>SUM(E42:F42)</f>
        <v>3706.43</v>
      </c>
      <c r="H42" s="86"/>
      <c r="I42" s="5" t="s">
        <v>103</v>
      </c>
      <c r="J42" s="153">
        <f>O26-J41</f>
        <v>6.9999999997889972E-2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716.02670226969292</v>
      </c>
      <c r="F46" s="35">
        <v>7.49</v>
      </c>
      <c r="G46" s="214">
        <v>5363.04</v>
      </c>
      <c r="L46" s="38"/>
    </row>
    <row r="47" spans="1:15" ht="15.6" x14ac:dyDescent="0.3">
      <c r="D47" s="215" t="s">
        <v>107</v>
      </c>
      <c r="E47" s="216">
        <f>+G47/F47</f>
        <v>159.67032967032966</v>
      </c>
      <c r="F47" s="217">
        <v>17.29</v>
      </c>
      <c r="G47" s="218">
        <v>2760.7</v>
      </c>
      <c r="L47" s="38"/>
    </row>
    <row r="48" spans="1:15" ht="15.6" x14ac:dyDescent="0.3">
      <c r="D48" s="215" t="s">
        <v>108</v>
      </c>
      <c r="E48" s="216">
        <f>+G48/F48</f>
        <v>621.21110393802451</v>
      </c>
      <c r="F48" s="217">
        <v>15.49</v>
      </c>
      <c r="G48" s="218">
        <v>9622.56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146.80183126226291</v>
      </c>
      <c r="F50" s="221">
        <v>15.29</v>
      </c>
      <c r="G50" s="222">
        <v>2244.6</v>
      </c>
      <c r="L50" s="38"/>
      <c r="M50" s="38"/>
    </row>
    <row r="51" spans="4:13" ht="16.2" thickBot="1" x14ac:dyDescent="0.35">
      <c r="D51" s="223"/>
      <c r="E51" s="224">
        <f>SUM(E46:E50)</f>
        <v>1643.7099671403103</v>
      </c>
      <c r="F51" s="225"/>
      <c r="G51" s="226">
        <f>G46+G47+G48+G50</f>
        <v>19990.899999999998</v>
      </c>
      <c r="J51" s="227">
        <f>G51-E42-F42-J41</f>
        <v>6.9999999997889972E-2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54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2F6BECC-D3D1-4DE0-8697-62EE0188C532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B373-958B-4C08-9399-873B6F60EC8D}">
  <sheetPr>
    <pageSetUpPr fitToPage="1"/>
  </sheetPr>
  <dimension ref="A1:Q51"/>
  <sheetViews>
    <sheetView tabSelected="1" zoomScale="87" zoomScaleNormal="87" workbookViewId="0">
      <selection activeCell="L11" sqref="L11:M11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45777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486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3906.6471794537501</v>
      </c>
      <c r="C6" s="26">
        <f>L33/2.0185</f>
        <v>0</v>
      </c>
      <c r="D6" s="27"/>
      <c r="E6" s="28">
        <v>0</v>
      </c>
      <c r="F6" s="29">
        <f>B6+C6+E6</f>
        <v>3906.6471794537501</v>
      </c>
      <c r="G6" s="30">
        <f>E46</f>
        <v>394.24833110814421</v>
      </c>
      <c r="H6" s="31"/>
      <c r="I6" s="32">
        <f>E46</f>
        <v>394.24833110814421</v>
      </c>
      <c r="J6" s="25">
        <f>F6-I6-H6</f>
        <v>3512.398848345606</v>
      </c>
      <c r="K6" s="33">
        <v>4120</v>
      </c>
      <c r="L6" s="33">
        <v>3730</v>
      </c>
      <c r="M6" s="34">
        <f>I6</f>
        <v>394.24833110814421</v>
      </c>
      <c r="N6" s="35">
        <f>+F46</f>
        <v>7.49</v>
      </c>
      <c r="O6" s="36">
        <f>M6*N6</f>
        <v>2952.92</v>
      </c>
      <c r="P6" s="37">
        <f>+L6-J6</f>
        <v>217.60115165439402</v>
      </c>
      <c r="Q6" s="38" t="s">
        <v>28</v>
      </c>
    </row>
    <row r="7" spans="1:17" s="38" customFormat="1" x14ac:dyDescent="0.3">
      <c r="A7" s="39" t="s">
        <v>149</v>
      </c>
      <c r="B7" s="40">
        <v>109.66016104054708</v>
      </c>
      <c r="C7" s="41">
        <f>L29</f>
        <v>1970</v>
      </c>
      <c r="D7" s="42"/>
      <c r="E7" s="43"/>
      <c r="F7" s="44">
        <f>B7+C7+E7</f>
        <v>2079.6601610405469</v>
      </c>
      <c r="G7" s="45">
        <f>E47</f>
        <v>54.945054945054949</v>
      </c>
      <c r="H7" s="43">
        <v>0</v>
      </c>
      <c r="I7" s="46">
        <f>E47</f>
        <v>54.945054945054949</v>
      </c>
      <c r="J7" s="40">
        <f>F7-I7-H7</f>
        <v>2024.715106095492</v>
      </c>
      <c r="K7" s="33">
        <v>70</v>
      </c>
      <c r="L7" s="33">
        <v>1980</v>
      </c>
      <c r="M7" s="47">
        <f>I7</f>
        <v>54.945054945054949</v>
      </c>
      <c r="N7" s="35">
        <f>+F47</f>
        <v>17.29</v>
      </c>
      <c r="O7" s="48">
        <f>M7*N7</f>
        <v>950</v>
      </c>
      <c r="P7" s="37">
        <f>+L7-J7</f>
        <v>-44.715106095492047</v>
      </c>
    </row>
    <row r="8" spans="1:17" s="38" customFormat="1" x14ac:dyDescent="0.3">
      <c r="A8" s="39" t="s">
        <v>150</v>
      </c>
      <c r="B8" s="40">
        <v>1050.6583267790299</v>
      </c>
      <c r="C8" s="41">
        <f>L30</f>
        <v>2900</v>
      </c>
      <c r="D8" s="42"/>
      <c r="E8" s="43"/>
      <c r="F8" s="44">
        <f>B8+C8+E8</f>
        <v>3950.6583267790302</v>
      </c>
      <c r="G8" s="45">
        <f>E48</f>
        <v>577.32472562943838</v>
      </c>
      <c r="H8" s="43">
        <v>0</v>
      </c>
      <c r="I8" s="46">
        <f>E48</f>
        <v>577.32472562943838</v>
      </c>
      <c r="J8" s="40">
        <f>F8-I8-H8</f>
        <v>3373.3336011495917</v>
      </c>
      <c r="K8" s="33">
        <v>1000</v>
      </c>
      <c r="L8" s="33">
        <v>3320</v>
      </c>
      <c r="M8" s="47">
        <f>I8</f>
        <v>577.32472562943838</v>
      </c>
      <c r="N8" s="35">
        <f>+F48</f>
        <v>15.49</v>
      </c>
      <c r="O8" s="48">
        <f>M8*N8</f>
        <v>8942.76</v>
      </c>
      <c r="P8" s="37">
        <f>+L8-J8</f>
        <v>-53.333601149591686</v>
      </c>
    </row>
    <row r="9" spans="1:17" s="38" customFormat="1" ht="15.6" thickBot="1" x14ac:dyDescent="0.35">
      <c r="A9" s="49" t="s">
        <v>32</v>
      </c>
      <c r="B9" s="50">
        <v>2837.4452365366501</v>
      </c>
      <c r="C9" s="51">
        <f>L32</f>
        <v>0</v>
      </c>
      <c r="D9" s="52"/>
      <c r="E9" s="53">
        <v>0</v>
      </c>
      <c r="F9" s="54">
        <f>B9+C9+E9</f>
        <v>2837.4452365366501</v>
      </c>
      <c r="G9" s="55">
        <f>E50</f>
        <v>229.83584041857424</v>
      </c>
      <c r="H9" s="53"/>
      <c r="I9" s="56">
        <f>E50</f>
        <v>229.83584041857424</v>
      </c>
      <c r="J9" s="50">
        <f>F9-I9-H9</f>
        <v>2607.6093961180759</v>
      </c>
      <c r="K9" s="33">
        <v>2840</v>
      </c>
      <c r="L9" s="33">
        <v>2608</v>
      </c>
      <c r="M9" s="57">
        <f>I9</f>
        <v>229.83584041857424</v>
      </c>
      <c r="N9" s="35">
        <f>+F50</f>
        <v>15.29</v>
      </c>
      <c r="O9" s="58">
        <f>M9*N9</f>
        <v>3514.19</v>
      </c>
      <c r="P9" s="37">
        <f>+L9-J9</f>
        <v>0.39060388192410755</v>
      </c>
    </row>
    <row r="10" spans="1:17" s="38" customFormat="1" ht="16.2" thickBot="1" x14ac:dyDescent="0.35">
      <c r="A10" s="59" t="s">
        <v>33</v>
      </c>
      <c r="B10" s="60">
        <v>9619.0435098180442</v>
      </c>
      <c r="C10" s="61">
        <f>SUM(C6:C9)</f>
        <v>4870</v>
      </c>
      <c r="D10" s="62"/>
      <c r="E10" s="63"/>
      <c r="F10" s="64">
        <f>SUM(F6:F9)</f>
        <v>12774.410903809978</v>
      </c>
      <c r="G10" s="65">
        <f>SUM(G6:G9)</f>
        <v>1256.3539521012117</v>
      </c>
      <c r="H10" s="60"/>
      <c r="I10" s="66">
        <f>SUM(I6:I9)</f>
        <v>1256.3539521012117</v>
      </c>
      <c r="J10" s="60">
        <f>SUM(J6:J9)</f>
        <v>11518.056951708766</v>
      </c>
      <c r="K10" s="67">
        <f>SUM(K6:K9)</f>
        <v>8030</v>
      </c>
      <c r="L10" s="67">
        <f>SUM(L6:L9)</f>
        <v>11638</v>
      </c>
      <c r="M10" s="68">
        <f>SUM(M6:M9)</f>
        <v>1256.3539521012117</v>
      </c>
      <c r="N10" s="69"/>
      <c r="O10" s="70">
        <f>SUM(O6:O9)</f>
        <v>16359.87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228">
        <f>+M10</f>
        <v>1256.3539521012117</v>
      </c>
      <c r="O12" s="232">
        <f>+O10</f>
        <v>16359.87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229">
        <v>0</v>
      </c>
      <c r="O13" s="233">
        <v>0</v>
      </c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229">
        <v>0</v>
      </c>
      <c r="O14" s="234">
        <f>E42</f>
        <v>4143.5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230">
        <v>0</v>
      </c>
      <c r="O15" s="235">
        <f>F42</f>
        <v>2120.92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230">
        <v>0</v>
      </c>
      <c r="O16" s="233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230">
        <v>0</v>
      </c>
      <c r="O17" s="235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230">
        <v>0</v>
      </c>
      <c r="O18" s="235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231">
        <v>0</v>
      </c>
      <c r="O19" s="233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145</v>
      </c>
      <c r="M20" s="287"/>
      <c r="N20" s="231">
        <v>0</v>
      </c>
      <c r="O20" s="235"/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231">
        <v>0</v>
      </c>
      <c r="O21" s="233">
        <v>288</v>
      </c>
    </row>
    <row r="22" spans="1:16" ht="15" customHeight="1" x14ac:dyDescent="0.3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231">
        <v>0</v>
      </c>
      <c r="O22" s="235">
        <v>0</v>
      </c>
    </row>
    <row r="23" spans="1:16" ht="15" customHeight="1" x14ac:dyDescent="0.3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231">
        <v>0</v>
      </c>
      <c r="O23" s="233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231">
        <v>0</v>
      </c>
      <c r="O24" s="235">
        <v>-5.0000000001091394E-2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231">
        <v>0</v>
      </c>
      <c r="O25" s="236">
        <v>0</v>
      </c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328" t="s">
        <v>70</v>
      </c>
      <c r="M26" s="329"/>
      <c r="N26" s="237"/>
      <c r="O26" s="238">
        <f>O12-SUM(O13:O25)</f>
        <v>9807.5000000000018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>
        <v>1970</v>
      </c>
      <c r="M29" s="141"/>
      <c r="N29" s="141" t="s">
        <v>138</v>
      </c>
      <c r="O29" s="141" t="s">
        <v>148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>
        <v>2900</v>
      </c>
      <c r="M30" s="141"/>
      <c r="N30" s="141" t="s">
        <v>138</v>
      </c>
      <c r="O30" s="141" t="s">
        <v>148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88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148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9"/>
      <c r="N33" s="147"/>
      <c r="O33" s="141" t="s">
        <v>133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30" t="s">
        <v>91</v>
      </c>
      <c r="J37" s="331"/>
      <c r="K37" s="310"/>
      <c r="L37" s="169"/>
      <c r="M37" s="170"/>
      <c r="N37" s="141"/>
      <c r="O37" s="141"/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251">
        <f>SUM(G46)-F41-J38</f>
        <v>0</v>
      </c>
      <c r="I38" s="246" t="s">
        <v>27</v>
      </c>
      <c r="J38" s="101">
        <v>832</v>
      </c>
      <c r="K38" s="240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251">
        <f>SUM(G47:G50)-E42-J39-SUM(O16:O24)</f>
        <v>1.8189894035458565E-12</v>
      </c>
      <c r="I39" s="179" t="s">
        <v>95</v>
      </c>
      <c r="J39" s="103">
        <v>8975.5</v>
      </c>
      <c r="K39" s="241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x14ac:dyDescent="0.3">
      <c r="A40" s="318" t="s">
        <v>97</v>
      </c>
      <c r="B40" s="319"/>
      <c r="C40" s="319"/>
      <c r="D40" s="319"/>
      <c r="E40" s="185">
        <v>2503.96</v>
      </c>
      <c r="F40" s="186"/>
      <c r="G40" s="187"/>
      <c r="H40" s="239"/>
      <c r="I40" s="247" t="s">
        <v>147</v>
      </c>
      <c r="J40" s="248"/>
      <c r="K40" s="242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1639.54</v>
      </c>
      <c r="F41" s="192">
        <v>2120.92</v>
      </c>
      <c r="G41" s="187"/>
      <c r="H41" s="239"/>
      <c r="I41" s="249" t="s">
        <v>103</v>
      </c>
      <c r="J41" s="250"/>
      <c r="K41" s="243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4143.5</v>
      </c>
      <c r="F42" s="192">
        <f>SUM(F40:F41)</f>
        <v>2120.92</v>
      </c>
      <c r="G42" s="187">
        <f>SUM(E42:F42)</f>
        <v>6264.42</v>
      </c>
      <c r="H42" s="86"/>
      <c r="I42" s="244" t="s">
        <v>33</v>
      </c>
      <c r="J42" s="245">
        <f>SUM(J38:J41)</f>
        <v>9807.5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5" t="s">
        <v>146</v>
      </c>
      <c r="J43" s="153">
        <f>O26-J42</f>
        <v>0</v>
      </c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394.24833110814421</v>
      </c>
      <c r="F46" s="35">
        <v>7.49</v>
      </c>
      <c r="G46" s="214">
        <v>2952.92</v>
      </c>
      <c r="L46" s="38"/>
    </row>
    <row r="47" spans="1:15" ht="15.6" x14ac:dyDescent="0.3">
      <c r="D47" s="215" t="s">
        <v>107</v>
      </c>
      <c r="E47" s="216">
        <f>+G47/F47</f>
        <v>54.945054945054949</v>
      </c>
      <c r="F47" s="217">
        <v>17.29</v>
      </c>
      <c r="G47" s="218">
        <v>950</v>
      </c>
      <c r="L47" s="38"/>
    </row>
    <row r="48" spans="1:15" ht="15.6" x14ac:dyDescent="0.3">
      <c r="D48" s="215" t="s">
        <v>108</v>
      </c>
      <c r="E48" s="216">
        <f>+G48/F48</f>
        <v>577.32472562943838</v>
      </c>
      <c r="F48" s="217">
        <v>15.49</v>
      </c>
      <c r="G48" s="218">
        <v>8942.76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229.83584041857424</v>
      </c>
      <c r="F50" s="221">
        <v>15.29</v>
      </c>
      <c r="G50" s="222">
        <v>3514.19</v>
      </c>
      <c r="L50" s="38"/>
      <c r="M50" s="38"/>
    </row>
    <row r="51" spans="4:13" ht="16.2" thickBot="1" x14ac:dyDescent="0.35">
      <c r="D51" s="223"/>
      <c r="E51" s="224">
        <f>SUM(E46:E50)</f>
        <v>1256.3539521012117</v>
      </c>
      <c r="F51" s="225"/>
      <c r="G51" s="226">
        <f>G46+G47+G48+G50</f>
        <v>16359.87</v>
      </c>
      <c r="J51" s="227"/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0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AF1CFB5-B3A8-4487-A60C-86452E28CBD9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789C-649F-46DA-9781-BA7B2FDF1D38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45751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460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1319.9083527198613</v>
      </c>
      <c r="C6" s="26">
        <f>L33/2.0185</f>
        <v>2818.9249442655437</v>
      </c>
      <c r="D6" s="27"/>
      <c r="E6" s="28">
        <v>0</v>
      </c>
      <c r="F6" s="29">
        <f>B6+C6+E6</f>
        <v>4138.8332969854055</v>
      </c>
      <c r="G6" s="30">
        <f>E46</f>
        <v>678.97730307076097</v>
      </c>
      <c r="H6" s="31"/>
      <c r="I6" s="32">
        <f>E46</f>
        <v>678.97730307076097</v>
      </c>
      <c r="J6" s="25">
        <f>F6-I6-H6</f>
        <v>3459.8559939146444</v>
      </c>
      <c r="K6" s="33">
        <v>1300</v>
      </c>
      <c r="L6" s="33">
        <v>3450</v>
      </c>
      <c r="M6" s="34">
        <f>I6</f>
        <v>678.97730307076097</v>
      </c>
      <c r="N6" s="35">
        <f>+F46</f>
        <v>7.49</v>
      </c>
      <c r="O6" s="36">
        <f>M6*N6</f>
        <v>5085.54</v>
      </c>
      <c r="P6" s="37">
        <f>+L6-J6</f>
        <v>-9.8559939146443867</v>
      </c>
      <c r="Q6" s="38" t="s">
        <v>28</v>
      </c>
    </row>
    <row r="7" spans="1:17" s="38" customFormat="1" x14ac:dyDescent="0.3">
      <c r="A7" s="39" t="s">
        <v>149</v>
      </c>
      <c r="B7" s="40">
        <v>2444.0337874141737</v>
      </c>
      <c r="C7" s="41">
        <f>L29</f>
        <v>0</v>
      </c>
      <c r="D7" s="42"/>
      <c r="E7" s="43"/>
      <c r="F7" s="44">
        <f>B7+C7+E7</f>
        <v>2444.0337874141737</v>
      </c>
      <c r="G7" s="45">
        <f>E47</f>
        <v>154.80046269519954</v>
      </c>
      <c r="H7" s="43">
        <v>0</v>
      </c>
      <c r="I7" s="46">
        <f>E47</f>
        <v>154.80046269519954</v>
      </c>
      <c r="J7" s="40">
        <f>F7-I7-H7</f>
        <v>2289.233324718974</v>
      </c>
      <c r="K7" s="33">
        <v>2440</v>
      </c>
      <c r="L7" s="33">
        <v>2280</v>
      </c>
      <c r="M7" s="47">
        <f>I7</f>
        <v>154.80046269519954</v>
      </c>
      <c r="N7" s="35">
        <f>+F47</f>
        <v>17.29</v>
      </c>
      <c r="O7" s="48">
        <f>M7*N7</f>
        <v>2676.5</v>
      </c>
      <c r="P7" s="37">
        <f>+L7-J7</f>
        <v>-9.2333247189740177</v>
      </c>
    </row>
    <row r="8" spans="1:17" s="38" customFormat="1" x14ac:dyDescent="0.3">
      <c r="A8" s="39" t="s">
        <v>150</v>
      </c>
      <c r="B8" s="40">
        <v>3549.0482557654732</v>
      </c>
      <c r="C8" s="41">
        <f>L30</f>
        <v>0</v>
      </c>
      <c r="D8" s="42"/>
      <c r="E8" s="43"/>
      <c r="F8" s="44">
        <f>B8+C8+E8</f>
        <v>3549.0482557654732</v>
      </c>
      <c r="G8" s="45">
        <f>E48</f>
        <v>551.5719819238218</v>
      </c>
      <c r="H8" s="43">
        <v>0</v>
      </c>
      <c r="I8" s="46">
        <f>E48</f>
        <v>551.5719819238218</v>
      </c>
      <c r="J8" s="40">
        <f>F8-I8-H8</f>
        <v>2997.4762738416512</v>
      </c>
      <c r="K8" s="33">
        <v>3530</v>
      </c>
      <c r="L8" s="33">
        <v>2990</v>
      </c>
      <c r="M8" s="47">
        <f>I8</f>
        <v>551.5719819238218</v>
      </c>
      <c r="N8" s="35">
        <f>+F48</f>
        <v>15.49</v>
      </c>
      <c r="O8" s="48">
        <f>M8*N8</f>
        <v>8543.85</v>
      </c>
      <c r="P8" s="37">
        <f>+L8-J8</f>
        <v>-7.4762738416511638</v>
      </c>
    </row>
    <row r="9" spans="1:17" s="38" customFormat="1" ht="15.6" thickBot="1" x14ac:dyDescent="0.35">
      <c r="A9" s="49" t="s">
        <v>32</v>
      </c>
      <c r="B9" s="50">
        <v>1306.2418356210192</v>
      </c>
      <c r="C9" s="51">
        <f>L32</f>
        <v>0</v>
      </c>
      <c r="D9" s="52"/>
      <c r="E9" s="53">
        <v>0</v>
      </c>
      <c r="F9" s="54">
        <f>B9+C9+E9</f>
        <v>1306.2418356210192</v>
      </c>
      <c r="G9" s="55">
        <f>E50</f>
        <v>143.29692609548727</v>
      </c>
      <c r="H9" s="53"/>
      <c r="I9" s="56">
        <f>E50</f>
        <v>143.29692609548727</v>
      </c>
      <c r="J9" s="50">
        <f>F9-I9-H9</f>
        <v>1162.9449095255318</v>
      </c>
      <c r="K9" s="33">
        <v>1300</v>
      </c>
      <c r="L9" s="33">
        <v>1160</v>
      </c>
      <c r="M9" s="57">
        <f>I9</f>
        <v>143.29692609548727</v>
      </c>
      <c r="N9" s="35">
        <f>+F50</f>
        <v>15.29</v>
      </c>
      <c r="O9" s="58">
        <f>M9*N9</f>
        <v>2191.0100000000002</v>
      </c>
      <c r="P9" s="37">
        <f>+L9-J9</f>
        <v>-2.9449095255317843</v>
      </c>
    </row>
    <row r="10" spans="1:17" s="38" customFormat="1" ht="16.2" thickBot="1" x14ac:dyDescent="0.35">
      <c r="A10" s="59" t="s">
        <v>33</v>
      </c>
      <c r="B10" s="60">
        <v>8619.2322315205274</v>
      </c>
      <c r="C10" s="61">
        <f>SUM(C6:C9)</f>
        <v>2818.9249442655437</v>
      </c>
      <c r="D10" s="62"/>
      <c r="E10" s="63"/>
      <c r="F10" s="64">
        <f>SUM(F6:F9)</f>
        <v>11438.157175786069</v>
      </c>
      <c r="G10" s="65">
        <f>SUM(G6:G9)</f>
        <v>1528.6466737852697</v>
      </c>
      <c r="H10" s="60"/>
      <c r="I10" s="66">
        <f>SUM(I6:I9)</f>
        <v>1528.6466737852697</v>
      </c>
      <c r="J10" s="60">
        <f>SUM(J6:J9)</f>
        <v>9909.5105020007995</v>
      </c>
      <c r="K10" s="67" t="e">
        <f>K6+K7+K8+#REF!+K9</f>
        <v>#REF!</v>
      </c>
      <c r="L10" s="67" t="e">
        <f>L6+L7+L8+#REF!+L9</f>
        <v>#REF!</v>
      </c>
      <c r="M10" s="68">
        <f>SUM(M6:M9)</f>
        <v>1528.6466737852697</v>
      </c>
      <c r="N10" s="69"/>
      <c r="O10" s="70">
        <f>SUM(O6:O9)</f>
        <v>18496.900000000001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1528.6466737852697</v>
      </c>
      <c r="O12" s="84">
        <f>+O10</f>
        <v>18496.900000000001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3102.33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1279.24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58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14115.330000000002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78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78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>
        <v>5690</v>
      </c>
      <c r="M33" s="141"/>
      <c r="N33" s="147" t="s">
        <v>113</v>
      </c>
      <c r="O33" s="152" t="s">
        <v>112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3806.3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10309.1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2357.37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744.96</v>
      </c>
      <c r="F41" s="192">
        <v>1279.24</v>
      </c>
      <c r="G41" s="187"/>
      <c r="H41" s="86"/>
      <c r="I41" s="108" t="s">
        <v>33</v>
      </c>
      <c r="J41" s="193">
        <f>SUM(J38:J40)-J40</f>
        <v>14115.400000000001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3102.33</v>
      </c>
      <c r="F42" s="192">
        <f>SUM(F40:F41)</f>
        <v>1279.24</v>
      </c>
      <c r="G42" s="187">
        <f>SUM(E42:F42)</f>
        <v>4381.57</v>
      </c>
      <c r="H42" s="86"/>
      <c r="I42" s="5" t="s">
        <v>103</v>
      </c>
      <c r="J42" s="153">
        <f>O26-J41</f>
        <v>-6.9999999999708962E-2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678.97730307076097</v>
      </c>
      <c r="F46" s="35">
        <v>7.49</v>
      </c>
      <c r="G46" s="214">
        <v>5085.54</v>
      </c>
      <c r="L46" s="38"/>
    </row>
    <row r="47" spans="1:15" ht="15.6" x14ac:dyDescent="0.3">
      <c r="D47" s="215" t="s">
        <v>107</v>
      </c>
      <c r="E47" s="216">
        <f>+G47/F47</f>
        <v>154.80046269519954</v>
      </c>
      <c r="F47" s="217">
        <v>17.29</v>
      </c>
      <c r="G47" s="218">
        <v>2676.5</v>
      </c>
      <c r="L47" s="38"/>
    </row>
    <row r="48" spans="1:15" ht="15.6" x14ac:dyDescent="0.3">
      <c r="D48" s="215" t="s">
        <v>108</v>
      </c>
      <c r="E48" s="216">
        <f>+G48/F48</f>
        <v>551.5719819238218</v>
      </c>
      <c r="F48" s="217">
        <v>15.49</v>
      </c>
      <c r="G48" s="218">
        <v>8543.85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143.29692609548727</v>
      </c>
      <c r="F50" s="221">
        <v>15.29</v>
      </c>
      <c r="G50" s="222">
        <v>2191.0100000000002</v>
      </c>
      <c r="L50" s="38"/>
      <c r="M50" s="38"/>
    </row>
    <row r="51" spans="4:13" ht="16.2" thickBot="1" x14ac:dyDescent="0.35">
      <c r="D51" s="223"/>
      <c r="E51" s="224">
        <f>SUM(E46:E50)</f>
        <v>1528.6466737852697</v>
      </c>
      <c r="F51" s="225"/>
      <c r="G51" s="226">
        <f>G46+G47+G48+G50</f>
        <v>18496.900000000001</v>
      </c>
      <c r="J51" s="227">
        <f>G51-E42-F42-J41</f>
        <v>-6.9999999999708962E-2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52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85D51CB-2E69-4701-8C64-E75C15BACA42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9992-EC5E-4EE2-B250-4035E9AC5367}">
  <sheetPr>
    <pageSetUpPr fitToPage="1"/>
  </sheetPr>
  <dimension ref="A1:Q51"/>
  <sheetViews>
    <sheetView topLeftCell="A4"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45752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461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3459.8559939146444</v>
      </c>
      <c r="C6" s="26">
        <f>L33/2.0185</f>
        <v>0</v>
      </c>
      <c r="D6" s="27"/>
      <c r="E6" s="28">
        <v>0</v>
      </c>
      <c r="F6" s="29">
        <f>B6+C6+E6</f>
        <v>3459.8559939146444</v>
      </c>
      <c r="G6" s="30">
        <f>E46</f>
        <v>700.02136181575429</v>
      </c>
      <c r="H6" s="31"/>
      <c r="I6" s="32">
        <f>E46</f>
        <v>700.02136181575429</v>
      </c>
      <c r="J6" s="25">
        <f>F6-I6-H6</f>
        <v>2759.8346320988903</v>
      </c>
      <c r="K6" s="33">
        <v>3450</v>
      </c>
      <c r="L6" s="33">
        <v>2800</v>
      </c>
      <c r="M6" s="34">
        <f>I6</f>
        <v>700.02136181575429</v>
      </c>
      <c r="N6" s="35">
        <f>+F46</f>
        <v>7.49</v>
      </c>
      <c r="O6" s="36">
        <f>M6*N6</f>
        <v>5243.16</v>
      </c>
      <c r="P6" s="37">
        <f>+L6-J6</f>
        <v>40.165367901109676</v>
      </c>
      <c r="Q6" s="38" t="s">
        <v>28</v>
      </c>
    </row>
    <row r="7" spans="1:17" s="38" customFormat="1" x14ac:dyDescent="0.3">
      <c r="A7" s="39" t="s">
        <v>149</v>
      </c>
      <c r="B7" s="40">
        <v>2289.233324718974</v>
      </c>
      <c r="C7" s="41">
        <f>L29</f>
        <v>0</v>
      </c>
      <c r="D7" s="42"/>
      <c r="E7" s="43"/>
      <c r="F7" s="44">
        <f>B7+C7+E7</f>
        <v>2289.233324718974</v>
      </c>
      <c r="G7" s="45">
        <f>E47</f>
        <v>171.41295546558706</v>
      </c>
      <c r="H7" s="43">
        <v>0</v>
      </c>
      <c r="I7" s="46">
        <f>E47</f>
        <v>171.41295546558706</v>
      </c>
      <c r="J7" s="40">
        <f>F7-I7-H7</f>
        <v>2117.8203692533871</v>
      </c>
      <c r="K7" s="33">
        <v>2280</v>
      </c>
      <c r="L7" s="33">
        <v>2110</v>
      </c>
      <c r="M7" s="47">
        <f>I7</f>
        <v>171.41295546558706</v>
      </c>
      <c r="N7" s="35">
        <f>+F47</f>
        <v>17.29</v>
      </c>
      <c r="O7" s="48">
        <f>M7*N7</f>
        <v>2963.73</v>
      </c>
      <c r="P7" s="37">
        <f>+L7-J7</f>
        <v>-7.8203692533870708</v>
      </c>
    </row>
    <row r="8" spans="1:17" s="38" customFormat="1" x14ac:dyDescent="0.3">
      <c r="A8" s="39" t="s">
        <v>150</v>
      </c>
      <c r="B8" s="40">
        <v>2997.4762738416512</v>
      </c>
      <c r="C8" s="41">
        <f>L30</f>
        <v>0</v>
      </c>
      <c r="D8" s="42"/>
      <c r="E8" s="43"/>
      <c r="F8" s="44">
        <f>B8+C8+E8</f>
        <v>2997.4762738416512</v>
      </c>
      <c r="G8" s="45">
        <f>E48</f>
        <v>540.48030987734023</v>
      </c>
      <c r="H8" s="43">
        <v>0</v>
      </c>
      <c r="I8" s="46">
        <f>E48</f>
        <v>540.48030987734023</v>
      </c>
      <c r="J8" s="40">
        <f>F8-I8-H8</f>
        <v>2456.9959639643112</v>
      </c>
      <c r="K8" s="33">
        <v>2990</v>
      </c>
      <c r="L8" s="33">
        <v>2440</v>
      </c>
      <c r="M8" s="47">
        <f>I8</f>
        <v>540.48030987734023</v>
      </c>
      <c r="N8" s="35">
        <f>+F48</f>
        <v>15.49</v>
      </c>
      <c r="O8" s="48">
        <f>M8*N8</f>
        <v>8372.0400000000009</v>
      </c>
      <c r="P8" s="37">
        <f>+L8-J8</f>
        <v>-16.995963964311159</v>
      </c>
    </row>
    <row r="9" spans="1:17" s="38" customFormat="1" ht="15.6" thickBot="1" x14ac:dyDescent="0.35">
      <c r="A9" s="49" t="s">
        <v>32</v>
      </c>
      <c r="B9" s="50">
        <v>1162.9449095255318</v>
      </c>
      <c r="C9" s="51">
        <f>L32</f>
        <v>0</v>
      </c>
      <c r="D9" s="52"/>
      <c r="E9" s="53">
        <v>0</v>
      </c>
      <c r="F9" s="54">
        <f>B9+C9+E9</f>
        <v>1162.9449095255318</v>
      </c>
      <c r="G9" s="55">
        <f>E50</f>
        <v>154.65009810333552</v>
      </c>
      <c r="H9" s="53"/>
      <c r="I9" s="56">
        <f>E50</f>
        <v>154.65009810333552</v>
      </c>
      <c r="J9" s="50">
        <f>F9-I9-H9</f>
        <v>1008.2948114221963</v>
      </c>
      <c r="K9" s="33">
        <v>1160</v>
      </c>
      <c r="L9" s="33">
        <v>1010</v>
      </c>
      <c r="M9" s="57">
        <f>I9</f>
        <v>154.65009810333552</v>
      </c>
      <c r="N9" s="35">
        <f>+F50</f>
        <v>15.29</v>
      </c>
      <c r="O9" s="58">
        <f>M9*N9</f>
        <v>2364.6</v>
      </c>
      <c r="P9" s="37">
        <f>+L9-J9</f>
        <v>1.7051885778037104</v>
      </c>
    </row>
    <row r="10" spans="1:17" s="38" customFormat="1" ht="16.2" thickBot="1" x14ac:dyDescent="0.35">
      <c r="A10" s="59" t="s">
        <v>33</v>
      </c>
      <c r="B10" s="60">
        <v>9909.51</v>
      </c>
      <c r="C10" s="61">
        <f>SUM(C6:C9)</f>
        <v>0</v>
      </c>
      <c r="D10" s="62"/>
      <c r="E10" s="63"/>
      <c r="F10" s="64">
        <f>SUM(F6:F9)</f>
        <v>9909.5105020007995</v>
      </c>
      <c r="G10" s="65">
        <f>SUM(G6:G9)</f>
        <v>1566.564725262017</v>
      </c>
      <c r="H10" s="60"/>
      <c r="I10" s="66">
        <f>SUM(I6:I9)</f>
        <v>1566.564725262017</v>
      </c>
      <c r="J10" s="60">
        <f>SUM(J6:J9)</f>
        <v>8342.9457767387848</v>
      </c>
      <c r="K10" s="67" t="e">
        <f>K6+K7+K8+#REF!+K9</f>
        <v>#REF!</v>
      </c>
      <c r="L10" s="67" t="e">
        <f>L6+L7+L8+#REF!+L9</f>
        <v>#REF!</v>
      </c>
      <c r="M10" s="68">
        <f>SUM(M6:M9)</f>
        <v>1566.564725262017</v>
      </c>
      <c r="N10" s="69"/>
      <c r="O10" s="70">
        <f>SUM(O6:O9)</f>
        <v>18943.53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1566.564725262017</v>
      </c>
      <c r="O12" s="84">
        <f>+O10</f>
        <v>18943.53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2825.32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1653.96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58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300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14164.25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78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78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1"/>
      <c r="N33" s="147" t="s">
        <v>113</v>
      </c>
      <c r="O33" s="152" t="s">
        <v>112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3589.2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10575.1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2144.23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681.09</v>
      </c>
      <c r="F41" s="192">
        <v>1653.96</v>
      </c>
      <c r="G41" s="187"/>
      <c r="H41" s="86"/>
      <c r="I41" s="108" t="s">
        <v>33</v>
      </c>
      <c r="J41" s="193">
        <f>SUM(J38:J40)-J40</f>
        <v>14164.3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2825.32</v>
      </c>
      <c r="F42" s="192">
        <f>SUM(F40:F41)</f>
        <v>1653.96</v>
      </c>
      <c r="G42" s="187">
        <f>SUM(E42:F42)</f>
        <v>4479.2800000000007</v>
      </c>
      <c r="H42" s="86"/>
      <c r="I42" s="5" t="s">
        <v>103</v>
      </c>
      <c r="J42" s="153">
        <f>O26-J41</f>
        <v>-4.9999999999272404E-2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700.02136181575429</v>
      </c>
      <c r="F46" s="35">
        <v>7.49</v>
      </c>
      <c r="G46" s="214">
        <v>5243.16</v>
      </c>
      <c r="L46" s="38"/>
    </row>
    <row r="47" spans="1:15" ht="15.6" x14ac:dyDescent="0.3">
      <c r="D47" s="215" t="s">
        <v>107</v>
      </c>
      <c r="E47" s="216">
        <f>+G47/F47</f>
        <v>171.41295546558706</v>
      </c>
      <c r="F47" s="217">
        <v>17.29</v>
      </c>
      <c r="G47" s="218">
        <v>2963.73</v>
      </c>
      <c r="L47" s="38"/>
    </row>
    <row r="48" spans="1:15" ht="15.6" x14ac:dyDescent="0.3">
      <c r="D48" s="215" t="s">
        <v>108</v>
      </c>
      <c r="E48" s="216">
        <f>+G48/F48</f>
        <v>540.48030987734023</v>
      </c>
      <c r="F48" s="217">
        <v>15.49</v>
      </c>
      <c r="G48" s="218">
        <v>8372.0400000000009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154.65009810333552</v>
      </c>
      <c r="F50" s="221">
        <v>15.29</v>
      </c>
      <c r="G50" s="222">
        <v>2364.6</v>
      </c>
      <c r="L50" s="38"/>
      <c r="M50" s="38"/>
    </row>
    <row r="51" spans="4:13" ht="16.2" thickBot="1" x14ac:dyDescent="0.35">
      <c r="D51" s="223"/>
      <c r="E51" s="224">
        <f>SUM(E46:E50)</f>
        <v>1566.564725262017</v>
      </c>
      <c r="F51" s="225"/>
      <c r="G51" s="226">
        <f>G46+G47+G48+G50</f>
        <v>18943.53</v>
      </c>
      <c r="J51" s="227">
        <f>G51-E42-F42-J41</f>
        <v>299.95000000000073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50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00473AF-CE0D-40E3-9E9C-2FCDA542D001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2E6F-A078-464B-B33A-DA36D91B90C4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45753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462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2759.8346320988903</v>
      </c>
      <c r="C6" s="26">
        <f>L33/2.0185</f>
        <v>0</v>
      </c>
      <c r="D6" s="27"/>
      <c r="E6" s="28">
        <v>0</v>
      </c>
      <c r="F6" s="29">
        <f>B6+C6+E6</f>
        <v>2759.8346320988903</v>
      </c>
      <c r="G6" s="30">
        <f>E46</f>
        <v>677.9185580774365</v>
      </c>
      <c r="H6" s="31"/>
      <c r="I6" s="32">
        <f>E46</f>
        <v>677.9185580774365</v>
      </c>
      <c r="J6" s="25">
        <f>F6-I6-H6</f>
        <v>2081.9160740214538</v>
      </c>
      <c r="K6" s="33">
        <v>2800</v>
      </c>
      <c r="L6" s="33">
        <v>2100</v>
      </c>
      <c r="M6" s="34">
        <f>I6</f>
        <v>677.9185580774365</v>
      </c>
      <c r="N6" s="35">
        <f>+F46</f>
        <v>7.49</v>
      </c>
      <c r="O6" s="36">
        <f>M6*N6</f>
        <v>5077.6099999999997</v>
      </c>
      <c r="P6" s="37">
        <f>+L6-J6</f>
        <v>18.083925978546176</v>
      </c>
      <c r="Q6" s="38" t="s">
        <v>28</v>
      </c>
    </row>
    <row r="7" spans="1:17" s="38" customFormat="1" x14ac:dyDescent="0.3">
      <c r="A7" s="39" t="s">
        <v>149</v>
      </c>
      <c r="B7" s="40">
        <v>2117.8203692533871</v>
      </c>
      <c r="C7" s="41">
        <f>L29</f>
        <v>0</v>
      </c>
      <c r="D7" s="42"/>
      <c r="E7" s="43"/>
      <c r="F7" s="44">
        <f>B7+C7+E7</f>
        <v>2117.8203692533871</v>
      </c>
      <c r="G7" s="45">
        <f>E47</f>
        <v>228.55234239444766</v>
      </c>
      <c r="H7" s="43">
        <v>0</v>
      </c>
      <c r="I7" s="46">
        <f>E47</f>
        <v>228.55234239444766</v>
      </c>
      <c r="J7" s="40">
        <f>F7-I7-H7</f>
        <v>1889.2680268589395</v>
      </c>
      <c r="K7" s="33">
        <v>2110</v>
      </c>
      <c r="L7" s="33">
        <v>1880</v>
      </c>
      <c r="M7" s="47">
        <f>I7</f>
        <v>228.55234239444766</v>
      </c>
      <c r="N7" s="35">
        <f>+F47</f>
        <v>17.29</v>
      </c>
      <c r="O7" s="48">
        <f>M7*N7</f>
        <v>3951.67</v>
      </c>
      <c r="P7" s="37">
        <f>+L7-J7</f>
        <v>-9.2680268589394927</v>
      </c>
    </row>
    <row r="8" spans="1:17" s="38" customFormat="1" x14ac:dyDescent="0.3">
      <c r="A8" s="39" t="s">
        <v>150</v>
      </c>
      <c r="B8" s="40">
        <v>2456.9959639643112</v>
      </c>
      <c r="C8" s="41">
        <f>L30</f>
        <v>0</v>
      </c>
      <c r="D8" s="42"/>
      <c r="E8" s="43"/>
      <c r="F8" s="44">
        <f>B8+C8+E8</f>
        <v>2456.9959639643112</v>
      </c>
      <c r="G8" s="45">
        <f>E48</f>
        <v>536.72046481601024</v>
      </c>
      <c r="H8" s="43">
        <v>0</v>
      </c>
      <c r="I8" s="46">
        <f>E48</f>
        <v>536.72046481601024</v>
      </c>
      <c r="J8" s="40">
        <f>F8-I8-H8</f>
        <v>1920.2754991483009</v>
      </c>
      <c r="K8" s="33">
        <v>2440</v>
      </c>
      <c r="L8" s="33">
        <v>1900</v>
      </c>
      <c r="M8" s="47">
        <f>I8</f>
        <v>536.72046481601024</v>
      </c>
      <c r="N8" s="35">
        <f>+F48</f>
        <v>15.49</v>
      </c>
      <c r="O8" s="48">
        <f>M8*N8</f>
        <v>8313.7999999999993</v>
      </c>
      <c r="P8" s="37">
        <f>+L8-J8</f>
        <v>-20.275499148300923</v>
      </c>
    </row>
    <row r="9" spans="1:17" s="38" customFormat="1" ht="15.6" thickBot="1" x14ac:dyDescent="0.35">
      <c r="A9" s="49" t="s">
        <v>32</v>
      </c>
      <c r="B9" s="50">
        <v>1008.2948114221963</v>
      </c>
      <c r="C9" s="51">
        <f>L32</f>
        <v>0</v>
      </c>
      <c r="D9" s="52"/>
      <c r="E9" s="53">
        <v>0</v>
      </c>
      <c r="F9" s="54">
        <f>B9+C9+E9</f>
        <v>1008.2948114221963</v>
      </c>
      <c r="G9" s="55">
        <f>E50</f>
        <v>142.782864617397</v>
      </c>
      <c r="H9" s="53"/>
      <c r="I9" s="56">
        <f>E50</f>
        <v>142.782864617397</v>
      </c>
      <c r="J9" s="50">
        <f>F9-I9-H9</f>
        <v>865.51194680479932</v>
      </c>
      <c r="K9" s="33">
        <v>1010</v>
      </c>
      <c r="L9" s="33">
        <v>870</v>
      </c>
      <c r="M9" s="57">
        <f>I9</f>
        <v>142.782864617397</v>
      </c>
      <c r="N9" s="35">
        <f>+F50</f>
        <v>15.29</v>
      </c>
      <c r="O9" s="58">
        <f>M9*N9</f>
        <v>2183.15</v>
      </c>
      <c r="P9" s="37">
        <f>+L9-J9</f>
        <v>4.4880531952006777</v>
      </c>
    </row>
    <row r="10" spans="1:17" s="38" customFormat="1" ht="16.2" thickBot="1" x14ac:dyDescent="0.35">
      <c r="A10" s="59" t="s">
        <v>33</v>
      </c>
      <c r="B10" s="60">
        <v>8342.9500000000007</v>
      </c>
      <c r="C10" s="61">
        <f>SUM(C6:C9)</f>
        <v>0</v>
      </c>
      <c r="D10" s="62"/>
      <c r="E10" s="63"/>
      <c r="F10" s="64">
        <f>SUM(F6:F9)</f>
        <v>8342.9457767387848</v>
      </c>
      <c r="G10" s="65">
        <f>SUM(G6:G9)</f>
        <v>1585.9742299052914</v>
      </c>
      <c r="H10" s="60"/>
      <c r="I10" s="66">
        <f>SUM(I6:I9)</f>
        <v>1585.9742299052914</v>
      </c>
      <c r="J10" s="60">
        <f>SUM(J6:J9)</f>
        <v>6756.9715468334934</v>
      </c>
      <c r="K10" s="67" t="e">
        <f>K6+K7+K8+#REF!+K9</f>
        <v>#REF!</v>
      </c>
      <c r="L10" s="67" t="e">
        <f>L6+L7+L8+#REF!+L9</f>
        <v>#REF!</v>
      </c>
      <c r="M10" s="68">
        <f>SUM(M6:M9)</f>
        <v>1585.9742299052914</v>
      </c>
      <c r="N10" s="69"/>
      <c r="O10" s="70">
        <f>SUM(O6:O9)</f>
        <v>19526.23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1585.9742299052914</v>
      </c>
      <c r="O12" s="84">
        <f>+O10</f>
        <v>19526.23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3885.34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1745.31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58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13895.58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78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78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1"/>
      <c r="N33" s="147" t="s">
        <v>113</v>
      </c>
      <c r="O33" s="152" t="s">
        <v>112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3332.3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10563.3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2982.84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902.5</v>
      </c>
      <c r="F41" s="192">
        <v>1745.31</v>
      </c>
      <c r="G41" s="187"/>
      <c r="H41" s="86"/>
      <c r="I41" s="108" t="s">
        <v>33</v>
      </c>
      <c r="J41" s="193">
        <f>SUM(J38:J40)-J40</f>
        <v>13895.599999999999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3885.34</v>
      </c>
      <c r="F42" s="192">
        <f>SUM(F40:F41)</f>
        <v>1745.31</v>
      </c>
      <c r="G42" s="187">
        <f>SUM(E42:F42)</f>
        <v>5630.65</v>
      </c>
      <c r="H42" s="86"/>
      <c r="I42" s="5" t="s">
        <v>103</v>
      </c>
      <c r="J42" s="153">
        <f>O26-J41</f>
        <v>-1.9999999998617568E-2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677.9185580774365</v>
      </c>
      <c r="F46" s="35">
        <v>7.49</v>
      </c>
      <c r="G46" s="214">
        <v>5077.6099999999997</v>
      </c>
      <c r="L46" s="38"/>
    </row>
    <row r="47" spans="1:15" ht="15.6" x14ac:dyDescent="0.3">
      <c r="D47" s="215" t="s">
        <v>107</v>
      </c>
      <c r="E47" s="216">
        <f>+G47/F47</f>
        <v>228.55234239444766</v>
      </c>
      <c r="F47" s="217">
        <v>17.29</v>
      </c>
      <c r="G47" s="218">
        <v>3951.67</v>
      </c>
      <c r="L47" s="38"/>
    </row>
    <row r="48" spans="1:15" ht="15.6" x14ac:dyDescent="0.3">
      <c r="D48" s="215" t="s">
        <v>108</v>
      </c>
      <c r="E48" s="216">
        <f>+G48/F48</f>
        <v>536.72046481601024</v>
      </c>
      <c r="F48" s="217">
        <v>15.49</v>
      </c>
      <c r="G48" s="218">
        <v>8313.7999999999993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142.782864617397</v>
      </c>
      <c r="F50" s="221">
        <v>15.29</v>
      </c>
      <c r="G50" s="222">
        <v>2183.15</v>
      </c>
      <c r="L50" s="38"/>
      <c r="M50" s="38"/>
    </row>
    <row r="51" spans="4:13" ht="16.2" thickBot="1" x14ac:dyDescent="0.35">
      <c r="D51" s="223"/>
      <c r="E51" s="224">
        <f>SUM(E46:E50)</f>
        <v>1585.9742299052914</v>
      </c>
      <c r="F51" s="225"/>
      <c r="G51" s="226">
        <f>G46+G47+G48+G50</f>
        <v>19526.23</v>
      </c>
      <c r="J51" s="227">
        <f>G51-E42-F42-J41</f>
        <v>-1.9999999998617568E-2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48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262161C-D4F3-467A-95C9-A08AA8F754E8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029F-FABB-4746-9C78-6BC62851003E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45754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463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2081.9160740214538</v>
      </c>
      <c r="C6" s="26">
        <f>L33/2.0185</f>
        <v>1882.586078771365</v>
      </c>
      <c r="D6" s="27"/>
      <c r="E6" s="28">
        <v>0</v>
      </c>
      <c r="F6" s="29">
        <f>B6+C6+E6</f>
        <v>3964.5021527928188</v>
      </c>
      <c r="G6" s="30">
        <f>E46</f>
        <v>634.17356475300403</v>
      </c>
      <c r="H6" s="31"/>
      <c r="I6" s="32">
        <f>E46</f>
        <v>634.17356475300403</v>
      </c>
      <c r="J6" s="25">
        <f>F6-I6-H6</f>
        <v>3330.3285880398148</v>
      </c>
      <c r="K6" s="33">
        <v>2100</v>
      </c>
      <c r="L6" s="33">
        <v>3300</v>
      </c>
      <c r="M6" s="34">
        <f>I6</f>
        <v>634.17356475300403</v>
      </c>
      <c r="N6" s="35">
        <f>+F46</f>
        <v>7.49</v>
      </c>
      <c r="O6" s="36">
        <f>M6*N6</f>
        <v>4749.96</v>
      </c>
      <c r="P6" s="37">
        <f>+L6-J6</f>
        <v>-30.328588039814804</v>
      </c>
      <c r="Q6" s="38" t="s">
        <v>28</v>
      </c>
    </row>
    <row r="7" spans="1:17" s="38" customFormat="1" x14ac:dyDescent="0.3">
      <c r="A7" s="39" t="s">
        <v>149</v>
      </c>
      <c r="B7" s="40">
        <v>1889.2680268589395</v>
      </c>
      <c r="C7" s="41">
        <f>L29</f>
        <v>0</v>
      </c>
      <c r="D7" s="42"/>
      <c r="E7" s="43"/>
      <c r="F7" s="44">
        <f>B7+C7+E7</f>
        <v>1889.2680268589395</v>
      </c>
      <c r="G7" s="45">
        <f>E47</f>
        <v>186.31174089068827</v>
      </c>
      <c r="H7" s="43">
        <v>0</v>
      </c>
      <c r="I7" s="46">
        <f>E47</f>
        <v>186.31174089068827</v>
      </c>
      <c r="J7" s="40">
        <f>F7-I7-H7</f>
        <v>1702.9562859682512</v>
      </c>
      <c r="K7" s="33">
        <v>1880</v>
      </c>
      <c r="L7" s="33">
        <v>1700</v>
      </c>
      <c r="M7" s="47">
        <f>I7</f>
        <v>186.31174089068827</v>
      </c>
      <c r="N7" s="35">
        <f>+F47</f>
        <v>17.29</v>
      </c>
      <c r="O7" s="48">
        <f>M7*N7</f>
        <v>3221.33</v>
      </c>
      <c r="P7" s="37">
        <f>+L7-J7</f>
        <v>-2.9562859682512226</v>
      </c>
    </row>
    <row r="8" spans="1:17" s="38" customFormat="1" x14ac:dyDescent="0.3">
      <c r="A8" s="39" t="s">
        <v>150</v>
      </c>
      <c r="B8" s="40">
        <v>1920.2754991483009</v>
      </c>
      <c r="C8" s="41">
        <f>L30</f>
        <v>0</v>
      </c>
      <c r="D8" s="42"/>
      <c r="E8" s="43"/>
      <c r="F8" s="44">
        <f>B8+C8+E8</f>
        <v>1920.2754991483009</v>
      </c>
      <c r="G8" s="45">
        <f>E48</f>
        <v>592.0690768237572</v>
      </c>
      <c r="H8" s="43">
        <v>0</v>
      </c>
      <c r="I8" s="46">
        <f>E48</f>
        <v>592.0690768237572</v>
      </c>
      <c r="J8" s="40">
        <f>F8-I8-H8</f>
        <v>1328.2064223245438</v>
      </c>
      <c r="K8" s="33">
        <v>1900</v>
      </c>
      <c r="L8" s="33">
        <v>1310</v>
      </c>
      <c r="M8" s="47">
        <f>I8</f>
        <v>592.0690768237572</v>
      </c>
      <c r="N8" s="35">
        <f>+F48</f>
        <v>15.49</v>
      </c>
      <c r="O8" s="48">
        <f>M8*N8</f>
        <v>9171.15</v>
      </c>
      <c r="P8" s="37">
        <f>+L8-J8</f>
        <v>-18.206422324543837</v>
      </c>
    </row>
    <row r="9" spans="1:17" s="38" customFormat="1" ht="15.6" thickBot="1" x14ac:dyDescent="0.35">
      <c r="A9" s="49" t="s">
        <v>32</v>
      </c>
      <c r="B9" s="50">
        <v>865.51194680479932</v>
      </c>
      <c r="C9" s="51">
        <f>L32</f>
        <v>1500</v>
      </c>
      <c r="D9" s="52"/>
      <c r="E9" s="53">
        <v>0</v>
      </c>
      <c r="F9" s="54">
        <f>B9+C9+E9</f>
        <v>2365.5119468047992</v>
      </c>
      <c r="G9" s="55">
        <f>E50</f>
        <v>159.25572269457163</v>
      </c>
      <c r="H9" s="53"/>
      <c r="I9" s="56">
        <f>E50</f>
        <v>159.25572269457163</v>
      </c>
      <c r="J9" s="50">
        <f>F9-I9-H9</f>
        <v>2206.2562241102278</v>
      </c>
      <c r="K9" s="33">
        <v>870</v>
      </c>
      <c r="L9" s="33">
        <v>2200</v>
      </c>
      <c r="M9" s="57">
        <f>I9</f>
        <v>159.25572269457163</v>
      </c>
      <c r="N9" s="35">
        <f>+F50</f>
        <v>15.29</v>
      </c>
      <c r="O9" s="58">
        <f>M9*N9</f>
        <v>2435.02</v>
      </c>
      <c r="P9" s="37">
        <f>+L9-J9</f>
        <v>-6.2562241102277767</v>
      </c>
    </row>
    <row r="10" spans="1:17" s="38" customFormat="1" ht="16.2" thickBot="1" x14ac:dyDescent="0.35">
      <c r="A10" s="59" t="s">
        <v>33</v>
      </c>
      <c r="B10" s="60">
        <v>6756.97</v>
      </c>
      <c r="C10" s="61">
        <f>SUM(C6:C9)</f>
        <v>3382.586078771365</v>
      </c>
      <c r="D10" s="62"/>
      <c r="E10" s="63"/>
      <c r="F10" s="64">
        <f>SUM(F6:F9)</f>
        <v>10139.557625604859</v>
      </c>
      <c r="G10" s="65">
        <f>SUM(G6:G9)</f>
        <v>1571.8101051620213</v>
      </c>
      <c r="H10" s="60"/>
      <c r="I10" s="66">
        <f>SUM(I6:I9)</f>
        <v>1571.8101051620213</v>
      </c>
      <c r="J10" s="60">
        <f>SUM(J6:J9)</f>
        <v>8567.7475204428374</v>
      </c>
      <c r="K10" s="67" t="e">
        <f>K6+K7+K8+#REF!+K9</f>
        <v>#REF!</v>
      </c>
      <c r="L10" s="67" t="e">
        <f>L6+L7+L8+#REF!+L9</f>
        <v>#REF!</v>
      </c>
      <c r="M10" s="68">
        <f>SUM(M6:M9)</f>
        <v>1571.8101051620213</v>
      </c>
      <c r="N10" s="69"/>
      <c r="O10" s="70">
        <f>SUM(O6:O9)</f>
        <v>19577.46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1571.8101051620213</v>
      </c>
      <c r="O12" s="84">
        <f>+O10</f>
        <v>19577.46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4783.8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1539.36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58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13254.3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78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>
        <v>1500</v>
      </c>
      <c r="M32" s="149" t="s">
        <v>116</v>
      </c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>
        <v>3800</v>
      </c>
      <c r="M33" s="141" t="s">
        <v>114</v>
      </c>
      <c r="N33" s="147" t="s">
        <v>118</v>
      </c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3210.6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10043.799999999999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2632.28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2151.52</v>
      </c>
      <c r="F41" s="192">
        <v>1539.36</v>
      </c>
      <c r="G41" s="187"/>
      <c r="H41" s="86"/>
      <c r="I41" s="108" t="s">
        <v>33</v>
      </c>
      <c r="J41" s="193">
        <f>SUM(J38:J40)-J40</f>
        <v>13254.4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4783.8</v>
      </c>
      <c r="F42" s="192">
        <f>SUM(F40:F41)</f>
        <v>1539.36</v>
      </c>
      <c r="G42" s="187">
        <f>SUM(E42:F42)</f>
        <v>6323.16</v>
      </c>
      <c r="H42" s="86"/>
      <c r="I42" s="5" t="s">
        <v>103</v>
      </c>
      <c r="J42" s="153">
        <f>O26-J41</f>
        <v>-0.1000000000003638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634.17356475300403</v>
      </c>
      <c r="F46" s="35">
        <v>7.49</v>
      </c>
      <c r="G46" s="214">
        <v>4749.96</v>
      </c>
      <c r="L46" s="38"/>
    </row>
    <row r="47" spans="1:15" ht="15.6" x14ac:dyDescent="0.3">
      <c r="D47" s="215" t="s">
        <v>107</v>
      </c>
      <c r="E47" s="216">
        <f>+G47/F47</f>
        <v>186.31174089068827</v>
      </c>
      <c r="F47" s="217">
        <v>17.29</v>
      </c>
      <c r="G47" s="218">
        <v>3221.33</v>
      </c>
      <c r="L47" s="38"/>
    </row>
    <row r="48" spans="1:15" ht="15.6" x14ac:dyDescent="0.3">
      <c r="D48" s="215" t="s">
        <v>108</v>
      </c>
      <c r="E48" s="216">
        <f>+G48/F48</f>
        <v>592.0690768237572</v>
      </c>
      <c r="F48" s="217">
        <v>15.49</v>
      </c>
      <c r="G48" s="218">
        <v>9171.15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159.25572269457163</v>
      </c>
      <c r="F50" s="221">
        <v>15.29</v>
      </c>
      <c r="G50" s="222">
        <v>2435.02</v>
      </c>
      <c r="L50" s="38"/>
      <c r="M50" s="38"/>
    </row>
    <row r="51" spans="4:13" ht="16.2" thickBot="1" x14ac:dyDescent="0.35">
      <c r="D51" s="223"/>
      <c r="E51" s="224">
        <f>SUM(E46:E50)</f>
        <v>1571.8101051620213</v>
      </c>
      <c r="F51" s="225"/>
      <c r="G51" s="226">
        <f>G46+G47+G48+G50</f>
        <v>19577.46</v>
      </c>
      <c r="J51" s="227">
        <f>G51-E42-F42-J41</f>
        <v>-0.1000000000003638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46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C1D5C2C-D229-4355-9B07-A96303906634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2CF5-E16B-431E-A627-E8E4ED38FC8B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45755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464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3330.3285880398148</v>
      </c>
      <c r="C6" s="26">
        <f>L33/2.0185</f>
        <v>0</v>
      </c>
      <c r="D6" s="27"/>
      <c r="E6" s="28">
        <v>0</v>
      </c>
      <c r="F6" s="29">
        <f>B6+C6+E6</f>
        <v>3330.3285880398148</v>
      </c>
      <c r="G6" s="30">
        <f>E46</f>
        <v>727.88384512683581</v>
      </c>
      <c r="H6" s="31"/>
      <c r="I6" s="32">
        <f>E46</f>
        <v>727.88384512683581</v>
      </c>
      <c r="J6" s="25">
        <f>F6-I6-H6</f>
        <v>2602.4447429129791</v>
      </c>
      <c r="K6" s="33">
        <v>3300</v>
      </c>
      <c r="L6" s="33">
        <v>2600</v>
      </c>
      <c r="M6" s="34">
        <f>I6</f>
        <v>727.88384512683581</v>
      </c>
      <c r="N6" s="35">
        <f>+F46</f>
        <v>7.49</v>
      </c>
      <c r="O6" s="36">
        <f>M6*N6</f>
        <v>5451.85</v>
      </c>
      <c r="P6" s="37">
        <f>+L6-J6</f>
        <v>-2.444742912979109</v>
      </c>
      <c r="Q6" s="38" t="s">
        <v>28</v>
      </c>
    </row>
    <row r="7" spans="1:17" s="38" customFormat="1" x14ac:dyDescent="0.3">
      <c r="A7" s="39" t="s">
        <v>149</v>
      </c>
      <c r="B7" s="40">
        <v>1702.9562859682512</v>
      </c>
      <c r="C7" s="41">
        <f>L29</f>
        <v>0</v>
      </c>
      <c r="D7" s="42"/>
      <c r="E7" s="43"/>
      <c r="F7" s="44">
        <f>B7+C7+E7</f>
        <v>1702.9562859682512</v>
      </c>
      <c r="G7" s="45">
        <f>E47</f>
        <v>196.37767495662231</v>
      </c>
      <c r="H7" s="43">
        <v>0</v>
      </c>
      <c r="I7" s="46">
        <f>E47</f>
        <v>196.37767495662231</v>
      </c>
      <c r="J7" s="40">
        <f>F7-I7-H7</f>
        <v>1506.5786110116289</v>
      </c>
      <c r="K7" s="33">
        <v>1700</v>
      </c>
      <c r="L7" s="33">
        <v>1500</v>
      </c>
      <c r="M7" s="47">
        <f>I7</f>
        <v>196.37767495662231</v>
      </c>
      <c r="N7" s="35">
        <f>+F47</f>
        <v>17.29</v>
      </c>
      <c r="O7" s="48">
        <f>M7*N7</f>
        <v>3395.3699999999994</v>
      </c>
      <c r="P7" s="37">
        <f>+L7-J7</f>
        <v>-6.5786110116289365</v>
      </c>
    </row>
    <row r="8" spans="1:17" s="38" customFormat="1" x14ac:dyDescent="0.3">
      <c r="A8" s="39" t="s">
        <v>150</v>
      </c>
      <c r="B8" s="40">
        <v>1328.2064223245438</v>
      </c>
      <c r="C8" s="41">
        <f>L30</f>
        <v>1050</v>
      </c>
      <c r="D8" s="42"/>
      <c r="E8" s="43"/>
      <c r="F8" s="44">
        <f>B8+C8+E8</f>
        <v>2378.2064223245438</v>
      </c>
      <c r="G8" s="45">
        <f>E48</f>
        <v>612.98708844415751</v>
      </c>
      <c r="H8" s="43">
        <v>0</v>
      </c>
      <c r="I8" s="46">
        <f>E48</f>
        <v>612.98708844415751</v>
      </c>
      <c r="J8" s="40">
        <f>F8-I8-H8</f>
        <v>1765.2193338803863</v>
      </c>
      <c r="K8" s="33">
        <v>1310</v>
      </c>
      <c r="L8" s="33">
        <v>1740</v>
      </c>
      <c r="M8" s="47">
        <f>I8</f>
        <v>612.98708844415751</v>
      </c>
      <c r="N8" s="35">
        <f>+F48</f>
        <v>15.49</v>
      </c>
      <c r="O8" s="48">
        <f>M8*N8</f>
        <v>9495.17</v>
      </c>
      <c r="P8" s="37">
        <f>+L8-J8</f>
        <v>-25.21933388038633</v>
      </c>
    </row>
    <row r="9" spans="1:17" s="38" customFormat="1" ht="15.6" thickBot="1" x14ac:dyDescent="0.35">
      <c r="A9" s="49" t="s">
        <v>32</v>
      </c>
      <c r="B9" s="50">
        <v>2206.2562241102278</v>
      </c>
      <c r="C9" s="51">
        <f>L32</f>
        <v>0</v>
      </c>
      <c r="D9" s="52"/>
      <c r="E9" s="53">
        <v>0</v>
      </c>
      <c r="F9" s="54">
        <f>B9+C9+E9</f>
        <v>2206.2562241102278</v>
      </c>
      <c r="G9" s="55">
        <f>E50</f>
        <v>268.33093525179856</v>
      </c>
      <c r="H9" s="53"/>
      <c r="I9" s="56">
        <f>E50</f>
        <v>268.33093525179856</v>
      </c>
      <c r="J9" s="50">
        <f>F9-I9-H9</f>
        <v>1937.9252888584292</v>
      </c>
      <c r="K9" s="33">
        <v>2200</v>
      </c>
      <c r="L9" s="33">
        <v>1930</v>
      </c>
      <c r="M9" s="57">
        <f>I9</f>
        <v>268.33093525179856</v>
      </c>
      <c r="N9" s="35">
        <f>+F50</f>
        <v>15.29</v>
      </c>
      <c r="O9" s="58">
        <f>M9*N9</f>
        <v>4102.78</v>
      </c>
      <c r="P9" s="37">
        <f>+L9-J9</f>
        <v>-7.9252888584292123</v>
      </c>
    </row>
    <row r="10" spans="1:17" s="38" customFormat="1" ht="16.2" thickBot="1" x14ac:dyDescent="0.35">
      <c r="A10" s="59" t="s">
        <v>33</v>
      </c>
      <c r="B10" s="60">
        <v>8567.75</v>
      </c>
      <c r="C10" s="61">
        <f>SUM(C6:C9)</f>
        <v>1050</v>
      </c>
      <c r="D10" s="62"/>
      <c r="E10" s="63"/>
      <c r="F10" s="64">
        <f>SUM(F6:F9)</f>
        <v>9617.7475204428374</v>
      </c>
      <c r="G10" s="65">
        <f>SUM(G6:G9)</f>
        <v>1805.5795437794141</v>
      </c>
      <c r="H10" s="60"/>
      <c r="I10" s="66">
        <f>SUM(I6:I9)</f>
        <v>1805.5795437794141</v>
      </c>
      <c r="J10" s="60">
        <f>SUM(J6:J9)</f>
        <v>7812.1679766634243</v>
      </c>
      <c r="K10" s="67" t="e">
        <f>K6+K7+K8+#REF!+K9</f>
        <v>#REF!</v>
      </c>
      <c r="L10" s="67" t="e">
        <f>L6+L7+L8+#REF!+L9</f>
        <v>#REF!</v>
      </c>
      <c r="M10" s="68">
        <f>SUM(M6:M9)</f>
        <v>1805.5795437794141</v>
      </c>
      <c r="N10" s="69"/>
      <c r="O10" s="70">
        <f>SUM(O6:O9)</f>
        <v>22445.17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1805.5795437794141</v>
      </c>
      <c r="O12" s="84">
        <f>+O10</f>
        <v>22445.17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5715.24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1337.25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58</v>
      </c>
      <c r="M18" s="284"/>
      <c r="N18" s="95">
        <v>0</v>
      </c>
      <c r="O18" s="96">
        <v>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15392.68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>
        <v>1050</v>
      </c>
      <c r="M30" s="141" t="s">
        <v>119</v>
      </c>
      <c r="N30" s="141" t="s">
        <v>120</v>
      </c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1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4114.6000000000004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11278.3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3697.71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2017.53</v>
      </c>
      <c r="F41" s="192">
        <v>1337.25</v>
      </c>
      <c r="G41" s="187"/>
      <c r="H41" s="86"/>
      <c r="I41" s="108" t="s">
        <v>33</v>
      </c>
      <c r="J41" s="193">
        <f>SUM(J38:J40)-J40</f>
        <v>15392.9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5715.24</v>
      </c>
      <c r="F42" s="192">
        <f>SUM(F40:F41)</f>
        <v>1337.25</v>
      </c>
      <c r="G42" s="187">
        <f>SUM(E42:F42)</f>
        <v>7052.49</v>
      </c>
      <c r="H42" s="86"/>
      <c r="I42" s="5" t="s">
        <v>103</v>
      </c>
      <c r="J42" s="153">
        <f>O26-J41</f>
        <v>-0.21999999999934516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727.88384512683581</v>
      </c>
      <c r="F46" s="35">
        <v>7.49</v>
      </c>
      <c r="G46" s="214">
        <v>5451.85</v>
      </c>
      <c r="L46" s="38"/>
    </row>
    <row r="47" spans="1:15" ht="15.6" x14ac:dyDescent="0.3">
      <c r="D47" s="215" t="s">
        <v>107</v>
      </c>
      <c r="E47" s="216">
        <f>+G47/F47</f>
        <v>196.37767495662231</v>
      </c>
      <c r="F47" s="217">
        <v>17.29</v>
      </c>
      <c r="G47" s="218">
        <v>3395.37</v>
      </c>
      <c r="L47" s="38"/>
    </row>
    <row r="48" spans="1:15" ht="15.6" x14ac:dyDescent="0.3">
      <c r="D48" s="215" t="s">
        <v>108</v>
      </c>
      <c r="E48" s="216">
        <f>+G48/F48</f>
        <v>612.98708844415751</v>
      </c>
      <c r="F48" s="217">
        <v>15.49</v>
      </c>
      <c r="G48" s="218">
        <v>9495.17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268.33093525179856</v>
      </c>
      <c r="F50" s="221">
        <v>15.29</v>
      </c>
      <c r="G50" s="222">
        <v>4102.78</v>
      </c>
      <c r="L50" s="38"/>
      <c r="M50" s="38"/>
    </row>
    <row r="51" spans="4:13" ht="16.2" thickBot="1" x14ac:dyDescent="0.35">
      <c r="D51" s="223"/>
      <c r="E51" s="224">
        <f>SUM(E46:E50)</f>
        <v>1805.5795437794141</v>
      </c>
      <c r="F51" s="225"/>
      <c r="G51" s="226">
        <f>G46+G47+G48+G50</f>
        <v>22445.17</v>
      </c>
      <c r="J51" s="227">
        <f>G51-E42-F42-J41</f>
        <v>-0.21999999999934516</v>
      </c>
      <c r="L51" s="38"/>
    </row>
  </sheetData>
  <mergeCells count="53">
    <mergeCell ref="A43:C43"/>
    <mergeCell ref="L38:M38"/>
    <mergeCell ref="N38:O38"/>
    <mergeCell ref="A39:D39"/>
    <mergeCell ref="A40:D40"/>
    <mergeCell ref="A41:D41"/>
    <mergeCell ref="A42:D42"/>
    <mergeCell ref="A38:D38"/>
    <mergeCell ref="A34:B34"/>
    <mergeCell ref="A35:B35"/>
    <mergeCell ref="A36:D36"/>
    <mergeCell ref="A37:D37"/>
    <mergeCell ref="I37:K37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</mergeCells>
  <conditionalFormatting sqref="P6:P10">
    <cfRule type="cellIs" dxfId="44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897FE95-3FE2-4ACD-8BC2-2CBD734DC0ED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166F-BE18-4B30-840F-71D7FBB738F3}">
  <sheetPr>
    <pageSetUpPr fitToPage="1"/>
  </sheetPr>
  <dimension ref="A1:Q51"/>
  <sheetViews>
    <sheetView zoomScale="87" zoomScaleNormal="87" workbookViewId="0">
      <selection activeCell="A6" sqref="A6:A9"/>
    </sheetView>
  </sheetViews>
  <sheetFormatPr baseColWidth="10" defaultColWidth="5.6640625" defaultRowHeight="15" x14ac:dyDescent="0.3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7" style="5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3">
      <c r="A1" s="254"/>
      <c r="B1" s="255"/>
      <c r="C1" s="255"/>
      <c r="D1" s="255"/>
      <c r="E1" s="255"/>
      <c r="F1" s="255"/>
      <c r="G1" s="255"/>
      <c r="H1" s="255"/>
      <c r="I1" s="1" t="s">
        <v>0</v>
      </c>
      <c r="J1" s="259" t="s">
        <v>1</v>
      </c>
      <c r="K1" s="260"/>
      <c r="L1" s="260"/>
      <c r="M1" s="3" t="s">
        <v>2</v>
      </c>
      <c r="N1" s="2">
        <v>25</v>
      </c>
      <c r="O1" s="4"/>
    </row>
    <row r="2" spans="1:17" ht="20.100000000000001" customHeight="1" x14ac:dyDescent="0.3">
      <c r="A2" s="256"/>
      <c r="B2" s="257"/>
      <c r="C2" s="257"/>
      <c r="D2" s="257"/>
      <c r="E2" s="257"/>
      <c r="F2" s="257"/>
      <c r="G2" s="257"/>
      <c r="H2" s="257"/>
      <c r="I2" s="6" t="s">
        <v>3</v>
      </c>
      <c r="J2" s="261" t="s">
        <v>4</v>
      </c>
      <c r="K2" s="262"/>
      <c r="L2" s="7" t="s">
        <v>5</v>
      </c>
      <c r="M2" s="8" t="s">
        <v>6</v>
      </c>
      <c r="N2" s="9">
        <v>45756</v>
      </c>
      <c r="O2" s="10" t="s">
        <v>109</v>
      </c>
      <c r="P2" s="11">
        <v>45292</v>
      </c>
    </row>
    <row r="3" spans="1:17" ht="20.100000000000001" customHeight="1" thickBot="1" x14ac:dyDescent="0.35">
      <c r="A3" s="258"/>
      <c r="B3" s="257"/>
      <c r="C3" s="257"/>
      <c r="D3" s="257"/>
      <c r="E3" s="257"/>
      <c r="F3" s="257"/>
      <c r="G3" s="257"/>
      <c r="H3" s="257"/>
      <c r="I3" s="12" t="s">
        <v>7</v>
      </c>
      <c r="J3" s="262"/>
      <c r="K3" s="263"/>
      <c r="L3" s="263"/>
      <c r="M3" s="13" t="s">
        <v>8</v>
      </c>
      <c r="N3" s="14">
        <f>+N2-P2+1</f>
        <v>465</v>
      </c>
      <c r="O3" s="15"/>
    </row>
    <row r="4" spans="1:17" ht="15" customHeight="1" thickBot="1" x14ac:dyDescent="0.35">
      <c r="A4" s="264" t="s">
        <v>9</v>
      </c>
      <c r="B4" s="264" t="s">
        <v>10</v>
      </c>
      <c r="C4" s="267" t="s">
        <v>11</v>
      </c>
      <c r="D4" s="268"/>
      <c r="E4" s="268"/>
      <c r="F4" s="269"/>
      <c r="G4" s="270" t="s">
        <v>12</v>
      </c>
      <c r="H4" s="268"/>
      <c r="I4" s="271"/>
      <c r="J4" s="264" t="s">
        <v>13</v>
      </c>
      <c r="K4" s="270" t="s">
        <v>14</v>
      </c>
      <c r="L4" s="269"/>
      <c r="M4" s="270" t="s">
        <v>15</v>
      </c>
      <c r="N4" s="268"/>
      <c r="O4" s="269"/>
    </row>
    <row r="5" spans="1:17" s="23" customFormat="1" ht="15.6" thickBot="1" x14ac:dyDescent="0.35">
      <c r="A5" s="265"/>
      <c r="B5" s="266"/>
      <c r="C5" s="17" t="s">
        <v>16</v>
      </c>
      <c r="D5" s="18"/>
      <c r="E5" s="19" t="s">
        <v>17</v>
      </c>
      <c r="F5" s="20" t="s">
        <v>18</v>
      </c>
      <c r="G5" s="19" t="s">
        <v>19</v>
      </c>
      <c r="H5" s="19" t="s">
        <v>20</v>
      </c>
      <c r="I5" s="19" t="s">
        <v>21</v>
      </c>
      <c r="J5" s="265"/>
      <c r="K5" s="19" t="s">
        <v>22</v>
      </c>
      <c r="L5" s="21" t="s">
        <v>23</v>
      </c>
      <c r="M5" s="21" t="s">
        <v>24</v>
      </c>
      <c r="N5" s="19" t="s">
        <v>25</v>
      </c>
      <c r="O5" s="22" t="s">
        <v>26</v>
      </c>
    </row>
    <row r="6" spans="1:17" s="38" customFormat="1" x14ac:dyDescent="0.3">
      <c r="A6" s="24" t="s">
        <v>27</v>
      </c>
      <c r="B6" s="25">
        <v>2602.4447429129791</v>
      </c>
      <c r="C6" s="26">
        <f>L33/2.0185</f>
        <v>0</v>
      </c>
      <c r="D6" s="27"/>
      <c r="E6" s="28">
        <v>0</v>
      </c>
      <c r="F6" s="29">
        <f>B6+C6+E6</f>
        <v>2602.4447429129791</v>
      </c>
      <c r="G6" s="30">
        <f>E46</f>
        <v>523.67289719626172</v>
      </c>
      <c r="H6" s="31"/>
      <c r="I6" s="32">
        <f>E46</f>
        <v>523.67289719626172</v>
      </c>
      <c r="J6" s="25">
        <f>F6-I6-H6</f>
        <v>2078.7718457167175</v>
      </c>
      <c r="K6" s="33">
        <v>2600</v>
      </c>
      <c r="L6" s="33">
        <v>2050</v>
      </c>
      <c r="M6" s="34">
        <f>I6</f>
        <v>523.67289719626172</v>
      </c>
      <c r="N6" s="35">
        <f>+F46</f>
        <v>7.49</v>
      </c>
      <c r="O6" s="36">
        <f>M6*N6</f>
        <v>3922.3100000000004</v>
      </c>
      <c r="P6" s="37">
        <f>+L6-J6</f>
        <v>-28.771845716717507</v>
      </c>
      <c r="Q6" s="38" t="s">
        <v>28</v>
      </c>
    </row>
    <row r="7" spans="1:17" s="38" customFormat="1" x14ac:dyDescent="0.3">
      <c r="A7" s="39" t="s">
        <v>149</v>
      </c>
      <c r="B7" s="40">
        <v>1506.5786110116289</v>
      </c>
      <c r="C7" s="41">
        <f>L29</f>
        <v>0</v>
      </c>
      <c r="D7" s="42"/>
      <c r="E7" s="43"/>
      <c r="F7" s="44">
        <f>B7+C7+E7</f>
        <v>1506.5786110116289</v>
      </c>
      <c r="G7" s="45">
        <f>E47</f>
        <v>137.454019664546</v>
      </c>
      <c r="H7" s="43">
        <v>0</v>
      </c>
      <c r="I7" s="46">
        <f>E47</f>
        <v>137.454019664546</v>
      </c>
      <c r="J7" s="40">
        <f>F7-I7-H7</f>
        <v>1369.124591347083</v>
      </c>
      <c r="K7" s="33">
        <v>1500</v>
      </c>
      <c r="L7" s="33">
        <v>1360</v>
      </c>
      <c r="M7" s="47">
        <f>I7</f>
        <v>137.454019664546</v>
      </c>
      <c r="N7" s="35">
        <f>+F47</f>
        <v>17.29</v>
      </c>
      <c r="O7" s="48">
        <f>M7*N7</f>
        <v>2376.58</v>
      </c>
      <c r="P7" s="37">
        <f>+L7-J7</f>
        <v>-9.1245913470829692</v>
      </c>
    </row>
    <row r="8" spans="1:17" s="38" customFormat="1" x14ac:dyDescent="0.3">
      <c r="A8" s="39" t="s">
        <v>150</v>
      </c>
      <c r="B8" s="40">
        <v>1765.2193338803863</v>
      </c>
      <c r="C8" s="41">
        <f>L30</f>
        <v>0</v>
      </c>
      <c r="D8" s="42"/>
      <c r="E8" s="43"/>
      <c r="F8" s="44">
        <f>B8+C8+E8</f>
        <v>1765.2193338803863</v>
      </c>
      <c r="G8" s="45">
        <f>E48</f>
        <v>596.99741768883143</v>
      </c>
      <c r="H8" s="43">
        <v>0</v>
      </c>
      <c r="I8" s="46">
        <f>E48</f>
        <v>596.99741768883143</v>
      </c>
      <c r="J8" s="40">
        <f>F8-I8-H8</f>
        <v>1168.221916191555</v>
      </c>
      <c r="K8" s="33">
        <v>1740</v>
      </c>
      <c r="L8" s="33">
        <v>1150</v>
      </c>
      <c r="M8" s="47">
        <f>I8</f>
        <v>596.99741768883143</v>
      </c>
      <c r="N8" s="35">
        <f>+F48</f>
        <v>15.49</v>
      </c>
      <c r="O8" s="48">
        <f>M8*N8</f>
        <v>9247.49</v>
      </c>
      <c r="P8" s="37">
        <f>+L8-J8</f>
        <v>-18.22191619155501</v>
      </c>
    </row>
    <row r="9" spans="1:17" s="38" customFormat="1" ht="15.6" thickBot="1" x14ac:dyDescent="0.35">
      <c r="A9" s="49" t="s">
        <v>32</v>
      </c>
      <c r="B9" s="50">
        <v>1937.9252888584292</v>
      </c>
      <c r="C9" s="51">
        <f>L32</f>
        <v>0</v>
      </c>
      <c r="D9" s="52"/>
      <c r="E9" s="53">
        <v>0</v>
      </c>
      <c r="F9" s="54">
        <f>B9+C9+E9</f>
        <v>1937.9252888584292</v>
      </c>
      <c r="G9" s="55">
        <f>E50</f>
        <v>158.31393067364291</v>
      </c>
      <c r="H9" s="53"/>
      <c r="I9" s="56">
        <f>E50</f>
        <v>158.31393067364291</v>
      </c>
      <c r="J9" s="50">
        <f>F9-I9-H9</f>
        <v>1779.6113581847862</v>
      </c>
      <c r="K9" s="33">
        <v>1930</v>
      </c>
      <c r="L9" s="33">
        <v>1780</v>
      </c>
      <c r="M9" s="57">
        <f>I9</f>
        <v>158.31393067364291</v>
      </c>
      <c r="N9" s="35">
        <f>+F50</f>
        <v>15.29</v>
      </c>
      <c r="O9" s="58">
        <f>M9*N9</f>
        <v>2420.62</v>
      </c>
      <c r="P9" s="37">
        <f>+L9-J9</f>
        <v>0.3886418152137594</v>
      </c>
    </row>
    <row r="10" spans="1:17" s="38" customFormat="1" ht="16.2" thickBot="1" x14ac:dyDescent="0.35">
      <c r="A10" s="59" t="s">
        <v>33</v>
      </c>
      <c r="B10" s="60">
        <v>7812.17</v>
      </c>
      <c r="C10" s="61">
        <f>SUM(C6:C9)</f>
        <v>0</v>
      </c>
      <c r="D10" s="62"/>
      <c r="E10" s="63"/>
      <c r="F10" s="64">
        <f>SUM(F6:F9)</f>
        <v>7812.1679766634243</v>
      </c>
      <c r="G10" s="65">
        <f>SUM(G6:G9)</f>
        <v>1416.4382652232821</v>
      </c>
      <c r="H10" s="60"/>
      <c r="I10" s="66">
        <f>SUM(I6:I9)</f>
        <v>1416.4382652232821</v>
      </c>
      <c r="J10" s="60">
        <f>SUM(J6:J9)</f>
        <v>6395.7297114401408</v>
      </c>
      <c r="K10" s="67" t="e">
        <f>K6+K7+K8+#REF!+K9</f>
        <v>#REF!</v>
      </c>
      <c r="L10" s="67" t="e">
        <f>L6+L7+L8+#REF!+L9</f>
        <v>#REF!</v>
      </c>
      <c r="M10" s="68">
        <f>SUM(M6:M9)</f>
        <v>1416.4382652232821</v>
      </c>
      <c r="N10" s="69"/>
      <c r="O10" s="70">
        <f>SUM(O6:O9)</f>
        <v>17967</v>
      </c>
    </row>
    <row r="11" spans="1:17" s="23" customFormat="1" ht="24" customHeight="1" thickBot="1" x14ac:dyDescent="0.35">
      <c r="A11" s="270" t="s">
        <v>34</v>
      </c>
      <c r="B11" s="271"/>
      <c r="C11" s="19" t="s">
        <v>35</v>
      </c>
      <c r="D11" s="19" t="s">
        <v>36</v>
      </c>
      <c r="E11" s="71" t="s">
        <v>37</v>
      </c>
      <c r="F11" s="21" t="s">
        <v>38</v>
      </c>
      <c r="G11" s="72" t="s">
        <v>39</v>
      </c>
      <c r="H11" s="16" t="s">
        <v>40</v>
      </c>
      <c r="I11" s="71" t="s">
        <v>41</v>
      </c>
      <c r="J11" s="19" t="s">
        <v>42</v>
      </c>
      <c r="K11" s="22" t="s">
        <v>43</v>
      </c>
      <c r="L11" s="272">
        <v>2</v>
      </c>
      <c r="M11" s="273"/>
      <c r="N11" s="21" t="s">
        <v>44</v>
      </c>
      <c r="O11" s="73" t="s">
        <v>45</v>
      </c>
    </row>
    <row r="12" spans="1:17" ht="15" customHeight="1" x14ac:dyDescent="0.3">
      <c r="A12" s="74"/>
      <c r="B12" s="75"/>
      <c r="C12" s="76"/>
      <c r="D12" s="77"/>
      <c r="E12" s="78"/>
      <c r="F12" s="40"/>
      <c r="G12" s="79"/>
      <c r="H12" s="80"/>
      <c r="I12" s="81" t="s">
        <v>46</v>
      </c>
      <c r="J12" s="82"/>
      <c r="K12" s="82" t="s">
        <v>47</v>
      </c>
      <c r="L12" s="274" t="s">
        <v>48</v>
      </c>
      <c r="M12" s="275"/>
      <c r="N12" s="83">
        <f>+M10</f>
        <v>1416.4382652232821</v>
      </c>
      <c r="O12" s="84">
        <f>+O10</f>
        <v>17967</v>
      </c>
    </row>
    <row r="13" spans="1:17" ht="15" customHeight="1" x14ac:dyDescent="0.3">
      <c r="A13" s="74"/>
      <c r="B13" s="75"/>
      <c r="C13" s="85"/>
      <c r="D13" s="86"/>
      <c r="E13" s="87"/>
      <c r="F13" s="40"/>
      <c r="G13" s="79"/>
      <c r="H13" s="80"/>
      <c r="I13" s="88" t="s">
        <v>49</v>
      </c>
      <c r="J13" s="89"/>
      <c r="K13" s="85"/>
      <c r="L13" s="252" t="s">
        <v>50</v>
      </c>
      <c r="M13" s="253"/>
      <c r="N13" s="90">
        <v>0</v>
      </c>
      <c r="O13" s="91"/>
    </row>
    <row r="14" spans="1:17" ht="15" customHeight="1" thickBot="1" x14ac:dyDescent="0.35">
      <c r="A14" s="74"/>
      <c r="B14" s="75"/>
      <c r="C14" s="85"/>
      <c r="D14" s="86"/>
      <c r="E14" s="87"/>
      <c r="F14" s="40"/>
      <c r="G14" s="79"/>
      <c r="H14" s="80"/>
      <c r="I14" s="92"/>
      <c r="J14" s="89"/>
      <c r="K14" s="93"/>
      <c r="L14" s="252" t="s">
        <v>51</v>
      </c>
      <c r="M14" s="253"/>
      <c r="N14" s="90">
        <v>0</v>
      </c>
      <c r="O14" s="91">
        <f>E42</f>
        <v>2240.4499999999998</v>
      </c>
    </row>
    <row r="15" spans="1:17" ht="15" customHeight="1" x14ac:dyDescent="0.3">
      <c r="A15" s="74"/>
      <c r="B15" s="75"/>
      <c r="C15" s="85"/>
      <c r="D15" s="86"/>
      <c r="E15" s="87"/>
      <c r="F15" s="40"/>
      <c r="G15" s="79"/>
      <c r="H15" s="80"/>
      <c r="I15" s="259" t="s">
        <v>50</v>
      </c>
      <c r="J15" s="278"/>
      <c r="K15" s="94"/>
      <c r="L15" s="279" t="s">
        <v>52</v>
      </c>
      <c r="M15" s="280"/>
      <c r="N15" s="95">
        <v>0</v>
      </c>
      <c r="O15" s="96">
        <f>F42</f>
        <v>885.91</v>
      </c>
    </row>
    <row r="16" spans="1:17" ht="15" customHeight="1" thickBot="1" x14ac:dyDescent="0.35">
      <c r="A16" s="74"/>
      <c r="B16" s="75"/>
      <c r="C16" s="85"/>
      <c r="D16" s="86"/>
      <c r="E16" s="87"/>
      <c r="F16" s="40"/>
      <c r="G16" s="79"/>
      <c r="H16" s="97"/>
      <c r="I16" s="281" t="s">
        <v>53</v>
      </c>
      <c r="J16" s="282"/>
      <c r="K16" s="98"/>
      <c r="L16" s="279" t="s">
        <v>54</v>
      </c>
      <c r="M16" s="280"/>
      <c r="N16" s="95">
        <v>0</v>
      </c>
      <c r="O16" s="99">
        <v>0</v>
      </c>
    </row>
    <row r="17" spans="1:16" ht="15" customHeight="1" x14ac:dyDescent="0.3">
      <c r="A17" s="74"/>
      <c r="B17" s="75"/>
      <c r="C17" s="85"/>
      <c r="D17" s="86"/>
      <c r="E17" s="87"/>
      <c r="F17" s="40"/>
      <c r="G17" s="79"/>
      <c r="H17" s="97"/>
      <c r="I17" s="100" t="s">
        <v>55</v>
      </c>
      <c r="J17" s="101"/>
      <c r="K17" s="98"/>
      <c r="L17" s="279" t="s">
        <v>56</v>
      </c>
      <c r="M17" s="280"/>
      <c r="N17" s="95">
        <v>0</v>
      </c>
      <c r="O17" s="96">
        <v>0</v>
      </c>
    </row>
    <row r="18" spans="1:16" ht="15" customHeight="1" x14ac:dyDescent="0.3">
      <c r="A18" s="74"/>
      <c r="B18" s="75"/>
      <c r="C18" s="85"/>
      <c r="D18" s="86"/>
      <c r="E18" s="87"/>
      <c r="F18" s="40"/>
      <c r="G18" s="79"/>
      <c r="H18" s="97"/>
      <c r="I18" s="102" t="s">
        <v>57</v>
      </c>
      <c r="J18" s="103">
        <v>0</v>
      </c>
      <c r="K18" s="98"/>
      <c r="L18" s="283" t="s">
        <v>121</v>
      </c>
      <c r="M18" s="284"/>
      <c r="N18" s="95">
        <v>0</v>
      </c>
      <c r="O18" s="96">
        <v>1000</v>
      </c>
    </row>
    <row r="19" spans="1:16" ht="15" customHeight="1" thickBot="1" x14ac:dyDescent="0.35">
      <c r="A19" s="74"/>
      <c r="B19" s="75"/>
      <c r="C19" s="85"/>
      <c r="D19" s="86"/>
      <c r="E19" s="87"/>
      <c r="F19" s="40"/>
      <c r="G19" s="79"/>
      <c r="H19" s="97"/>
      <c r="I19" s="104" t="s">
        <v>59</v>
      </c>
      <c r="J19" s="105"/>
      <c r="K19" s="98"/>
      <c r="L19" s="285" t="s">
        <v>60</v>
      </c>
      <c r="M19" s="286"/>
      <c r="N19" s="106">
        <v>0</v>
      </c>
      <c r="O19" s="107">
        <v>0</v>
      </c>
    </row>
    <row r="20" spans="1:16" ht="15" customHeight="1" thickBot="1" x14ac:dyDescent="0.35">
      <c r="A20" s="74"/>
      <c r="B20" s="75"/>
      <c r="C20" s="85"/>
      <c r="D20" s="86"/>
      <c r="E20" s="87"/>
      <c r="F20" s="40"/>
      <c r="G20" s="79"/>
      <c r="H20" s="97"/>
      <c r="I20" s="108" t="s">
        <v>55</v>
      </c>
      <c r="J20" s="109">
        <f>+J17+J18-J19</f>
        <v>0</v>
      </c>
      <c r="K20" s="98"/>
      <c r="L20" s="283" t="s">
        <v>61</v>
      </c>
      <c r="M20" s="287"/>
      <c r="N20" s="95">
        <v>0</v>
      </c>
      <c r="O20" s="96">
        <v>0</v>
      </c>
    </row>
    <row r="21" spans="1:16" ht="15" customHeight="1" thickBot="1" x14ac:dyDescent="0.35">
      <c r="A21" s="74"/>
      <c r="B21" s="75"/>
      <c r="C21" s="85"/>
      <c r="D21" s="86"/>
      <c r="E21" s="87"/>
      <c r="F21" s="40"/>
      <c r="G21" s="79"/>
      <c r="H21" s="97"/>
      <c r="I21" s="281" t="s">
        <v>62</v>
      </c>
      <c r="J21" s="282"/>
      <c r="K21" s="110"/>
      <c r="L21" s="288" t="s">
        <v>63</v>
      </c>
      <c r="M21" s="289"/>
      <c r="N21" s="106">
        <v>0</v>
      </c>
      <c r="O21" s="107">
        <v>0</v>
      </c>
    </row>
    <row r="22" spans="1:16" ht="15" customHeight="1" thickBot="1" x14ac:dyDescent="0.35">
      <c r="A22" s="74"/>
      <c r="B22" s="75"/>
      <c r="C22" s="85"/>
      <c r="D22" s="86"/>
      <c r="E22" s="87"/>
      <c r="F22" s="40"/>
      <c r="G22" s="79"/>
      <c r="H22" s="111"/>
      <c r="I22" s="100" t="s">
        <v>55</v>
      </c>
      <c r="J22" s="101">
        <v>0</v>
      </c>
      <c r="K22" s="112"/>
      <c r="L22" s="290" t="s">
        <v>64</v>
      </c>
      <c r="M22" s="291"/>
      <c r="N22" s="95">
        <v>0</v>
      </c>
      <c r="O22" s="113">
        <v>0</v>
      </c>
    </row>
    <row r="23" spans="1:16" ht="15" customHeight="1" thickBot="1" x14ac:dyDescent="0.35">
      <c r="A23" s="276"/>
      <c r="B23" s="277"/>
      <c r="C23" s="85"/>
      <c r="D23" s="86"/>
      <c r="E23" s="87"/>
      <c r="F23" s="40"/>
      <c r="G23" s="79"/>
      <c r="H23" s="111"/>
      <c r="I23" s="102" t="s">
        <v>65</v>
      </c>
      <c r="J23" s="103">
        <v>0</v>
      </c>
      <c r="K23" s="115"/>
      <c r="L23" s="116" t="s">
        <v>66</v>
      </c>
      <c r="M23" s="117"/>
      <c r="N23" s="118">
        <v>0</v>
      </c>
      <c r="O23" s="119">
        <v>0</v>
      </c>
    </row>
    <row r="24" spans="1:16" ht="15" customHeight="1" x14ac:dyDescent="0.3">
      <c r="A24" s="39"/>
      <c r="B24" s="114"/>
      <c r="C24" s="85"/>
      <c r="D24" s="86"/>
      <c r="E24" s="87"/>
      <c r="F24" s="40"/>
      <c r="G24" s="79"/>
      <c r="H24" s="111"/>
      <c r="I24" s="102" t="s">
        <v>67</v>
      </c>
      <c r="J24" s="103"/>
      <c r="K24" s="120"/>
      <c r="L24" s="116" t="s">
        <v>68</v>
      </c>
      <c r="M24" s="121"/>
      <c r="N24" s="122"/>
      <c r="O24" s="99">
        <v>0</v>
      </c>
    </row>
    <row r="25" spans="1:16" ht="15" customHeight="1" thickBot="1" x14ac:dyDescent="0.35">
      <c r="A25" s="39"/>
      <c r="B25" s="114"/>
      <c r="C25" s="85"/>
      <c r="D25" s="86"/>
      <c r="E25" s="87"/>
      <c r="F25" s="40"/>
      <c r="G25" s="79"/>
      <c r="H25" s="111"/>
      <c r="I25" s="123" t="s">
        <v>69</v>
      </c>
      <c r="J25" s="124">
        <v>0</v>
      </c>
      <c r="K25" s="125"/>
      <c r="L25" s="126"/>
      <c r="M25" s="127"/>
      <c r="N25" s="128"/>
      <c r="O25" s="129"/>
    </row>
    <row r="26" spans="1:16" ht="15" customHeight="1" thickBot="1" x14ac:dyDescent="0.35">
      <c r="A26" s="276"/>
      <c r="B26" s="277"/>
      <c r="C26" s="85"/>
      <c r="D26" s="86"/>
      <c r="E26" s="87"/>
      <c r="F26" s="40"/>
      <c r="G26" s="79"/>
      <c r="H26" s="111"/>
      <c r="I26" s="108" t="s">
        <v>55</v>
      </c>
      <c r="J26" s="109">
        <f>J22+J23+J24-J25</f>
        <v>0</v>
      </c>
      <c r="L26" s="294" t="s">
        <v>70</v>
      </c>
      <c r="M26" s="295"/>
      <c r="N26" s="130"/>
      <c r="O26" s="131">
        <f>O12-O13-O14-O15-O16-O17-O18-O21-O22-O23-O20-O19-O24-O25</f>
        <v>13840.64</v>
      </c>
    </row>
    <row r="27" spans="1:16" ht="15" customHeight="1" thickBot="1" x14ac:dyDescent="0.35">
      <c r="A27" s="276"/>
      <c r="B27" s="277"/>
      <c r="C27" s="85"/>
      <c r="D27" s="86"/>
      <c r="E27" s="87"/>
      <c r="F27" s="40"/>
      <c r="G27" s="79"/>
      <c r="H27" s="132"/>
      <c r="I27" s="281"/>
      <c r="J27" s="281"/>
      <c r="K27" s="272" t="s">
        <v>71</v>
      </c>
      <c r="L27" s="273"/>
      <c r="M27" s="273"/>
      <c r="N27" s="273"/>
      <c r="O27" s="296"/>
    </row>
    <row r="28" spans="1:16" ht="15" customHeight="1" thickBot="1" x14ac:dyDescent="0.35">
      <c r="A28" s="297" t="s">
        <v>72</v>
      </c>
      <c r="B28" s="298"/>
      <c r="C28" s="298"/>
      <c r="D28" s="299"/>
      <c r="E28" s="133" t="e">
        <f>+#REF!</f>
        <v>#REF!</v>
      </c>
      <c r="F28" s="134"/>
      <c r="G28" s="135" t="e">
        <f>+#REF!</f>
        <v>#REF!</v>
      </c>
      <c r="H28" s="111"/>
      <c r="I28" s="100" t="s">
        <v>55</v>
      </c>
      <c r="J28" s="136">
        <v>0</v>
      </c>
      <c r="K28" s="137"/>
      <c r="L28" s="138" t="s">
        <v>73</v>
      </c>
      <c r="M28" s="138" t="s">
        <v>74</v>
      </c>
      <c r="N28" s="138" t="s">
        <v>75</v>
      </c>
      <c r="O28" s="138" t="s">
        <v>76</v>
      </c>
    </row>
    <row r="29" spans="1:16" ht="15" customHeight="1" x14ac:dyDescent="0.3">
      <c r="A29" s="300"/>
      <c r="B29" s="301"/>
      <c r="C29" s="76" t="s">
        <v>77</v>
      </c>
      <c r="D29" s="77" t="s">
        <v>32</v>
      </c>
      <c r="E29" s="139">
        <f t="shared" ref="E29:E35" si="0">+G29/F29</f>
        <v>0</v>
      </c>
      <c r="F29" s="140">
        <v>9.6999999999999993</v>
      </c>
      <c r="G29" s="139">
        <v>0</v>
      </c>
      <c r="H29" s="111" t="s">
        <v>47</v>
      </c>
      <c r="I29" s="102" t="s">
        <v>57</v>
      </c>
      <c r="J29" s="120">
        <v>0</v>
      </c>
      <c r="K29" s="137" t="s">
        <v>29</v>
      </c>
      <c r="L29" s="138"/>
      <c r="M29" s="141"/>
      <c r="N29" s="141"/>
      <c r="O29" s="141" t="s">
        <v>78</v>
      </c>
    </row>
    <row r="30" spans="1:16" ht="15" customHeight="1" thickBot="1" x14ac:dyDescent="0.35">
      <c r="A30" s="276"/>
      <c r="B30" s="277"/>
      <c r="C30" s="85" t="s">
        <v>77</v>
      </c>
      <c r="D30" s="86" t="s">
        <v>32</v>
      </c>
      <c r="E30" s="139">
        <f t="shared" si="0"/>
        <v>0</v>
      </c>
      <c r="F30" s="142">
        <v>10.09</v>
      </c>
      <c r="G30" s="139">
        <v>0</v>
      </c>
      <c r="H30" s="111"/>
      <c r="I30" s="143" t="s">
        <v>69</v>
      </c>
      <c r="J30" s="144">
        <v>0</v>
      </c>
      <c r="K30" s="145" t="s">
        <v>30</v>
      </c>
      <c r="L30" s="138"/>
      <c r="M30" s="141"/>
      <c r="N30" s="141"/>
      <c r="O30" s="141" t="s">
        <v>79</v>
      </c>
      <c r="P30" s="5" t="s">
        <v>47</v>
      </c>
    </row>
    <row r="31" spans="1:16" ht="15" customHeight="1" thickBot="1" x14ac:dyDescent="0.35">
      <c r="A31" s="302"/>
      <c r="B31" s="277"/>
      <c r="C31" s="85" t="s">
        <v>77</v>
      </c>
      <c r="D31" s="86" t="s">
        <v>32</v>
      </c>
      <c r="E31" s="146">
        <f t="shared" si="0"/>
        <v>0</v>
      </c>
      <c r="F31" s="142">
        <v>10.09</v>
      </c>
      <c r="G31" s="146">
        <v>0</v>
      </c>
      <c r="H31" s="111"/>
      <c r="I31" s="108" t="s">
        <v>55</v>
      </c>
      <c r="J31" s="119">
        <f>+J28+J29-J30</f>
        <v>0</v>
      </c>
      <c r="K31" s="137"/>
      <c r="L31" s="138"/>
      <c r="M31" s="141"/>
      <c r="N31" s="147"/>
      <c r="O31" s="141" t="s">
        <v>79</v>
      </c>
    </row>
    <row r="32" spans="1:16" ht="15" customHeight="1" thickBot="1" x14ac:dyDescent="0.35">
      <c r="A32" s="292"/>
      <c r="B32" s="293"/>
      <c r="C32" s="85" t="s">
        <v>77</v>
      </c>
      <c r="D32" s="86" t="s">
        <v>32</v>
      </c>
      <c r="E32" s="146">
        <f t="shared" si="0"/>
        <v>0</v>
      </c>
      <c r="F32" s="142">
        <v>10.09</v>
      </c>
      <c r="G32" s="146">
        <v>0</v>
      </c>
      <c r="H32" s="148"/>
      <c r="I32" s="303"/>
      <c r="J32" s="303"/>
      <c r="K32" s="137" t="s">
        <v>80</v>
      </c>
      <c r="L32" s="138"/>
      <c r="M32" s="149"/>
      <c r="N32" s="141"/>
      <c r="O32" s="141" t="s">
        <v>117</v>
      </c>
    </row>
    <row r="33" spans="1:15" ht="15" customHeight="1" x14ac:dyDescent="0.3">
      <c r="A33" s="292" t="s">
        <v>47</v>
      </c>
      <c r="B33" s="293"/>
      <c r="C33" s="85" t="s">
        <v>81</v>
      </c>
      <c r="D33" s="150" t="s">
        <v>32</v>
      </c>
      <c r="E33" s="151">
        <f t="shared" si="0"/>
        <v>0</v>
      </c>
      <c r="F33" s="142">
        <v>10.09</v>
      </c>
      <c r="G33" s="146">
        <v>0</v>
      </c>
      <c r="H33" s="148"/>
      <c r="I33" s="100" t="s">
        <v>55</v>
      </c>
      <c r="J33" s="136">
        <v>0</v>
      </c>
      <c r="K33" s="137" t="s">
        <v>82</v>
      </c>
      <c r="L33" s="138"/>
      <c r="M33" s="141"/>
      <c r="N33" s="147"/>
      <c r="O33" s="152" t="s">
        <v>115</v>
      </c>
    </row>
    <row r="34" spans="1:15" ht="15" customHeight="1" x14ac:dyDescent="0.3">
      <c r="A34" s="292"/>
      <c r="B34" s="293"/>
      <c r="C34" s="85" t="s">
        <v>77</v>
      </c>
      <c r="D34" s="86" t="s">
        <v>32</v>
      </c>
      <c r="E34" s="146">
        <f t="shared" si="0"/>
        <v>0</v>
      </c>
      <c r="F34" s="142">
        <v>10</v>
      </c>
      <c r="G34" s="146">
        <v>0</v>
      </c>
      <c r="H34" s="111"/>
      <c r="I34" s="102" t="s">
        <v>57</v>
      </c>
      <c r="J34" s="120">
        <v>0</v>
      </c>
      <c r="K34" s="137" t="s">
        <v>84</v>
      </c>
      <c r="L34" s="138"/>
      <c r="M34" s="149"/>
      <c r="N34" s="153"/>
      <c r="O34" s="154" t="s">
        <v>85</v>
      </c>
    </row>
    <row r="35" spans="1:15" ht="15" customHeight="1" thickBot="1" x14ac:dyDescent="0.35">
      <c r="A35" s="304" t="s">
        <v>86</v>
      </c>
      <c r="B35" s="305"/>
      <c r="C35" s="155" t="s">
        <v>77</v>
      </c>
      <c r="D35" s="156" t="s">
        <v>32</v>
      </c>
      <c r="E35" s="157">
        <f t="shared" si="0"/>
        <v>0</v>
      </c>
      <c r="F35" s="158">
        <v>10.09</v>
      </c>
      <c r="G35" s="139">
        <v>0</v>
      </c>
      <c r="H35" s="111"/>
      <c r="I35" s="159" t="s">
        <v>87</v>
      </c>
      <c r="J35" s="144">
        <v>0</v>
      </c>
      <c r="K35" s="160"/>
      <c r="L35" s="141"/>
      <c r="M35" s="141"/>
      <c r="N35" s="141"/>
      <c r="O35" s="141" t="s">
        <v>88</v>
      </c>
    </row>
    <row r="36" spans="1:15" ht="15" customHeight="1" thickBot="1" x14ac:dyDescent="0.35">
      <c r="A36" s="297" t="s">
        <v>89</v>
      </c>
      <c r="B36" s="298"/>
      <c r="C36" s="298"/>
      <c r="D36" s="299"/>
      <c r="E36" s="133">
        <f>SUM(E29:E35)</f>
        <v>0</v>
      </c>
      <c r="F36" s="161"/>
      <c r="G36" s="162">
        <f>+G29+G30+G31+G32+G33+G34+G35</f>
        <v>0</v>
      </c>
      <c r="H36" s="111"/>
      <c r="I36" s="163" t="s">
        <v>55</v>
      </c>
      <c r="J36" s="164">
        <f>+J33+J34-J35</f>
        <v>0</v>
      </c>
      <c r="K36" s="165" t="s">
        <v>47</v>
      </c>
      <c r="L36" s="141"/>
      <c r="M36" s="141"/>
      <c r="N36" s="141"/>
      <c r="O36" s="141" t="s">
        <v>90</v>
      </c>
    </row>
    <row r="37" spans="1:15" ht="15" customHeight="1" thickBot="1" x14ac:dyDescent="0.35">
      <c r="A37" s="306"/>
      <c r="B37" s="307"/>
      <c r="C37" s="307"/>
      <c r="D37" s="308"/>
      <c r="E37" s="166"/>
      <c r="F37" s="167"/>
      <c r="G37" s="168"/>
      <c r="H37" s="86"/>
      <c r="I37" s="309" t="s">
        <v>91</v>
      </c>
      <c r="J37" s="303"/>
      <c r="K37" s="310"/>
      <c r="L37" s="169"/>
      <c r="M37" s="170"/>
      <c r="N37" s="141"/>
      <c r="O37" s="141" t="s">
        <v>92</v>
      </c>
    </row>
    <row r="38" spans="1:15" ht="15" customHeight="1" thickBot="1" x14ac:dyDescent="0.35">
      <c r="A38" s="325"/>
      <c r="B38" s="326"/>
      <c r="C38" s="326"/>
      <c r="D38" s="327"/>
      <c r="E38" s="171"/>
      <c r="F38" s="172"/>
      <c r="G38" s="171"/>
      <c r="H38" s="173"/>
      <c r="I38" s="174" t="s">
        <v>27</v>
      </c>
      <c r="J38" s="112">
        <v>3036.4</v>
      </c>
      <c r="K38" s="175" t="s">
        <v>93</v>
      </c>
      <c r="L38" s="313"/>
      <c r="M38" s="314"/>
      <c r="N38" s="315"/>
      <c r="O38" s="316"/>
    </row>
    <row r="39" spans="1:15" ht="15" customHeight="1" thickBot="1" x14ac:dyDescent="0.35">
      <c r="A39" s="294" t="s">
        <v>94</v>
      </c>
      <c r="B39" s="295"/>
      <c r="C39" s="295"/>
      <c r="D39" s="317"/>
      <c r="E39" s="176" t="s">
        <v>95</v>
      </c>
      <c r="F39" s="177" t="s">
        <v>27</v>
      </c>
      <c r="G39" s="178"/>
      <c r="H39" s="173"/>
      <c r="I39" s="179" t="s">
        <v>95</v>
      </c>
      <c r="J39" s="120">
        <v>10804.3</v>
      </c>
      <c r="K39" s="180" t="s">
        <v>96</v>
      </c>
      <c r="L39" s="181" t="s">
        <v>55</v>
      </c>
      <c r="M39" s="182">
        <v>0</v>
      </c>
      <c r="N39" s="183" t="s">
        <v>55</v>
      </c>
      <c r="O39" s="184">
        <v>0</v>
      </c>
    </row>
    <row r="40" spans="1:15" ht="15" customHeight="1" thickBot="1" x14ac:dyDescent="0.35">
      <c r="A40" s="318" t="s">
        <v>97</v>
      </c>
      <c r="B40" s="319"/>
      <c r="C40" s="319"/>
      <c r="D40" s="319"/>
      <c r="E40" s="185">
        <v>1279.56</v>
      </c>
      <c r="F40" s="186"/>
      <c r="G40" s="187"/>
      <c r="H40" s="86"/>
      <c r="I40" s="159" t="s">
        <v>98</v>
      </c>
      <c r="J40" s="188"/>
      <c r="K40" s="137"/>
      <c r="L40" s="102" t="s">
        <v>57</v>
      </c>
      <c r="M40" s="189">
        <v>0</v>
      </c>
      <c r="N40" s="74" t="s">
        <v>99</v>
      </c>
      <c r="O40" s="190">
        <f>G31</f>
        <v>0</v>
      </c>
    </row>
    <row r="41" spans="1:15" ht="15" customHeight="1" thickBot="1" x14ac:dyDescent="0.35">
      <c r="A41" s="320" t="s">
        <v>100</v>
      </c>
      <c r="B41" s="321"/>
      <c r="C41" s="321"/>
      <c r="D41" s="321"/>
      <c r="E41" s="191">
        <v>960.89</v>
      </c>
      <c r="F41" s="192">
        <v>885.91</v>
      </c>
      <c r="G41" s="187"/>
      <c r="H41" s="86"/>
      <c r="I41" s="108" t="s">
        <v>33</v>
      </c>
      <c r="J41" s="193">
        <f>SUM(J38:J40)-J40</f>
        <v>13840.699999999999</v>
      </c>
      <c r="K41" s="194"/>
      <c r="L41" s="143" t="s">
        <v>101</v>
      </c>
      <c r="M41" s="189">
        <v>0</v>
      </c>
      <c r="N41" s="195" t="s">
        <v>102</v>
      </c>
      <c r="O41" s="196">
        <v>0</v>
      </c>
    </row>
    <row r="42" spans="1:15" ht="15" customHeight="1" thickBot="1" x14ac:dyDescent="0.35">
      <c r="A42" s="322"/>
      <c r="B42" s="323"/>
      <c r="C42" s="323"/>
      <c r="D42" s="324"/>
      <c r="E42" s="197">
        <f>SUM(E40:E41)</f>
        <v>2240.4499999999998</v>
      </c>
      <c r="F42" s="192">
        <f>SUM(F40:F41)</f>
        <v>885.91</v>
      </c>
      <c r="G42" s="187">
        <f>SUM(E42:F42)</f>
        <v>3126.3599999999997</v>
      </c>
      <c r="H42" s="86"/>
      <c r="I42" s="5" t="s">
        <v>103</v>
      </c>
      <c r="J42" s="153">
        <f>O26-J41</f>
        <v>-5.9999999999490683E-2</v>
      </c>
      <c r="K42" s="194"/>
      <c r="L42" s="163" t="s">
        <v>55</v>
      </c>
      <c r="M42" s="198">
        <f>+M39-M40+M41</f>
        <v>0</v>
      </c>
      <c r="N42" s="199" t="s">
        <v>55</v>
      </c>
      <c r="O42" s="200">
        <f>+O39+O40-O41</f>
        <v>0</v>
      </c>
    </row>
    <row r="43" spans="1:15" ht="15" customHeight="1" thickBot="1" x14ac:dyDescent="0.35">
      <c r="A43" s="311"/>
      <c r="B43" s="312"/>
      <c r="C43" s="312"/>
      <c r="D43" s="201"/>
      <c r="E43" s="202"/>
      <c r="F43" s="203"/>
      <c r="G43" s="204"/>
      <c r="H43" s="205"/>
      <c r="I43" s="102"/>
      <c r="J43" s="119"/>
      <c r="K43" s="206" t="s">
        <v>47</v>
      </c>
      <c r="L43" s="207" t="s">
        <v>104</v>
      </c>
      <c r="M43" s="208"/>
      <c r="N43" s="209"/>
      <c r="O43" s="210"/>
    </row>
    <row r="44" spans="1:15" x14ac:dyDescent="0.3">
      <c r="E44" s="211"/>
      <c r="G44" s="211"/>
    </row>
    <row r="45" spans="1:15" ht="15.6" thickBot="1" x14ac:dyDescent="0.35">
      <c r="D45" s="38" t="s">
        <v>105</v>
      </c>
      <c r="E45" s="38" t="s">
        <v>106</v>
      </c>
      <c r="F45" s="38" t="s">
        <v>38</v>
      </c>
      <c r="G45" s="38"/>
    </row>
    <row r="46" spans="1:15" ht="15.6" x14ac:dyDescent="0.3">
      <c r="D46" s="212" t="s">
        <v>27</v>
      </c>
      <c r="E46" s="213">
        <f>+G46/F46</f>
        <v>523.67289719626172</v>
      </c>
      <c r="F46" s="35">
        <v>7.49</v>
      </c>
      <c r="G46" s="214">
        <v>3922.31</v>
      </c>
      <c r="L46" s="38"/>
    </row>
    <row r="47" spans="1:15" ht="15.6" x14ac:dyDescent="0.3">
      <c r="D47" s="215" t="s">
        <v>107</v>
      </c>
      <c r="E47" s="216">
        <f>+G47/F47</f>
        <v>137.454019664546</v>
      </c>
      <c r="F47" s="217">
        <v>17.29</v>
      </c>
      <c r="G47" s="218">
        <v>2376.58</v>
      </c>
      <c r="L47" s="38"/>
    </row>
    <row r="48" spans="1:15" ht="15.6" x14ac:dyDescent="0.3">
      <c r="D48" s="215" t="s">
        <v>108</v>
      </c>
      <c r="E48" s="216">
        <f>+G48/F48</f>
        <v>596.99741768883143</v>
      </c>
      <c r="F48" s="217">
        <v>15.49</v>
      </c>
      <c r="G48" s="218">
        <v>9247.49</v>
      </c>
      <c r="L48" s="38"/>
      <c r="M48" s="38"/>
    </row>
    <row r="49" spans="4:13" ht="15.6" x14ac:dyDescent="0.3">
      <c r="D49" s="215" t="s">
        <v>31</v>
      </c>
      <c r="E49" s="216">
        <f>+G49/F49</f>
        <v>0</v>
      </c>
      <c r="F49" s="217">
        <v>1</v>
      </c>
      <c r="G49" s="218"/>
      <c r="L49" s="38"/>
      <c r="M49" s="38"/>
    </row>
    <row r="50" spans="4:13" ht="16.2" thickBot="1" x14ac:dyDescent="0.35">
      <c r="D50" s="219" t="s">
        <v>32</v>
      </c>
      <c r="E50" s="220">
        <f>+G50/F50</f>
        <v>158.31393067364291</v>
      </c>
      <c r="F50" s="221">
        <v>15.29</v>
      </c>
      <c r="G50" s="222">
        <v>2420.62</v>
      </c>
      <c r="L50" s="38"/>
      <c r="M50" s="38"/>
    </row>
    <row r="51" spans="4:13" ht="16.2" thickBot="1" x14ac:dyDescent="0.35">
      <c r="D51" s="223"/>
      <c r="E51" s="224">
        <f>SUM(E46:E50)</f>
        <v>1416.4382652232821</v>
      </c>
      <c r="F51" s="225"/>
      <c r="G51" s="226">
        <f>G46+G47+G48+G50</f>
        <v>17967</v>
      </c>
      <c r="J51" s="227">
        <f>G51-E42-F42-J41</f>
        <v>999.94000000000051</v>
      </c>
      <c r="L51" s="38"/>
    </row>
  </sheetData>
  <mergeCells count="53">
    <mergeCell ref="L14:M14"/>
    <mergeCell ref="A1:H3"/>
    <mergeCell ref="J1:L1"/>
    <mergeCell ref="J2:K2"/>
    <mergeCell ref="J3:L3"/>
    <mergeCell ref="A4:A5"/>
    <mergeCell ref="B4:B5"/>
    <mergeCell ref="C4:F4"/>
    <mergeCell ref="G4:I4"/>
    <mergeCell ref="J4:J5"/>
    <mergeCell ref="K4:L4"/>
    <mergeCell ref="M4:O4"/>
    <mergeCell ref="A11:B11"/>
    <mergeCell ref="L11:M11"/>
    <mergeCell ref="L12:M12"/>
    <mergeCell ref="L13:M13"/>
    <mergeCell ref="A23:B23"/>
    <mergeCell ref="I15:J15"/>
    <mergeCell ref="L15:M15"/>
    <mergeCell ref="I16:J16"/>
    <mergeCell ref="L16:M16"/>
    <mergeCell ref="L17:M17"/>
    <mergeCell ref="L18:M18"/>
    <mergeCell ref="L19:M19"/>
    <mergeCell ref="L20:M20"/>
    <mergeCell ref="I21:J21"/>
    <mergeCell ref="L21:M21"/>
    <mergeCell ref="L22:M22"/>
    <mergeCell ref="A33:B33"/>
    <mergeCell ref="A26:B26"/>
    <mergeCell ref="L26:M26"/>
    <mergeCell ref="A27:B27"/>
    <mergeCell ref="I27:J27"/>
    <mergeCell ref="K27:O27"/>
    <mergeCell ref="A28:D28"/>
    <mergeCell ref="A29:B29"/>
    <mergeCell ref="A30:B30"/>
    <mergeCell ref="A31:B31"/>
    <mergeCell ref="A32:B32"/>
    <mergeCell ref="I32:J32"/>
    <mergeCell ref="A34:B34"/>
    <mergeCell ref="A35:B35"/>
    <mergeCell ref="A36:D36"/>
    <mergeCell ref="A37:D37"/>
    <mergeCell ref="I37:K37"/>
    <mergeCell ref="A43:C43"/>
    <mergeCell ref="L38:M38"/>
    <mergeCell ref="N38:O38"/>
    <mergeCell ref="A39:D39"/>
    <mergeCell ref="A40:D40"/>
    <mergeCell ref="A41:D41"/>
    <mergeCell ref="A42:D42"/>
    <mergeCell ref="A38:D38"/>
  </mergeCells>
  <conditionalFormatting sqref="P6:P10">
    <cfRule type="cellIs" dxfId="42" priority="2" operator="equal">
      <formula>"-"</formula>
    </cfRule>
  </conditionalFormatting>
  <pageMargins left="0.25" right="0.25" top="0.75" bottom="0.75" header="0.3" footer="0.3"/>
  <pageSetup scale="56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190229A-FC16-4989-9137-9BEB414266F5}">
            <xm:f>NOT(ISERROR(SEARCH("-",P6)))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P6:P10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ADM-PORVENIR</dc:creator>
  <cp:lastModifiedBy>sistemas</cp:lastModifiedBy>
  <cp:lastPrinted>2025-05-02T14:21:22Z</cp:lastPrinted>
  <dcterms:created xsi:type="dcterms:W3CDTF">2025-04-02T13:44:04Z</dcterms:created>
  <dcterms:modified xsi:type="dcterms:W3CDTF">2025-06-17T07:36:28Z</dcterms:modified>
</cp:coreProperties>
</file>