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13_ncr:1_{8D22681D-88D6-4DB5-B56F-438F2D29953B}" xr6:coauthVersionLast="47" xr6:coauthVersionMax="47" xr10:uidLastSave="{00000000-0000-0000-0000-000000000000}"/>
  <bookViews>
    <workbookView xWindow="-108" yWindow="-108" windowWidth="23256" windowHeight="12456" tabRatio="892" firstSheet="18" activeTab="24" xr2:uid="{1E9BA46B-4917-4596-B76E-9080EEC86AD6}"/>
  </bookViews>
  <sheets>
    <sheet name="01-03-2025" sheetId="1" r:id="rId1"/>
    <sheet name="02-03-2025" sheetId="2" r:id="rId2"/>
    <sheet name="03-03-2025" sheetId="3" r:id="rId3"/>
    <sheet name="04-03-2025" sheetId="4" r:id="rId4"/>
    <sheet name="05-03-2025" sheetId="5" r:id="rId5"/>
    <sheet name="06-03-2025" sheetId="6" r:id="rId6"/>
    <sheet name="07-03-2025" sheetId="7" r:id="rId7"/>
    <sheet name="08-03-2025" sheetId="8" r:id="rId8"/>
    <sheet name="09-03-2025" sheetId="9" r:id="rId9"/>
    <sheet name="10-03-2025" sheetId="10" r:id="rId10"/>
    <sheet name="11-03-2025" sheetId="11" r:id="rId11"/>
    <sheet name="12-03-2025" sheetId="12" r:id="rId12"/>
    <sheet name="13-03-2025" sheetId="13" r:id="rId13"/>
    <sheet name="14-03-2025" sheetId="14" r:id="rId14"/>
    <sheet name="15-03-2025" sheetId="16" r:id="rId15"/>
    <sheet name="16-03-2025" sheetId="17" r:id="rId16"/>
    <sheet name="17-03-2025" sheetId="18" r:id="rId17"/>
    <sheet name="18-03-2025" sheetId="19" r:id="rId18"/>
    <sheet name="19-03-2025" sheetId="20" r:id="rId19"/>
    <sheet name="20-03-2025" sheetId="21" r:id="rId20"/>
    <sheet name="21-03-2025" sheetId="22" r:id="rId21"/>
    <sheet name="22-03-2025" sheetId="23" r:id="rId22"/>
    <sheet name="23-03-2025" sheetId="24" r:id="rId23"/>
    <sheet name="24-03-2025" sheetId="25" r:id="rId24"/>
    <sheet name="25-03-2025" sheetId="26" r:id="rId25"/>
    <sheet name="26-03-2025" sheetId="27" r:id="rId26"/>
    <sheet name="27-03-2025" sheetId="28" r:id="rId27"/>
    <sheet name="28-03-2025" sheetId="29" r:id="rId28"/>
    <sheet name="29-03-2025" sheetId="30" r:id="rId29"/>
    <sheet name="30-03-2025" sheetId="31" r:id="rId30"/>
    <sheet name="31-03-2025" sheetId="32" r:id="rId31"/>
  </sheets>
  <externalReferences>
    <externalReference r:id="rId32"/>
    <externalReference r:id="rId33"/>
    <externalReference r:id="rId34"/>
  </externalReferences>
  <definedNames>
    <definedName name="_xlnm._FilterDatabase" localSheetId="0" hidden="1">'01-03-2025'!$A$6:$O$6</definedName>
    <definedName name="_xlnm._FilterDatabase" localSheetId="1" hidden="1">'02-03-2025'!$A$6:$O$6</definedName>
    <definedName name="_xlnm._FilterDatabase" localSheetId="2" hidden="1">'03-03-2025'!$A$6:$O$6</definedName>
    <definedName name="_xlnm._FilterDatabase" localSheetId="3" hidden="1">'04-03-2025'!$A$6:$O$6</definedName>
    <definedName name="_xlnm._FilterDatabase" localSheetId="4" hidden="1">'05-03-2025'!$A$6:$O$6</definedName>
    <definedName name="_xlnm._FilterDatabase" localSheetId="5" hidden="1">'06-03-2025'!$A$6:$O$6</definedName>
    <definedName name="_xlnm._FilterDatabase" localSheetId="6" hidden="1">'07-03-2025'!$A$6:$O$6</definedName>
    <definedName name="_xlnm._FilterDatabase" localSheetId="7" hidden="1">'08-03-2025'!$A$6:$O$6</definedName>
    <definedName name="_xlnm._FilterDatabase" localSheetId="8" hidden="1">'09-03-2025'!$A$6:$O$6</definedName>
    <definedName name="_xlnm._FilterDatabase" localSheetId="9" hidden="1">'10-03-2025'!$A$6:$O$6</definedName>
    <definedName name="_xlnm._FilterDatabase" localSheetId="10" hidden="1">'11-03-2025'!$A$6:$O$6</definedName>
    <definedName name="_xlnm._FilterDatabase" localSheetId="11" hidden="1">'12-03-2025'!$A$6:$O$6</definedName>
    <definedName name="_xlnm._FilterDatabase" localSheetId="12" hidden="1">'13-03-2025'!$A$6:$O$6</definedName>
    <definedName name="_xlnm._FilterDatabase" localSheetId="13" hidden="1">'14-03-2025'!$A$6:$O$6</definedName>
    <definedName name="_xlnm._FilterDatabase" localSheetId="14" hidden="1">'15-03-2025'!$A$6:$O$6</definedName>
    <definedName name="_xlnm._FilterDatabase" localSheetId="15" hidden="1">'16-03-2025'!$A$6:$O$6</definedName>
    <definedName name="_xlnm._FilterDatabase" localSheetId="16" hidden="1">'17-03-2025'!$A$6:$O$6</definedName>
    <definedName name="_xlnm._FilterDatabase" localSheetId="17" hidden="1">'18-03-2025'!$A$6:$O$6</definedName>
    <definedName name="_xlnm._FilterDatabase" localSheetId="18" hidden="1">'19-03-2025'!$A$6:$O$6</definedName>
    <definedName name="_xlnm._FilterDatabase" localSheetId="19" hidden="1">'20-03-2025'!$A$6:$O$6</definedName>
    <definedName name="_xlnm._FilterDatabase" localSheetId="20" hidden="1">'21-03-2025'!$A$6:$O$6</definedName>
    <definedName name="_xlnm._FilterDatabase" localSheetId="21" hidden="1">'22-03-2025'!$A$6:$O$6</definedName>
    <definedName name="_xlnm._FilterDatabase" localSheetId="22" hidden="1">'23-03-2025'!$A$6:$O$6</definedName>
    <definedName name="_xlnm._FilterDatabase" localSheetId="23" hidden="1">'24-03-2025'!$A$6:$O$6</definedName>
    <definedName name="_xlnm._FilterDatabase" localSheetId="24" hidden="1">'25-03-2025'!$A$6:$O$6</definedName>
    <definedName name="_xlnm._FilterDatabase" localSheetId="25" hidden="1">'26-03-2025'!$A$6:$P$6</definedName>
    <definedName name="_xlnm._FilterDatabase" localSheetId="26" hidden="1">'27-03-2025'!$A$6:$P$6</definedName>
    <definedName name="_xlnm._FilterDatabase" localSheetId="27" hidden="1">'28-03-2025'!$A$6:$P$6</definedName>
    <definedName name="_xlnm._FilterDatabase" localSheetId="28" hidden="1">'29-03-2025'!$A$6:$P$6</definedName>
    <definedName name="_xlnm._FilterDatabase" localSheetId="29" hidden="1">'30-03-2025'!$A$6:$P$6</definedName>
    <definedName name="_xlnm._FilterDatabase" localSheetId="30" hidden="1">'31-03-2025'!$A$6:$P$6</definedName>
    <definedName name="_xlnm.Print_Area" localSheetId="0">'01-03-2025'!$A$1:$P$48</definedName>
    <definedName name="_xlnm.Print_Area" localSheetId="1">'02-03-2025'!$A$1:$P$48</definedName>
    <definedName name="_xlnm.Print_Area" localSheetId="2">'03-03-2025'!$A$1:$P$48</definedName>
    <definedName name="_xlnm.Print_Area" localSheetId="3">'04-03-2025'!$A$1:$P$48</definedName>
    <definedName name="_xlnm.Print_Area" localSheetId="4">'05-03-2025'!$A$1:$P$48</definedName>
    <definedName name="_xlnm.Print_Area" localSheetId="5">'06-03-2025'!$A$1:$P$48</definedName>
    <definedName name="_xlnm.Print_Area" localSheetId="6">'07-03-2025'!$A$1:$P$48</definedName>
    <definedName name="_xlnm.Print_Area" localSheetId="7">'08-03-2025'!$A$1:$P$48</definedName>
    <definedName name="_xlnm.Print_Area" localSheetId="8">'09-03-2025'!$A$1:$P$48</definedName>
    <definedName name="_xlnm.Print_Area" localSheetId="9">'10-03-2025'!$A$1:$P$48</definedName>
    <definedName name="_xlnm.Print_Area" localSheetId="10">'11-03-2025'!$A$1:$P$48</definedName>
    <definedName name="_xlnm.Print_Area" localSheetId="11">'12-03-2025'!$A$1:$P$48</definedName>
    <definedName name="_xlnm.Print_Area" localSheetId="12">'13-03-2025'!$A$1:$P$48</definedName>
    <definedName name="_xlnm.Print_Area" localSheetId="13">'14-03-2025'!$A$1:$P$48</definedName>
    <definedName name="_xlnm.Print_Area" localSheetId="14">'15-03-2025'!$A$1:$P$48</definedName>
    <definedName name="_xlnm.Print_Area" localSheetId="15">'16-03-2025'!$A$1:$P$48</definedName>
    <definedName name="_xlnm.Print_Area" localSheetId="16">'17-03-2025'!$A$1:$P$48</definedName>
    <definedName name="_xlnm.Print_Area" localSheetId="17">'18-03-2025'!$A$1:$P$48</definedName>
    <definedName name="_xlnm.Print_Area" localSheetId="18">'19-03-2025'!$A$1:$P$48</definedName>
    <definedName name="_xlnm.Print_Area" localSheetId="19">'20-03-2025'!$A$1:$P$48</definedName>
    <definedName name="_xlnm.Print_Area" localSheetId="20">'21-03-2025'!$A$1:$P$48</definedName>
    <definedName name="_xlnm.Print_Area" localSheetId="21">'22-03-2025'!$A$1:$P$48</definedName>
    <definedName name="_xlnm.Print_Area" localSheetId="22">'23-03-2025'!$A$1:$P$48</definedName>
    <definedName name="_xlnm.Print_Area" localSheetId="23">'24-03-2025'!$A$1:$P$48</definedName>
    <definedName name="_xlnm.Print_Area" localSheetId="24">'25-03-2025'!$A$1:$P$48</definedName>
    <definedName name="_xlnm.Print_Area" localSheetId="25">'26-03-2025'!$A$1:$Q$48</definedName>
    <definedName name="_xlnm.Print_Area" localSheetId="26">'27-03-2025'!$A$1:$Q$48</definedName>
    <definedName name="_xlnm.Print_Area" localSheetId="27">'28-03-2025'!$A$1:$Q$48</definedName>
    <definedName name="_xlnm.Print_Area" localSheetId="28">'29-03-2025'!$A$1:$Q$48</definedName>
    <definedName name="_xlnm.Print_Area" localSheetId="29">'30-03-2025'!$A$1:$Q$48</definedName>
    <definedName name="_xlnm.Print_Area" localSheetId="30">'31-03-2025'!$A$1:$Q$48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6" l="1"/>
  <c r="G9" i="26"/>
  <c r="G8" i="26"/>
  <c r="R10" i="26"/>
  <c r="R9" i="26"/>
  <c r="H11" i="26"/>
  <c r="D11" i="1" l="1"/>
  <c r="G7" i="32" l="1"/>
  <c r="H36" i="32"/>
  <c r="E11" i="32"/>
  <c r="E24" i="32"/>
  <c r="G24" i="32" s="1"/>
  <c r="E39" i="32"/>
  <c r="J55" i="32"/>
  <c r="L36" i="32"/>
  <c r="L38" i="32" s="1"/>
  <c r="L8" i="32"/>
  <c r="L9" i="32"/>
  <c r="L10" i="32"/>
  <c r="L7" i="32"/>
  <c r="D47" i="32"/>
  <c r="E48" i="32" s="1"/>
  <c r="B46" i="32"/>
  <c r="J7" i="32" s="1"/>
  <c r="M53" i="32"/>
  <c r="L53" i="32"/>
  <c r="B45" i="32"/>
  <c r="B44" i="32"/>
  <c r="M51" i="32"/>
  <c r="K51" i="32" s="1"/>
  <c r="B43" i="32"/>
  <c r="M50" i="32"/>
  <c r="L26" i="32" s="1"/>
  <c r="C7" i="32" s="1"/>
  <c r="B42" i="32"/>
  <c r="G39" i="32"/>
  <c r="O38" i="32"/>
  <c r="F38" i="32"/>
  <c r="H38" i="32" s="1"/>
  <c r="C38" i="32"/>
  <c r="P16" i="32" s="1"/>
  <c r="B38" i="32"/>
  <c r="O37" i="32"/>
  <c r="F37" i="32"/>
  <c r="H37" i="32" s="1"/>
  <c r="F35" i="32"/>
  <c r="H35" i="32" s="1"/>
  <c r="F34" i="32"/>
  <c r="H34" i="32" s="1"/>
  <c r="L33" i="32"/>
  <c r="O36" i="32" s="1"/>
  <c r="P31" i="32"/>
  <c r="G30" i="32"/>
  <c r="P29" i="32"/>
  <c r="G29" i="32"/>
  <c r="P28" i="32"/>
  <c r="G28" i="32"/>
  <c r="G27" i="32"/>
  <c r="Q26" i="32"/>
  <c r="P26" i="32"/>
  <c r="G26" i="32"/>
  <c r="J25" i="32"/>
  <c r="J28" i="32" s="1"/>
  <c r="G25" i="32"/>
  <c r="G23" i="32"/>
  <c r="G22" i="32"/>
  <c r="G21" i="32"/>
  <c r="G20" i="32"/>
  <c r="L19" i="32"/>
  <c r="J19" i="32"/>
  <c r="G19" i="32"/>
  <c r="G18" i="32"/>
  <c r="G17" i="32"/>
  <c r="G16" i="32"/>
  <c r="G15" i="32"/>
  <c r="G14" i="32"/>
  <c r="M11" i="32"/>
  <c r="I11" i="32"/>
  <c r="D11" i="32"/>
  <c r="O10" i="32"/>
  <c r="C10" i="32"/>
  <c r="O9" i="32"/>
  <c r="C9" i="32"/>
  <c r="O8" i="32"/>
  <c r="C8" i="32"/>
  <c r="O7" i="32"/>
  <c r="O4" i="32"/>
  <c r="O3" i="32"/>
  <c r="P31" i="29"/>
  <c r="L8" i="31"/>
  <c r="L9" i="31"/>
  <c r="L10" i="31"/>
  <c r="L7" i="31"/>
  <c r="H47" i="31"/>
  <c r="D47" i="31"/>
  <c r="E48" i="31" s="1"/>
  <c r="B46" i="31"/>
  <c r="G7" i="31" s="1"/>
  <c r="K45" i="31"/>
  <c r="J45" i="31"/>
  <c r="B45" i="31"/>
  <c r="B44" i="31"/>
  <c r="K43" i="31"/>
  <c r="I43" i="31" s="1"/>
  <c r="B43" i="31"/>
  <c r="K42" i="31"/>
  <c r="L26" i="31" s="1"/>
  <c r="C7" i="31" s="1"/>
  <c r="B42" i="31"/>
  <c r="G39" i="31"/>
  <c r="E39" i="31"/>
  <c r="O38" i="31"/>
  <c r="L38" i="31"/>
  <c r="F38" i="31"/>
  <c r="H38" i="31" s="1"/>
  <c r="C38" i="31"/>
  <c r="P16" i="31" s="1"/>
  <c r="B38" i="31"/>
  <c r="P15" i="31" s="1"/>
  <c r="O37" i="31"/>
  <c r="F37" i="31"/>
  <c r="H37" i="31" s="1"/>
  <c r="H36" i="31"/>
  <c r="F35" i="31"/>
  <c r="H35" i="31" s="1"/>
  <c r="F34" i="31"/>
  <c r="H34" i="31" s="1"/>
  <c r="L33" i="31"/>
  <c r="O36" i="31" s="1"/>
  <c r="P31" i="31"/>
  <c r="G30" i="31"/>
  <c r="P29" i="31"/>
  <c r="G29" i="31"/>
  <c r="P28" i="31"/>
  <c r="G28" i="31"/>
  <c r="G27" i="31"/>
  <c r="Q26" i="31"/>
  <c r="P26" i="31"/>
  <c r="G26" i="31"/>
  <c r="J25" i="31"/>
  <c r="J28" i="31" s="1"/>
  <c r="G25" i="31"/>
  <c r="G24" i="31"/>
  <c r="G23" i="31"/>
  <c r="P22" i="31"/>
  <c r="G22" i="31"/>
  <c r="G21" i="31"/>
  <c r="G20" i="31"/>
  <c r="L19" i="31"/>
  <c r="J19" i="31"/>
  <c r="J23" i="31" s="1"/>
  <c r="G19" i="31"/>
  <c r="G18" i="31"/>
  <c r="G17" i="31"/>
  <c r="G16" i="31"/>
  <c r="G15" i="31"/>
  <c r="G14" i="31"/>
  <c r="M11" i="31"/>
  <c r="I11" i="31"/>
  <c r="E11" i="31"/>
  <c r="D11" i="31"/>
  <c r="O10" i="31"/>
  <c r="H10" i="31"/>
  <c r="C10" i="31"/>
  <c r="O9" i="31"/>
  <c r="H9" i="31"/>
  <c r="C9" i="31"/>
  <c r="O8" i="31"/>
  <c r="H8" i="31"/>
  <c r="C8" i="31"/>
  <c r="O7" i="31"/>
  <c r="O4" i="31"/>
  <c r="O3" i="31"/>
  <c r="L8" i="30"/>
  <c r="L9" i="30"/>
  <c r="L10" i="30"/>
  <c r="L7" i="30"/>
  <c r="E26" i="30"/>
  <c r="G26" i="30" s="1"/>
  <c r="G24" i="30"/>
  <c r="H47" i="30"/>
  <c r="D47" i="30"/>
  <c r="E48" i="30" s="1"/>
  <c r="B46" i="30"/>
  <c r="G7" i="30" s="1"/>
  <c r="K45" i="30"/>
  <c r="J45" i="30"/>
  <c r="I45" i="30"/>
  <c r="B45" i="30"/>
  <c r="B44" i="30"/>
  <c r="K43" i="30"/>
  <c r="I43" i="30" s="1"/>
  <c r="B43" i="30"/>
  <c r="G9" i="30" s="1"/>
  <c r="N9" i="30" s="1"/>
  <c r="K42" i="30"/>
  <c r="B42" i="30"/>
  <c r="G39" i="30"/>
  <c r="E39" i="30"/>
  <c r="O38" i="30"/>
  <c r="L38" i="30"/>
  <c r="F38" i="30"/>
  <c r="H38" i="30" s="1"/>
  <c r="C38" i="30"/>
  <c r="P16" i="30" s="1"/>
  <c r="B38" i="30"/>
  <c r="O37" i="30"/>
  <c r="O39" i="30" s="1"/>
  <c r="F37" i="30"/>
  <c r="H37" i="30" s="1"/>
  <c r="H36" i="30"/>
  <c r="F35" i="30"/>
  <c r="H35" i="30" s="1"/>
  <c r="F34" i="30"/>
  <c r="H34" i="30" s="1"/>
  <c r="L33" i="30"/>
  <c r="O36" i="30" s="1"/>
  <c r="P31" i="30"/>
  <c r="G30" i="30"/>
  <c r="P29" i="30"/>
  <c r="G29" i="30"/>
  <c r="P28" i="30"/>
  <c r="G28" i="30"/>
  <c r="G27" i="30"/>
  <c r="Q26" i="30"/>
  <c r="P26" i="30"/>
  <c r="L26" i="30"/>
  <c r="C7" i="30" s="1"/>
  <c r="J25" i="30"/>
  <c r="J28" i="30" s="1"/>
  <c r="G25" i="30"/>
  <c r="G23" i="30"/>
  <c r="P22" i="30"/>
  <c r="G22" i="30"/>
  <c r="G21" i="30"/>
  <c r="G20" i="30"/>
  <c r="L19" i="30"/>
  <c r="J19" i="30"/>
  <c r="J23" i="30" s="1"/>
  <c r="G19" i="30"/>
  <c r="G18" i="30"/>
  <c r="G17" i="30"/>
  <c r="G16" i="30"/>
  <c r="G15" i="30"/>
  <c r="G14" i="30"/>
  <c r="M11" i="30"/>
  <c r="I11" i="30"/>
  <c r="E11" i="30"/>
  <c r="D11" i="30"/>
  <c r="O10" i="30"/>
  <c r="H10" i="30"/>
  <c r="C10" i="30"/>
  <c r="O9" i="30"/>
  <c r="Q29" i="30" s="1"/>
  <c r="H9" i="30"/>
  <c r="C9" i="30"/>
  <c r="O8" i="30"/>
  <c r="H8" i="30"/>
  <c r="C8" i="30"/>
  <c r="O7" i="30"/>
  <c r="O4" i="30"/>
  <c r="O3" i="30"/>
  <c r="L8" i="29"/>
  <c r="L9" i="29"/>
  <c r="L10" i="29"/>
  <c r="L7" i="29"/>
  <c r="H47" i="29"/>
  <c r="D47" i="29"/>
  <c r="E48" i="29" s="1"/>
  <c r="B46" i="29"/>
  <c r="G7" i="29" s="1"/>
  <c r="J7" i="29" s="1"/>
  <c r="K45" i="29"/>
  <c r="J45" i="29"/>
  <c r="B45" i="29"/>
  <c r="B44" i="29"/>
  <c r="K43" i="29"/>
  <c r="B43" i="29"/>
  <c r="K42" i="29"/>
  <c r="B42" i="29"/>
  <c r="G39" i="29"/>
  <c r="E39" i="29"/>
  <c r="O38" i="29"/>
  <c r="L38" i="29"/>
  <c r="F38" i="29"/>
  <c r="H38" i="29" s="1"/>
  <c r="C38" i="29"/>
  <c r="P16" i="29" s="1"/>
  <c r="B38" i="29"/>
  <c r="P15" i="29" s="1"/>
  <c r="O37" i="29"/>
  <c r="F37" i="29"/>
  <c r="H37" i="29" s="1"/>
  <c r="H36" i="29"/>
  <c r="F35" i="29"/>
  <c r="H35" i="29" s="1"/>
  <c r="F34" i="29"/>
  <c r="H34" i="29" s="1"/>
  <c r="L33" i="29"/>
  <c r="O36" i="29" s="1"/>
  <c r="G30" i="29"/>
  <c r="P29" i="29"/>
  <c r="G29" i="29"/>
  <c r="P28" i="29"/>
  <c r="G28" i="29"/>
  <c r="G27" i="29"/>
  <c r="Q26" i="29"/>
  <c r="P26" i="29"/>
  <c r="L26" i="29"/>
  <c r="C7" i="29" s="1"/>
  <c r="G26" i="29"/>
  <c r="J25" i="29"/>
  <c r="J28" i="29" s="1"/>
  <c r="G25" i="29"/>
  <c r="G24" i="29"/>
  <c r="G23" i="29"/>
  <c r="P22" i="29"/>
  <c r="G22" i="29"/>
  <c r="G21" i="29"/>
  <c r="G20" i="29"/>
  <c r="L19" i="29"/>
  <c r="J19" i="29"/>
  <c r="J23" i="29" s="1"/>
  <c r="G19" i="29"/>
  <c r="G18" i="29"/>
  <c r="G17" i="29"/>
  <c r="G16" i="29"/>
  <c r="G15" i="29"/>
  <c r="G14" i="29"/>
  <c r="M11" i="29"/>
  <c r="I11" i="29"/>
  <c r="E11" i="29"/>
  <c r="D11" i="29"/>
  <c r="O10" i="29"/>
  <c r="H10" i="29"/>
  <c r="C10" i="29"/>
  <c r="O9" i="29"/>
  <c r="H9" i="29"/>
  <c r="C9" i="29"/>
  <c r="O8" i="29"/>
  <c r="H8" i="29"/>
  <c r="C8" i="29"/>
  <c r="O7" i="29"/>
  <c r="O4" i="29"/>
  <c r="O3" i="29"/>
  <c r="H39" i="32" l="1"/>
  <c r="Q31" i="32"/>
  <c r="Q28" i="32"/>
  <c r="K53" i="32"/>
  <c r="G9" i="32"/>
  <c r="Q28" i="31"/>
  <c r="L11" i="32"/>
  <c r="G8" i="31"/>
  <c r="N8" i="31" s="1"/>
  <c r="P8" i="31" s="1"/>
  <c r="Q29" i="31"/>
  <c r="G31" i="31"/>
  <c r="P21" i="31" s="1"/>
  <c r="I45" i="31"/>
  <c r="O39" i="31"/>
  <c r="Q28" i="30"/>
  <c r="H11" i="30"/>
  <c r="G10" i="30"/>
  <c r="J10" i="30" s="1"/>
  <c r="C11" i="30"/>
  <c r="Q28" i="29"/>
  <c r="Q29" i="29"/>
  <c r="Q31" i="29"/>
  <c r="B39" i="30"/>
  <c r="L11" i="29"/>
  <c r="P9" i="30"/>
  <c r="G9" i="29"/>
  <c r="L20" i="31"/>
  <c r="L23" i="31" s="1"/>
  <c r="G8" i="32"/>
  <c r="J8" i="32" s="1"/>
  <c r="G31" i="32"/>
  <c r="P21" i="32" s="1"/>
  <c r="H11" i="29"/>
  <c r="O39" i="32"/>
  <c r="Q31" i="30"/>
  <c r="L47" i="30"/>
  <c r="O39" i="29"/>
  <c r="L47" i="29"/>
  <c r="G31" i="29"/>
  <c r="P21" i="29" s="1"/>
  <c r="G9" i="31"/>
  <c r="I45" i="29"/>
  <c r="H39" i="29"/>
  <c r="C11" i="31"/>
  <c r="G10" i="31"/>
  <c r="J10" i="31" s="1"/>
  <c r="Q31" i="31"/>
  <c r="N55" i="32"/>
  <c r="J20" i="32"/>
  <c r="P22" i="32" s="1"/>
  <c r="H11" i="31"/>
  <c r="L47" i="31"/>
  <c r="B39" i="32"/>
  <c r="Q29" i="32"/>
  <c r="L20" i="32"/>
  <c r="P20" i="32" s="1"/>
  <c r="P15" i="32"/>
  <c r="N7" i="32"/>
  <c r="P7" i="32" s="1"/>
  <c r="G10" i="32"/>
  <c r="B47" i="32"/>
  <c r="C11" i="32"/>
  <c r="L11" i="31"/>
  <c r="L11" i="30"/>
  <c r="B39" i="31"/>
  <c r="B47" i="31"/>
  <c r="H39" i="31"/>
  <c r="J7" i="31"/>
  <c r="N7" i="31"/>
  <c r="J8" i="31"/>
  <c r="G31" i="30"/>
  <c r="P21" i="30" s="1"/>
  <c r="B47" i="30"/>
  <c r="G8" i="30"/>
  <c r="J8" i="30" s="1"/>
  <c r="H39" i="30"/>
  <c r="J7" i="30"/>
  <c r="N7" i="30"/>
  <c r="L20" i="30"/>
  <c r="P20" i="30" s="1"/>
  <c r="J9" i="30"/>
  <c r="P15" i="30"/>
  <c r="C11" i="29"/>
  <c r="B47" i="29"/>
  <c r="G8" i="29"/>
  <c r="N8" i="29" s="1"/>
  <c r="P8" i="29" s="1"/>
  <c r="B39" i="29"/>
  <c r="N7" i="29"/>
  <c r="G10" i="29"/>
  <c r="L20" i="29"/>
  <c r="I43" i="29"/>
  <c r="P28" i="28"/>
  <c r="E24" i="28"/>
  <c r="L8" i="28"/>
  <c r="L9" i="28"/>
  <c r="L10" i="28"/>
  <c r="L7" i="28"/>
  <c r="H47" i="28"/>
  <c r="D47" i="28"/>
  <c r="E48" i="28" s="1"/>
  <c r="B46" i="28"/>
  <c r="G7" i="28" s="1"/>
  <c r="J7" i="28" s="1"/>
  <c r="K45" i="28"/>
  <c r="J45" i="28"/>
  <c r="B45" i="28"/>
  <c r="B44" i="28"/>
  <c r="K43" i="28"/>
  <c r="B43" i="28"/>
  <c r="K42" i="28"/>
  <c r="L26" i="28" s="1"/>
  <c r="C7" i="28" s="1"/>
  <c r="B42" i="28"/>
  <c r="G39" i="28"/>
  <c r="E39" i="28"/>
  <c r="O38" i="28"/>
  <c r="L38" i="28"/>
  <c r="F38" i="28"/>
  <c r="H38" i="28" s="1"/>
  <c r="C38" i="28"/>
  <c r="P16" i="28" s="1"/>
  <c r="B38" i="28"/>
  <c r="P15" i="28" s="1"/>
  <c r="O37" i="28"/>
  <c r="F37" i="28"/>
  <c r="H37" i="28" s="1"/>
  <c r="H36" i="28"/>
  <c r="F35" i="28"/>
  <c r="H35" i="28" s="1"/>
  <c r="F34" i="28"/>
  <c r="H34" i="28" s="1"/>
  <c r="L33" i="28"/>
  <c r="O36" i="28" s="1"/>
  <c r="P31" i="28"/>
  <c r="G30" i="28"/>
  <c r="P29" i="28"/>
  <c r="G29" i="28"/>
  <c r="G28" i="28"/>
  <c r="G27" i="28"/>
  <c r="Q26" i="28"/>
  <c r="P26" i="28"/>
  <c r="G26" i="28"/>
  <c r="J25" i="28"/>
  <c r="J28" i="28" s="1"/>
  <c r="G25" i="28"/>
  <c r="G24" i="28"/>
  <c r="G23" i="28"/>
  <c r="P22" i="28"/>
  <c r="G22" i="28"/>
  <c r="G21" i="28"/>
  <c r="G20" i="28"/>
  <c r="L19" i="28"/>
  <c r="J19" i="28"/>
  <c r="J23" i="28" s="1"/>
  <c r="G19" i="28"/>
  <c r="G18" i="28"/>
  <c r="G17" i="28"/>
  <c r="G16" i="28"/>
  <c r="G15" i="28"/>
  <c r="G14" i="28"/>
  <c r="M11" i="28"/>
  <c r="I11" i="28"/>
  <c r="E11" i="28"/>
  <c r="D11" i="28"/>
  <c r="O10" i="28"/>
  <c r="H10" i="28"/>
  <c r="C10" i="28"/>
  <c r="O9" i="28"/>
  <c r="H9" i="28"/>
  <c r="C9" i="28"/>
  <c r="O8" i="28"/>
  <c r="H8" i="28"/>
  <c r="C8" i="28"/>
  <c r="O7" i="28"/>
  <c r="O4" i="28"/>
  <c r="O3" i="28"/>
  <c r="L8" i="27"/>
  <c r="L9" i="27"/>
  <c r="L10" i="27"/>
  <c r="L7" i="27"/>
  <c r="H47" i="27"/>
  <c r="D47" i="27"/>
  <c r="E48" i="27" s="1"/>
  <c r="B46" i="27"/>
  <c r="G7" i="27" s="1"/>
  <c r="N7" i="27" s="1"/>
  <c r="K45" i="27"/>
  <c r="J45" i="27"/>
  <c r="B45" i="27"/>
  <c r="B44" i="27"/>
  <c r="K43" i="27"/>
  <c r="I43" i="27" s="1"/>
  <c r="B43" i="27"/>
  <c r="K42" i="27"/>
  <c r="L26" i="27" s="1"/>
  <c r="C7" i="27" s="1"/>
  <c r="B42" i="27"/>
  <c r="G39" i="27"/>
  <c r="E39" i="27"/>
  <c r="O38" i="27"/>
  <c r="L38" i="27"/>
  <c r="F38" i="27"/>
  <c r="H38" i="27" s="1"/>
  <c r="C38" i="27"/>
  <c r="P16" i="27" s="1"/>
  <c r="B38" i="27"/>
  <c r="P15" i="27" s="1"/>
  <c r="O37" i="27"/>
  <c r="F37" i="27"/>
  <c r="H37" i="27" s="1"/>
  <c r="H36" i="27"/>
  <c r="F35" i="27"/>
  <c r="H35" i="27" s="1"/>
  <c r="F34" i="27"/>
  <c r="H34" i="27" s="1"/>
  <c r="L33" i="27"/>
  <c r="O36" i="27" s="1"/>
  <c r="P31" i="27"/>
  <c r="G30" i="27"/>
  <c r="P29" i="27"/>
  <c r="G29" i="27"/>
  <c r="P28" i="27"/>
  <c r="G28" i="27"/>
  <c r="G27" i="27"/>
  <c r="Q26" i="27"/>
  <c r="P26" i="27"/>
  <c r="G26" i="27"/>
  <c r="J25" i="27"/>
  <c r="J28" i="27" s="1"/>
  <c r="G25" i="27"/>
  <c r="G24" i="27"/>
  <c r="G23" i="27"/>
  <c r="P22" i="27"/>
  <c r="G22" i="27"/>
  <c r="G21" i="27"/>
  <c r="G20" i="27"/>
  <c r="L19" i="27"/>
  <c r="J19" i="27"/>
  <c r="J23" i="27" s="1"/>
  <c r="G19" i="27"/>
  <c r="G18" i="27"/>
  <c r="G17" i="27"/>
  <c r="G16" i="27"/>
  <c r="G15" i="27"/>
  <c r="G14" i="27"/>
  <c r="M11" i="27"/>
  <c r="I11" i="27"/>
  <c r="D11" i="27"/>
  <c r="O10" i="27"/>
  <c r="H10" i="27"/>
  <c r="C10" i="27"/>
  <c r="O9" i="27"/>
  <c r="H9" i="27"/>
  <c r="C9" i="27"/>
  <c r="O8" i="27"/>
  <c r="E11" i="27"/>
  <c r="C8" i="27"/>
  <c r="O7" i="27"/>
  <c r="O4" i="27"/>
  <c r="O3" i="27"/>
  <c r="L11" i="26"/>
  <c r="K38" i="26"/>
  <c r="K8" i="26"/>
  <c r="K9" i="26"/>
  <c r="K10" i="26"/>
  <c r="K7" i="26"/>
  <c r="F17" i="26"/>
  <c r="B42" i="26"/>
  <c r="G47" i="26"/>
  <c r="D47" i="26"/>
  <c r="B46" i="26"/>
  <c r="F7" i="26" s="1"/>
  <c r="I7" i="26" s="1"/>
  <c r="J45" i="26"/>
  <c r="I45" i="26"/>
  <c r="B45" i="26"/>
  <c r="B44" i="26"/>
  <c r="J43" i="26"/>
  <c r="H43" i="26" s="1"/>
  <c r="B43" i="26"/>
  <c r="J42" i="26"/>
  <c r="K26" i="26" s="1"/>
  <c r="C7" i="26" s="1"/>
  <c r="F39" i="26"/>
  <c r="N38" i="26"/>
  <c r="E38" i="26"/>
  <c r="G38" i="26" s="1"/>
  <c r="C38" i="26"/>
  <c r="O16" i="26" s="1"/>
  <c r="B38" i="26"/>
  <c r="O15" i="26" s="1"/>
  <c r="N37" i="26"/>
  <c r="E37" i="26"/>
  <c r="G37" i="26" s="1"/>
  <c r="G36" i="26"/>
  <c r="E35" i="26"/>
  <c r="G35" i="26" s="1"/>
  <c r="E34" i="26"/>
  <c r="G34" i="26" s="1"/>
  <c r="K33" i="26"/>
  <c r="N36" i="26" s="1"/>
  <c r="O31" i="26"/>
  <c r="F30" i="26"/>
  <c r="O29" i="26"/>
  <c r="F29" i="26"/>
  <c r="O28" i="26"/>
  <c r="F28" i="26"/>
  <c r="F27" i="26"/>
  <c r="P26" i="26"/>
  <c r="O26" i="26"/>
  <c r="F26" i="26"/>
  <c r="I25" i="26"/>
  <c r="I28" i="26" s="1"/>
  <c r="F25" i="26"/>
  <c r="F24" i="26"/>
  <c r="F23" i="26"/>
  <c r="O22" i="26"/>
  <c r="F22" i="26"/>
  <c r="F21" i="26"/>
  <c r="F20" i="26"/>
  <c r="K19" i="26"/>
  <c r="I19" i="26"/>
  <c r="I23" i="26" s="1"/>
  <c r="F19" i="26"/>
  <c r="F18" i="26"/>
  <c r="F16" i="26"/>
  <c r="F15" i="26"/>
  <c r="F14" i="26"/>
  <c r="D11" i="26"/>
  <c r="N10" i="26"/>
  <c r="C10" i="26"/>
  <c r="N9" i="26"/>
  <c r="C9" i="26"/>
  <c r="N8" i="26"/>
  <c r="C8" i="26"/>
  <c r="N7" i="26"/>
  <c r="N4" i="26"/>
  <c r="N3" i="26"/>
  <c r="G47" i="25"/>
  <c r="O29" i="25"/>
  <c r="K8" i="25"/>
  <c r="K9" i="25"/>
  <c r="K10" i="25"/>
  <c r="K7" i="25"/>
  <c r="D47" i="25"/>
  <c r="B46" i="25"/>
  <c r="F7" i="25" s="1"/>
  <c r="J45" i="25"/>
  <c r="I45" i="25"/>
  <c r="B45" i="25"/>
  <c r="F10" i="25" s="1"/>
  <c r="B44" i="25"/>
  <c r="J43" i="25"/>
  <c r="H43" i="25" s="1"/>
  <c r="B43" i="25"/>
  <c r="F9" i="25" s="1"/>
  <c r="J42" i="25"/>
  <c r="K26" i="25" s="1"/>
  <c r="C7" i="25" s="1"/>
  <c r="B42" i="25"/>
  <c r="F8" i="25" s="1"/>
  <c r="F39" i="25"/>
  <c r="E38" i="25"/>
  <c r="G38" i="25" s="1"/>
  <c r="C38" i="25"/>
  <c r="O16" i="25" s="1"/>
  <c r="B38" i="25"/>
  <c r="O15" i="25" s="1"/>
  <c r="N37" i="25"/>
  <c r="E37" i="25"/>
  <c r="G37" i="25" s="1"/>
  <c r="G36" i="25"/>
  <c r="E35" i="25"/>
  <c r="G35" i="25" s="1"/>
  <c r="E34" i="25"/>
  <c r="G34" i="25" s="1"/>
  <c r="K33" i="25"/>
  <c r="N36" i="25" s="1"/>
  <c r="O31" i="25"/>
  <c r="F30" i="25"/>
  <c r="F29" i="25"/>
  <c r="O28" i="25"/>
  <c r="F28" i="25"/>
  <c r="F27" i="25"/>
  <c r="P26" i="25"/>
  <c r="O26" i="25"/>
  <c r="F26" i="25"/>
  <c r="I25" i="25"/>
  <c r="I28" i="25" s="1"/>
  <c r="F25" i="25"/>
  <c r="F24" i="25"/>
  <c r="F23" i="25"/>
  <c r="O22" i="25"/>
  <c r="F22" i="25"/>
  <c r="F21" i="25"/>
  <c r="F20" i="25"/>
  <c r="K19" i="25"/>
  <c r="I19" i="25"/>
  <c r="I23" i="25" s="1"/>
  <c r="F19" i="25"/>
  <c r="F18" i="25"/>
  <c r="F17" i="25"/>
  <c r="F16" i="25"/>
  <c r="F15" i="25"/>
  <c r="F14" i="25"/>
  <c r="L11" i="25"/>
  <c r="H11" i="25"/>
  <c r="G11" i="25"/>
  <c r="D11" i="25"/>
  <c r="N10" i="25"/>
  <c r="C10" i="25"/>
  <c r="N9" i="25"/>
  <c r="C9" i="25"/>
  <c r="N8" i="25"/>
  <c r="C8" i="25"/>
  <c r="N7" i="25"/>
  <c r="N4" i="25"/>
  <c r="N3" i="25"/>
  <c r="K8" i="24"/>
  <c r="K9" i="24"/>
  <c r="K10" i="24"/>
  <c r="K7" i="24"/>
  <c r="G47" i="24"/>
  <c r="D47" i="24"/>
  <c r="B46" i="24"/>
  <c r="F7" i="24" s="1"/>
  <c r="M7" i="24" s="1"/>
  <c r="J45" i="24"/>
  <c r="I45" i="24"/>
  <c r="B45" i="24"/>
  <c r="F10" i="24" s="1"/>
  <c r="B44" i="24"/>
  <c r="J43" i="24"/>
  <c r="H43" i="24" s="1"/>
  <c r="B43" i="24"/>
  <c r="F9" i="24" s="1"/>
  <c r="M9" i="24" s="1"/>
  <c r="J42" i="24"/>
  <c r="K26" i="24" s="1"/>
  <c r="C7" i="24" s="1"/>
  <c r="B42" i="24"/>
  <c r="F8" i="24" s="1"/>
  <c r="F39" i="24"/>
  <c r="N38" i="24"/>
  <c r="K38" i="24"/>
  <c r="E38" i="24"/>
  <c r="G38" i="24" s="1"/>
  <c r="C38" i="24"/>
  <c r="O16" i="24" s="1"/>
  <c r="B38" i="24"/>
  <c r="O15" i="24" s="1"/>
  <c r="N37" i="24"/>
  <c r="E37" i="24"/>
  <c r="G37" i="24" s="1"/>
  <c r="G36" i="24"/>
  <c r="E35" i="24"/>
  <c r="G35" i="24" s="1"/>
  <c r="E34" i="24"/>
  <c r="G34" i="24" s="1"/>
  <c r="K33" i="24"/>
  <c r="N36" i="24" s="1"/>
  <c r="O31" i="24"/>
  <c r="F30" i="24"/>
  <c r="O29" i="24"/>
  <c r="F29" i="24"/>
  <c r="O28" i="24"/>
  <c r="F28" i="24"/>
  <c r="F27" i="24"/>
  <c r="P26" i="24"/>
  <c r="O26" i="24"/>
  <c r="F26" i="24"/>
  <c r="I25" i="24"/>
  <c r="I28" i="24" s="1"/>
  <c r="F25" i="24"/>
  <c r="F24" i="24"/>
  <c r="F23" i="24"/>
  <c r="O22" i="24"/>
  <c r="F22" i="24"/>
  <c r="F21" i="24"/>
  <c r="F20" i="24"/>
  <c r="K19" i="24"/>
  <c r="I19" i="24"/>
  <c r="I23" i="24" s="1"/>
  <c r="F19" i="24"/>
  <c r="F18" i="24"/>
  <c r="F17" i="24"/>
  <c r="F16" i="24"/>
  <c r="F15" i="24"/>
  <c r="F14" i="24"/>
  <c r="L11" i="24"/>
  <c r="H11" i="24"/>
  <c r="G11" i="24"/>
  <c r="D11" i="24"/>
  <c r="N10" i="24"/>
  <c r="C10" i="24"/>
  <c r="N9" i="24"/>
  <c r="C9" i="24"/>
  <c r="N8" i="24"/>
  <c r="C8" i="24"/>
  <c r="N7" i="24"/>
  <c r="N4" i="24"/>
  <c r="N3" i="24"/>
  <c r="K8" i="23"/>
  <c r="K9" i="23"/>
  <c r="K10" i="23"/>
  <c r="K7" i="23"/>
  <c r="G47" i="23"/>
  <c r="D47" i="23"/>
  <c r="B46" i="23"/>
  <c r="F7" i="23" s="1"/>
  <c r="M7" i="23" s="1"/>
  <c r="J45" i="23"/>
  <c r="I45" i="23"/>
  <c r="B45" i="23"/>
  <c r="F10" i="23" s="1"/>
  <c r="M10" i="23" s="1"/>
  <c r="B44" i="23"/>
  <c r="J43" i="23"/>
  <c r="B43" i="23"/>
  <c r="F9" i="23" s="1"/>
  <c r="M9" i="23" s="1"/>
  <c r="J42" i="23"/>
  <c r="K26" i="23" s="1"/>
  <c r="C7" i="23" s="1"/>
  <c r="B42" i="23"/>
  <c r="F39" i="23"/>
  <c r="N38" i="23"/>
  <c r="K38" i="23"/>
  <c r="E38" i="23"/>
  <c r="G38" i="23" s="1"/>
  <c r="C38" i="23"/>
  <c r="O16" i="23" s="1"/>
  <c r="B38" i="23"/>
  <c r="O15" i="23" s="1"/>
  <c r="N37" i="23"/>
  <c r="E37" i="23"/>
  <c r="G37" i="23" s="1"/>
  <c r="G36" i="23"/>
  <c r="E35" i="23"/>
  <c r="G35" i="23" s="1"/>
  <c r="E34" i="23"/>
  <c r="G34" i="23" s="1"/>
  <c r="K33" i="23"/>
  <c r="N36" i="23" s="1"/>
  <c r="O31" i="23"/>
  <c r="F30" i="23"/>
  <c r="O29" i="23"/>
  <c r="F29" i="23"/>
  <c r="O28" i="23"/>
  <c r="F28" i="23"/>
  <c r="F27" i="23"/>
  <c r="P26" i="23"/>
  <c r="O26" i="23"/>
  <c r="F26" i="23"/>
  <c r="I25" i="23"/>
  <c r="I28" i="23" s="1"/>
  <c r="F25" i="23"/>
  <c r="F24" i="23"/>
  <c r="F23" i="23"/>
  <c r="O22" i="23"/>
  <c r="F22" i="23"/>
  <c r="F21" i="23"/>
  <c r="F20" i="23"/>
  <c r="K19" i="23"/>
  <c r="I19" i="23"/>
  <c r="I23" i="23" s="1"/>
  <c r="F19" i="23"/>
  <c r="F18" i="23"/>
  <c r="F17" i="23"/>
  <c r="F16" i="23"/>
  <c r="F15" i="23"/>
  <c r="F14" i="23"/>
  <c r="L11" i="23"/>
  <c r="H11" i="23"/>
  <c r="G11" i="23"/>
  <c r="D11" i="23"/>
  <c r="N10" i="23"/>
  <c r="C10" i="23"/>
  <c r="N9" i="23"/>
  <c r="C9" i="23"/>
  <c r="N8" i="23"/>
  <c r="C8" i="23"/>
  <c r="N7" i="23"/>
  <c r="N4" i="23"/>
  <c r="N3" i="23"/>
  <c r="K8" i="22"/>
  <c r="K9" i="22"/>
  <c r="K10" i="22"/>
  <c r="K7" i="22"/>
  <c r="K11" i="22" s="1"/>
  <c r="G47" i="22"/>
  <c r="D47" i="22"/>
  <c r="B46" i="22"/>
  <c r="F7" i="22" s="1"/>
  <c r="M7" i="22" s="1"/>
  <c r="J45" i="22"/>
  <c r="I45" i="22"/>
  <c r="H45" i="22"/>
  <c r="B45" i="22"/>
  <c r="F10" i="22" s="1"/>
  <c r="M10" i="22" s="1"/>
  <c r="B44" i="22"/>
  <c r="J43" i="22"/>
  <c r="B43" i="22"/>
  <c r="F9" i="22" s="1"/>
  <c r="J42" i="22"/>
  <c r="K26" i="22" s="1"/>
  <c r="C7" i="22" s="1"/>
  <c r="B42" i="22"/>
  <c r="F8" i="22" s="1"/>
  <c r="F39" i="22"/>
  <c r="N38" i="22"/>
  <c r="K38" i="22"/>
  <c r="E38" i="22"/>
  <c r="G38" i="22" s="1"/>
  <c r="C38" i="22"/>
  <c r="O16" i="22" s="1"/>
  <c r="B38" i="22"/>
  <c r="O15" i="22" s="1"/>
  <c r="N37" i="22"/>
  <c r="E37" i="22"/>
  <c r="G37" i="22" s="1"/>
  <c r="G36" i="22"/>
  <c r="E35" i="22"/>
  <c r="G35" i="22" s="1"/>
  <c r="E34" i="22"/>
  <c r="G34" i="22" s="1"/>
  <c r="K33" i="22"/>
  <c r="N36" i="22" s="1"/>
  <c r="O31" i="22"/>
  <c r="F30" i="22"/>
  <c r="O29" i="22"/>
  <c r="F29" i="22"/>
  <c r="O28" i="22"/>
  <c r="F28" i="22"/>
  <c r="F27" i="22"/>
  <c r="P26" i="22"/>
  <c r="O26" i="22"/>
  <c r="F26" i="22"/>
  <c r="I25" i="22"/>
  <c r="I28" i="22" s="1"/>
  <c r="F25" i="22"/>
  <c r="F24" i="22"/>
  <c r="F23" i="22"/>
  <c r="O22" i="22"/>
  <c r="F22" i="22"/>
  <c r="F21" i="22"/>
  <c r="F20" i="22"/>
  <c r="K19" i="22"/>
  <c r="I19" i="22"/>
  <c r="I23" i="22" s="1"/>
  <c r="F19" i="22"/>
  <c r="F18" i="22"/>
  <c r="F17" i="22"/>
  <c r="F16" i="22"/>
  <c r="F15" i="22"/>
  <c r="F14" i="22"/>
  <c r="L11" i="22"/>
  <c r="H11" i="22"/>
  <c r="G11" i="22"/>
  <c r="D11" i="22"/>
  <c r="N10" i="22"/>
  <c r="C10" i="22"/>
  <c r="N9" i="22"/>
  <c r="C9" i="22"/>
  <c r="N8" i="22"/>
  <c r="C8" i="22"/>
  <c r="N7" i="22"/>
  <c r="N4" i="22"/>
  <c r="N3" i="22"/>
  <c r="K8" i="21"/>
  <c r="K9" i="21"/>
  <c r="K10" i="21"/>
  <c r="K7" i="21"/>
  <c r="G47" i="21"/>
  <c r="D47" i="21"/>
  <c r="B46" i="21"/>
  <c r="F7" i="21" s="1"/>
  <c r="M7" i="21" s="1"/>
  <c r="J45" i="21"/>
  <c r="H45" i="21" s="1"/>
  <c r="I45" i="21"/>
  <c r="B45" i="21"/>
  <c r="F10" i="21" s="1"/>
  <c r="M10" i="21" s="1"/>
  <c r="B44" i="21"/>
  <c r="J43" i="21"/>
  <c r="H43" i="21"/>
  <c r="B43" i="21"/>
  <c r="F9" i="21" s="1"/>
  <c r="J42" i="21"/>
  <c r="K26" i="21" s="1"/>
  <c r="C7" i="21" s="1"/>
  <c r="B42" i="21"/>
  <c r="F39" i="21"/>
  <c r="N38" i="21"/>
  <c r="K38" i="21"/>
  <c r="E38" i="21"/>
  <c r="G38" i="21" s="1"/>
  <c r="C38" i="21"/>
  <c r="O16" i="21" s="1"/>
  <c r="B38" i="21"/>
  <c r="O15" i="21" s="1"/>
  <c r="N37" i="21"/>
  <c r="E37" i="21"/>
  <c r="G37" i="21" s="1"/>
  <c r="G36" i="21"/>
  <c r="E35" i="21"/>
  <c r="G35" i="21" s="1"/>
  <c r="E34" i="21"/>
  <c r="G34" i="21" s="1"/>
  <c r="K33" i="21"/>
  <c r="N36" i="21" s="1"/>
  <c r="O31" i="21"/>
  <c r="F30" i="21"/>
  <c r="O29" i="21"/>
  <c r="F29" i="21"/>
  <c r="O28" i="21"/>
  <c r="F28" i="21"/>
  <c r="F27" i="21"/>
  <c r="P26" i="21"/>
  <c r="O26" i="21"/>
  <c r="F26" i="21"/>
  <c r="I25" i="21"/>
  <c r="I28" i="21" s="1"/>
  <c r="F25" i="21"/>
  <c r="F24" i="21"/>
  <c r="F23" i="21"/>
  <c r="O22" i="21"/>
  <c r="F22" i="21"/>
  <c r="F21" i="21"/>
  <c r="F20" i="21"/>
  <c r="K19" i="21"/>
  <c r="I19" i="21"/>
  <c r="I23" i="21" s="1"/>
  <c r="F19" i="21"/>
  <c r="F18" i="21"/>
  <c r="F17" i="21"/>
  <c r="F16" i="21"/>
  <c r="F15" i="21"/>
  <c r="F14" i="21"/>
  <c r="L11" i="21"/>
  <c r="H11" i="21"/>
  <c r="G11" i="21"/>
  <c r="D11" i="21"/>
  <c r="N10" i="21"/>
  <c r="C10" i="21"/>
  <c r="N9" i="21"/>
  <c r="C9" i="21"/>
  <c r="N8" i="21"/>
  <c r="F8" i="21"/>
  <c r="I8" i="21" s="1"/>
  <c r="C8" i="21"/>
  <c r="N7" i="21"/>
  <c r="N4" i="21"/>
  <c r="N3" i="21"/>
  <c r="O31" i="20"/>
  <c r="O29" i="20"/>
  <c r="O28" i="20"/>
  <c r="K8" i="20"/>
  <c r="K9" i="20"/>
  <c r="K10" i="20"/>
  <c r="K7" i="20"/>
  <c r="G47" i="20"/>
  <c r="D47" i="20"/>
  <c r="B46" i="20"/>
  <c r="F7" i="20" s="1"/>
  <c r="I7" i="20" s="1"/>
  <c r="J45" i="20"/>
  <c r="I45" i="20"/>
  <c r="B45" i="20"/>
  <c r="F10" i="20" s="1"/>
  <c r="M10" i="20" s="1"/>
  <c r="B44" i="20"/>
  <c r="J43" i="20"/>
  <c r="H43" i="20" s="1"/>
  <c r="B43" i="20"/>
  <c r="F9" i="20" s="1"/>
  <c r="M9" i="20" s="1"/>
  <c r="J42" i="20"/>
  <c r="K26" i="20" s="1"/>
  <c r="C7" i="20" s="1"/>
  <c r="B42" i="20"/>
  <c r="F8" i="20" s="1"/>
  <c r="I8" i="20" s="1"/>
  <c r="F39" i="20"/>
  <c r="N38" i="20"/>
  <c r="K38" i="20"/>
  <c r="E38" i="20"/>
  <c r="G38" i="20" s="1"/>
  <c r="C38" i="20"/>
  <c r="O16" i="20" s="1"/>
  <c r="B38" i="20"/>
  <c r="N37" i="20"/>
  <c r="E37" i="20"/>
  <c r="G37" i="20" s="1"/>
  <c r="G36" i="20"/>
  <c r="E35" i="20"/>
  <c r="G35" i="20" s="1"/>
  <c r="E34" i="20"/>
  <c r="G34" i="20" s="1"/>
  <c r="K33" i="20"/>
  <c r="N36" i="20" s="1"/>
  <c r="F30" i="20"/>
  <c r="F29" i="20"/>
  <c r="F28" i="20"/>
  <c r="F27" i="20"/>
  <c r="P26" i="20"/>
  <c r="O26" i="20"/>
  <c r="F26" i="20"/>
  <c r="I25" i="20"/>
  <c r="I28" i="20" s="1"/>
  <c r="F25" i="20"/>
  <c r="F24" i="20"/>
  <c r="F23" i="20"/>
  <c r="O22" i="20"/>
  <c r="F22" i="20"/>
  <c r="F21" i="20"/>
  <c r="F20" i="20"/>
  <c r="K19" i="20"/>
  <c r="I19" i="20"/>
  <c r="I23" i="20" s="1"/>
  <c r="F19" i="20"/>
  <c r="F18" i="20"/>
  <c r="F17" i="20"/>
  <c r="F16" i="20"/>
  <c r="F15" i="20"/>
  <c r="F14" i="20"/>
  <c r="L11" i="20"/>
  <c r="H11" i="20"/>
  <c r="G11" i="20"/>
  <c r="D11" i="20"/>
  <c r="N10" i="20"/>
  <c r="C10" i="20"/>
  <c r="N9" i="20"/>
  <c r="C9" i="20"/>
  <c r="N8" i="20"/>
  <c r="C8" i="20"/>
  <c r="N7" i="20"/>
  <c r="N4" i="20"/>
  <c r="N3" i="20"/>
  <c r="K8" i="19"/>
  <c r="K9" i="19"/>
  <c r="K10" i="19"/>
  <c r="K7" i="19"/>
  <c r="G47" i="19"/>
  <c r="D47" i="19"/>
  <c r="B46" i="19"/>
  <c r="F7" i="19" s="1"/>
  <c r="J45" i="19"/>
  <c r="I45" i="19"/>
  <c r="B45" i="19"/>
  <c r="F10" i="19" s="1"/>
  <c r="M10" i="19" s="1"/>
  <c r="B44" i="19"/>
  <c r="J43" i="19"/>
  <c r="H43" i="19"/>
  <c r="B43" i="19"/>
  <c r="F9" i="19" s="1"/>
  <c r="J42" i="19"/>
  <c r="K26" i="19" s="1"/>
  <c r="C7" i="19" s="1"/>
  <c r="B42" i="19"/>
  <c r="F39" i="19"/>
  <c r="N38" i="19"/>
  <c r="K38" i="19"/>
  <c r="E38" i="19"/>
  <c r="G38" i="19" s="1"/>
  <c r="C38" i="19"/>
  <c r="O16" i="19" s="1"/>
  <c r="B38" i="19"/>
  <c r="N37" i="19"/>
  <c r="E37" i="19"/>
  <c r="G37" i="19" s="1"/>
  <c r="G36" i="19"/>
  <c r="E35" i="19"/>
  <c r="G35" i="19" s="1"/>
  <c r="E34" i="19"/>
  <c r="G34" i="19" s="1"/>
  <c r="K33" i="19"/>
  <c r="N36" i="19" s="1"/>
  <c r="O31" i="19"/>
  <c r="F30" i="19"/>
  <c r="O29" i="19"/>
  <c r="F29" i="19"/>
  <c r="O28" i="19"/>
  <c r="F28" i="19"/>
  <c r="F27" i="19"/>
  <c r="P26" i="19"/>
  <c r="O26" i="19"/>
  <c r="F26" i="19"/>
  <c r="I25" i="19"/>
  <c r="I28" i="19" s="1"/>
  <c r="F25" i="19"/>
  <c r="F24" i="19"/>
  <c r="F23" i="19"/>
  <c r="O22" i="19"/>
  <c r="F22" i="19"/>
  <c r="F21" i="19"/>
  <c r="F20" i="19"/>
  <c r="K19" i="19"/>
  <c r="I19" i="19"/>
  <c r="I23" i="19" s="1"/>
  <c r="F19" i="19"/>
  <c r="F18" i="19"/>
  <c r="F17" i="19"/>
  <c r="F16" i="19"/>
  <c r="F15" i="19"/>
  <c r="F14" i="19"/>
  <c r="L11" i="19"/>
  <c r="H11" i="19"/>
  <c r="G11" i="19"/>
  <c r="D11" i="19"/>
  <c r="N10" i="19"/>
  <c r="C10" i="19"/>
  <c r="N9" i="19"/>
  <c r="C9" i="19"/>
  <c r="N8" i="19"/>
  <c r="C8" i="19"/>
  <c r="N7" i="19"/>
  <c r="N4" i="19"/>
  <c r="N3" i="19"/>
  <c r="K8" i="18"/>
  <c r="K9" i="18"/>
  <c r="K10" i="18"/>
  <c r="K7" i="18"/>
  <c r="G47" i="18"/>
  <c r="D47" i="18"/>
  <c r="B46" i="18"/>
  <c r="F7" i="18" s="1"/>
  <c r="M7" i="18" s="1"/>
  <c r="J45" i="18"/>
  <c r="I45" i="18"/>
  <c r="B45" i="18"/>
  <c r="F10" i="18" s="1"/>
  <c r="M10" i="18" s="1"/>
  <c r="B44" i="18"/>
  <c r="J43" i="18"/>
  <c r="B43" i="18"/>
  <c r="F9" i="18" s="1"/>
  <c r="I9" i="18" s="1"/>
  <c r="J42" i="18"/>
  <c r="K26" i="18" s="1"/>
  <c r="C7" i="18" s="1"/>
  <c r="B42" i="18"/>
  <c r="F8" i="18" s="1"/>
  <c r="F39" i="18"/>
  <c r="N38" i="18"/>
  <c r="K38" i="18"/>
  <c r="E38" i="18"/>
  <c r="G38" i="18" s="1"/>
  <c r="C38" i="18"/>
  <c r="O16" i="18" s="1"/>
  <c r="B38" i="18"/>
  <c r="O15" i="18" s="1"/>
  <c r="N37" i="18"/>
  <c r="N39" i="18" s="1"/>
  <c r="E37" i="18"/>
  <c r="G37" i="18" s="1"/>
  <c r="G36" i="18"/>
  <c r="E35" i="18"/>
  <c r="G35" i="18" s="1"/>
  <c r="E34" i="18"/>
  <c r="G34" i="18" s="1"/>
  <c r="K33" i="18"/>
  <c r="N36" i="18" s="1"/>
  <c r="O31" i="18"/>
  <c r="F30" i="18"/>
  <c r="O29" i="18"/>
  <c r="F29" i="18"/>
  <c r="O28" i="18"/>
  <c r="F28" i="18"/>
  <c r="F27" i="18"/>
  <c r="P26" i="18"/>
  <c r="O26" i="18"/>
  <c r="F26" i="18"/>
  <c r="I25" i="18"/>
  <c r="I28" i="18" s="1"/>
  <c r="F25" i="18"/>
  <c r="F24" i="18"/>
  <c r="F23" i="18"/>
  <c r="O22" i="18"/>
  <c r="F22" i="18"/>
  <c r="F21" i="18"/>
  <c r="F20" i="18"/>
  <c r="K19" i="18"/>
  <c r="I19" i="18"/>
  <c r="I23" i="18" s="1"/>
  <c r="F19" i="18"/>
  <c r="F18" i="18"/>
  <c r="F17" i="18"/>
  <c r="F16" i="18"/>
  <c r="F15" i="18"/>
  <c r="F14" i="18"/>
  <c r="L11" i="18"/>
  <c r="H11" i="18"/>
  <c r="G11" i="18"/>
  <c r="D11" i="18"/>
  <c r="N10" i="18"/>
  <c r="C10" i="18"/>
  <c r="N9" i="18"/>
  <c r="C9" i="18"/>
  <c r="N8" i="18"/>
  <c r="C8" i="18"/>
  <c r="N7" i="18"/>
  <c r="N4" i="18"/>
  <c r="N3" i="18"/>
  <c r="K8" i="17"/>
  <c r="K9" i="17"/>
  <c r="K10" i="17"/>
  <c r="K7" i="17"/>
  <c r="G47" i="17"/>
  <c r="D47" i="17"/>
  <c r="B46" i="17"/>
  <c r="F7" i="17" s="1"/>
  <c r="J45" i="17"/>
  <c r="I45" i="17"/>
  <c r="B45" i="17"/>
  <c r="F10" i="17" s="1"/>
  <c r="M10" i="17" s="1"/>
  <c r="B44" i="17"/>
  <c r="J43" i="17"/>
  <c r="H43" i="17" s="1"/>
  <c r="B43" i="17"/>
  <c r="F9" i="17" s="1"/>
  <c r="J42" i="17"/>
  <c r="K26" i="17" s="1"/>
  <c r="C7" i="17" s="1"/>
  <c r="B42" i="17"/>
  <c r="F8" i="17" s="1"/>
  <c r="F39" i="17"/>
  <c r="N38" i="17"/>
  <c r="K38" i="17"/>
  <c r="E38" i="17"/>
  <c r="G38" i="17" s="1"/>
  <c r="C38" i="17"/>
  <c r="O16" i="17" s="1"/>
  <c r="B38" i="17"/>
  <c r="O15" i="17" s="1"/>
  <c r="N37" i="17"/>
  <c r="E37" i="17"/>
  <c r="G37" i="17" s="1"/>
  <c r="G36" i="17"/>
  <c r="E35" i="17"/>
  <c r="G35" i="17" s="1"/>
  <c r="E34" i="17"/>
  <c r="G34" i="17" s="1"/>
  <c r="K33" i="17"/>
  <c r="N36" i="17" s="1"/>
  <c r="O31" i="17"/>
  <c r="F30" i="17"/>
  <c r="O29" i="17"/>
  <c r="F29" i="17"/>
  <c r="O28" i="17"/>
  <c r="F28" i="17"/>
  <c r="F27" i="17"/>
  <c r="P26" i="17"/>
  <c r="O26" i="17"/>
  <c r="F26" i="17"/>
  <c r="I25" i="17"/>
  <c r="I28" i="17" s="1"/>
  <c r="F25" i="17"/>
  <c r="F24" i="17"/>
  <c r="F23" i="17"/>
  <c r="O22" i="17"/>
  <c r="F22" i="17"/>
  <c r="F21" i="17"/>
  <c r="F20" i="17"/>
  <c r="K19" i="17"/>
  <c r="I19" i="17"/>
  <c r="I23" i="17" s="1"/>
  <c r="F19" i="17"/>
  <c r="F18" i="17"/>
  <c r="F17" i="17"/>
  <c r="F16" i="17"/>
  <c r="F15" i="17"/>
  <c r="F14" i="17"/>
  <c r="L11" i="17"/>
  <c r="H11" i="17"/>
  <c r="G11" i="17"/>
  <c r="D11" i="17"/>
  <c r="N10" i="17"/>
  <c r="C10" i="17"/>
  <c r="N9" i="17"/>
  <c r="C9" i="17"/>
  <c r="N8" i="17"/>
  <c r="C8" i="17"/>
  <c r="N7" i="17"/>
  <c r="N4" i="17"/>
  <c r="N3" i="17"/>
  <c r="K8" i="16"/>
  <c r="K9" i="16"/>
  <c r="K10" i="16"/>
  <c r="K7" i="16"/>
  <c r="G47" i="16"/>
  <c r="D47" i="16"/>
  <c r="B46" i="16"/>
  <c r="F7" i="16" s="1"/>
  <c r="J45" i="16"/>
  <c r="I45" i="16"/>
  <c r="B45" i="16"/>
  <c r="F10" i="16" s="1"/>
  <c r="B44" i="16"/>
  <c r="J43" i="16"/>
  <c r="H43" i="16" s="1"/>
  <c r="B43" i="16"/>
  <c r="F9" i="16" s="1"/>
  <c r="M9" i="16" s="1"/>
  <c r="J42" i="16"/>
  <c r="K26" i="16" s="1"/>
  <c r="C7" i="16" s="1"/>
  <c r="B42" i="16"/>
  <c r="F8" i="16" s="1"/>
  <c r="M8" i="16" s="1"/>
  <c r="F39" i="16"/>
  <c r="N38" i="16"/>
  <c r="K38" i="16"/>
  <c r="E38" i="16"/>
  <c r="G38" i="16" s="1"/>
  <c r="C38" i="16"/>
  <c r="O16" i="16" s="1"/>
  <c r="B38" i="16"/>
  <c r="N37" i="16"/>
  <c r="E37" i="16"/>
  <c r="G37" i="16" s="1"/>
  <c r="G36" i="16"/>
  <c r="E35" i="16"/>
  <c r="G35" i="16" s="1"/>
  <c r="E34" i="16"/>
  <c r="G34" i="16" s="1"/>
  <c r="K33" i="16"/>
  <c r="N36" i="16" s="1"/>
  <c r="O31" i="16"/>
  <c r="F30" i="16"/>
  <c r="O29" i="16"/>
  <c r="F29" i="16"/>
  <c r="O28" i="16"/>
  <c r="F28" i="16"/>
  <c r="F27" i="16"/>
  <c r="P26" i="16"/>
  <c r="O26" i="16"/>
  <c r="F26" i="16"/>
  <c r="I25" i="16"/>
  <c r="I28" i="16" s="1"/>
  <c r="F25" i="16"/>
  <c r="F23" i="16"/>
  <c r="O22" i="16"/>
  <c r="F22" i="16"/>
  <c r="F21" i="16"/>
  <c r="F20" i="16"/>
  <c r="K19" i="16"/>
  <c r="I19" i="16"/>
  <c r="I23" i="16" s="1"/>
  <c r="F19" i="16"/>
  <c r="F18" i="16"/>
  <c r="F17" i="16"/>
  <c r="F16" i="16"/>
  <c r="F15" i="16"/>
  <c r="F14" i="16"/>
  <c r="L11" i="16"/>
  <c r="H11" i="16"/>
  <c r="G11" i="16"/>
  <c r="D11" i="16"/>
  <c r="N10" i="16"/>
  <c r="C10" i="16"/>
  <c r="N9" i="16"/>
  <c r="C9" i="16"/>
  <c r="N8" i="16"/>
  <c r="C8" i="16"/>
  <c r="N7" i="16"/>
  <c r="N4" i="16"/>
  <c r="N3" i="16"/>
  <c r="F24" i="14"/>
  <c r="F26" i="14"/>
  <c r="K8" i="14"/>
  <c r="K9" i="14"/>
  <c r="K10" i="14"/>
  <c r="K7" i="14"/>
  <c r="G47" i="14"/>
  <c r="D47" i="14"/>
  <c r="B46" i="14"/>
  <c r="F7" i="14" s="1"/>
  <c r="M7" i="14" s="1"/>
  <c r="J45" i="14"/>
  <c r="I45" i="14"/>
  <c r="H45" i="14"/>
  <c r="B45" i="14"/>
  <c r="F10" i="14" s="1"/>
  <c r="B44" i="14"/>
  <c r="J43" i="14"/>
  <c r="B43" i="14"/>
  <c r="F9" i="14" s="1"/>
  <c r="J42" i="14"/>
  <c r="K26" i="14" s="1"/>
  <c r="C7" i="14" s="1"/>
  <c r="B42" i="14"/>
  <c r="F8" i="14" s="1"/>
  <c r="I8" i="14" s="1"/>
  <c r="F39" i="14"/>
  <c r="N38" i="14"/>
  <c r="K38" i="14"/>
  <c r="E38" i="14"/>
  <c r="G38" i="14" s="1"/>
  <c r="C38" i="14"/>
  <c r="O16" i="14" s="1"/>
  <c r="B38" i="14"/>
  <c r="O15" i="14" s="1"/>
  <c r="N37" i="14"/>
  <c r="E37" i="14"/>
  <c r="G37" i="14" s="1"/>
  <c r="G36" i="14"/>
  <c r="E35" i="14"/>
  <c r="G35" i="14" s="1"/>
  <c r="E34" i="14"/>
  <c r="G34" i="14" s="1"/>
  <c r="K33" i="14"/>
  <c r="N36" i="14" s="1"/>
  <c r="O31" i="14"/>
  <c r="F30" i="14"/>
  <c r="O29" i="14"/>
  <c r="F29" i="14"/>
  <c r="O28" i="14"/>
  <c r="F28" i="14"/>
  <c r="F27" i="14"/>
  <c r="P26" i="14"/>
  <c r="O26" i="14"/>
  <c r="I25" i="14"/>
  <c r="I28" i="14" s="1"/>
  <c r="F25" i="14"/>
  <c r="F23" i="14"/>
  <c r="O22" i="14"/>
  <c r="F22" i="14"/>
  <c r="F21" i="14"/>
  <c r="F20" i="14"/>
  <c r="K19" i="14"/>
  <c r="I19" i="14"/>
  <c r="I23" i="14" s="1"/>
  <c r="F19" i="14"/>
  <c r="F18" i="14"/>
  <c r="F17" i="14"/>
  <c r="F16" i="14"/>
  <c r="F15" i="14"/>
  <c r="F14" i="14"/>
  <c r="L11" i="14"/>
  <c r="H11" i="14"/>
  <c r="G11" i="14"/>
  <c r="D11" i="14"/>
  <c r="N10" i="14"/>
  <c r="C10" i="14"/>
  <c r="N9" i="14"/>
  <c r="C9" i="14"/>
  <c r="N8" i="14"/>
  <c r="C8" i="14"/>
  <c r="N7" i="14"/>
  <c r="N4" i="14"/>
  <c r="N3" i="14"/>
  <c r="K8" i="13"/>
  <c r="K9" i="13"/>
  <c r="K10" i="13"/>
  <c r="K7" i="13"/>
  <c r="B35" i="12"/>
  <c r="G47" i="13"/>
  <c r="D47" i="13"/>
  <c r="B46" i="13"/>
  <c r="F7" i="13" s="1"/>
  <c r="J45" i="13"/>
  <c r="I45" i="13"/>
  <c r="B45" i="13"/>
  <c r="F10" i="13" s="1"/>
  <c r="B44" i="13"/>
  <c r="J43" i="13"/>
  <c r="H43" i="13"/>
  <c r="B43" i="13"/>
  <c r="F9" i="13" s="1"/>
  <c r="J42" i="13"/>
  <c r="K26" i="13" s="1"/>
  <c r="C7" i="13" s="1"/>
  <c r="B42" i="13"/>
  <c r="F8" i="13" s="1"/>
  <c r="F39" i="13"/>
  <c r="N38" i="13"/>
  <c r="K38" i="13"/>
  <c r="E38" i="13"/>
  <c r="G38" i="13" s="1"/>
  <c r="C38" i="13"/>
  <c r="O16" i="13" s="1"/>
  <c r="B38" i="13"/>
  <c r="N37" i="13"/>
  <c r="E37" i="13"/>
  <c r="G37" i="13" s="1"/>
  <c r="G36" i="13"/>
  <c r="E35" i="13"/>
  <c r="G35" i="13" s="1"/>
  <c r="E34" i="13"/>
  <c r="G34" i="13" s="1"/>
  <c r="K33" i="13"/>
  <c r="N36" i="13" s="1"/>
  <c r="O31" i="13"/>
  <c r="F30" i="13"/>
  <c r="O29" i="13"/>
  <c r="F29" i="13"/>
  <c r="O28" i="13"/>
  <c r="F28" i="13"/>
  <c r="F27" i="13"/>
  <c r="P26" i="13"/>
  <c r="O26" i="13"/>
  <c r="F26" i="13"/>
  <c r="I25" i="13"/>
  <c r="I28" i="13" s="1"/>
  <c r="F25" i="13"/>
  <c r="F24" i="13"/>
  <c r="F23" i="13"/>
  <c r="O22" i="13"/>
  <c r="F22" i="13"/>
  <c r="F21" i="13"/>
  <c r="F20" i="13"/>
  <c r="K19" i="13"/>
  <c r="I19" i="13"/>
  <c r="I23" i="13" s="1"/>
  <c r="F19" i="13"/>
  <c r="F18" i="13"/>
  <c r="F17" i="13"/>
  <c r="F16" i="13"/>
  <c r="F15" i="13"/>
  <c r="F14" i="13"/>
  <c r="L11" i="13"/>
  <c r="H11" i="13"/>
  <c r="G11" i="13"/>
  <c r="D11" i="13"/>
  <c r="N10" i="13"/>
  <c r="P31" i="13" s="1"/>
  <c r="C10" i="13"/>
  <c r="N9" i="13"/>
  <c r="C9" i="13"/>
  <c r="N8" i="13"/>
  <c r="C8" i="13"/>
  <c r="N7" i="13"/>
  <c r="N4" i="13"/>
  <c r="N3" i="13"/>
  <c r="I33" i="12"/>
  <c r="K38" i="12"/>
  <c r="O18" i="12"/>
  <c r="K8" i="12"/>
  <c r="K9" i="12"/>
  <c r="K10" i="12"/>
  <c r="K7" i="12"/>
  <c r="G47" i="12"/>
  <c r="D47" i="12"/>
  <c r="B46" i="12"/>
  <c r="F7" i="12" s="1"/>
  <c r="J45" i="12"/>
  <c r="I45" i="12"/>
  <c r="H45" i="12"/>
  <c r="B45" i="12"/>
  <c r="F10" i="12" s="1"/>
  <c r="B44" i="12"/>
  <c r="J43" i="12"/>
  <c r="H43" i="12" s="1"/>
  <c r="B43" i="12"/>
  <c r="F9" i="12" s="1"/>
  <c r="J42" i="12"/>
  <c r="K26" i="12" s="1"/>
  <c r="C7" i="12" s="1"/>
  <c r="B42" i="12"/>
  <c r="F8" i="12" s="1"/>
  <c r="I8" i="12" s="1"/>
  <c r="F39" i="12"/>
  <c r="N38" i="12"/>
  <c r="E38" i="12"/>
  <c r="G38" i="12" s="1"/>
  <c r="C38" i="12"/>
  <c r="O16" i="12" s="1"/>
  <c r="B38" i="12"/>
  <c r="O15" i="12" s="1"/>
  <c r="N37" i="12"/>
  <c r="N39" i="12" s="1"/>
  <c r="E37" i="12"/>
  <c r="G37" i="12" s="1"/>
  <c r="G36" i="12"/>
  <c r="E35" i="12"/>
  <c r="G35" i="12" s="1"/>
  <c r="E34" i="12"/>
  <c r="G34" i="12" s="1"/>
  <c r="K33" i="12"/>
  <c r="N36" i="12" s="1"/>
  <c r="O31" i="12"/>
  <c r="F30" i="12"/>
  <c r="O29" i="12"/>
  <c r="F29" i="12"/>
  <c r="O28" i="12"/>
  <c r="F28" i="12"/>
  <c r="F27" i="12"/>
  <c r="P26" i="12"/>
  <c r="O26" i="12"/>
  <c r="F26" i="12"/>
  <c r="I25" i="12"/>
  <c r="I28" i="12" s="1"/>
  <c r="F25" i="12"/>
  <c r="F24" i="12"/>
  <c r="F23" i="12"/>
  <c r="O22" i="12"/>
  <c r="F22" i="12"/>
  <c r="F21" i="12"/>
  <c r="F20" i="12"/>
  <c r="K19" i="12"/>
  <c r="I19" i="12"/>
  <c r="I23" i="12" s="1"/>
  <c r="F19" i="12"/>
  <c r="F18" i="12"/>
  <c r="F17" i="12"/>
  <c r="F16" i="12"/>
  <c r="F15" i="12"/>
  <c r="F14" i="12"/>
  <c r="L11" i="12"/>
  <c r="H11" i="12"/>
  <c r="G11" i="12"/>
  <c r="D11" i="12"/>
  <c r="N10" i="12"/>
  <c r="C10" i="12"/>
  <c r="N9" i="12"/>
  <c r="C9" i="12"/>
  <c r="N8" i="12"/>
  <c r="C8" i="12"/>
  <c r="N7" i="12"/>
  <c r="N4" i="12"/>
  <c r="N3" i="12"/>
  <c r="O28" i="11"/>
  <c r="K38" i="11"/>
  <c r="K8" i="11"/>
  <c r="K9" i="11"/>
  <c r="K10" i="11"/>
  <c r="K7" i="11"/>
  <c r="G47" i="11"/>
  <c r="D47" i="11"/>
  <c r="B46" i="11"/>
  <c r="F7" i="11" s="1"/>
  <c r="M7" i="11" s="1"/>
  <c r="J45" i="11"/>
  <c r="I45" i="11"/>
  <c r="B45" i="11"/>
  <c r="F10" i="11" s="1"/>
  <c r="M10" i="11" s="1"/>
  <c r="B44" i="11"/>
  <c r="J43" i="11"/>
  <c r="B43" i="11"/>
  <c r="F9" i="11" s="1"/>
  <c r="M9" i="11" s="1"/>
  <c r="J42" i="11"/>
  <c r="K26" i="11" s="1"/>
  <c r="C7" i="11" s="1"/>
  <c r="B42" i="11"/>
  <c r="F8" i="11" s="1"/>
  <c r="M8" i="11" s="1"/>
  <c r="F39" i="11"/>
  <c r="N38" i="11"/>
  <c r="E38" i="11"/>
  <c r="G38" i="11" s="1"/>
  <c r="C38" i="11"/>
  <c r="O16" i="11" s="1"/>
  <c r="B38" i="11"/>
  <c r="O15" i="11" s="1"/>
  <c r="N37" i="11"/>
  <c r="E37" i="11"/>
  <c r="G37" i="11" s="1"/>
  <c r="G36" i="11"/>
  <c r="E35" i="11"/>
  <c r="G35" i="11" s="1"/>
  <c r="E34" i="11"/>
  <c r="G34" i="11" s="1"/>
  <c r="K33" i="11"/>
  <c r="N36" i="11" s="1"/>
  <c r="O31" i="11"/>
  <c r="F30" i="11"/>
  <c r="O29" i="11"/>
  <c r="F29" i="11"/>
  <c r="F28" i="11"/>
  <c r="F27" i="11"/>
  <c r="P26" i="11"/>
  <c r="O26" i="11"/>
  <c r="F26" i="11"/>
  <c r="I25" i="11"/>
  <c r="I28" i="11" s="1"/>
  <c r="F25" i="11"/>
  <c r="F24" i="11"/>
  <c r="F23" i="11"/>
  <c r="O22" i="11"/>
  <c r="F22" i="11"/>
  <c r="F21" i="11"/>
  <c r="F20" i="11"/>
  <c r="K19" i="11"/>
  <c r="I19" i="11"/>
  <c r="I23" i="11" s="1"/>
  <c r="F19" i="11"/>
  <c r="F18" i="11"/>
  <c r="F17" i="11"/>
  <c r="F16" i="11"/>
  <c r="F15" i="11"/>
  <c r="F14" i="11"/>
  <c r="L11" i="11"/>
  <c r="H11" i="11"/>
  <c r="G11" i="11"/>
  <c r="D11" i="11"/>
  <c r="N10" i="11"/>
  <c r="C10" i="11"/>
  <c r="N9" i="11"/>
  <c r="C9" i="11"/>
  <c r="N8" i="11"/>
  <c r="C8" i="11"/>
  <c r="N7" i="11"/>
  <c r="N4" i="11"/>
  <c r="N3" i="11"/>
  <c r="K8" i="10"/>
  <c r="K9" i="10"/>
  <c r="K10" i="10"/>
  <c r="K7" i="10"/>
  <c r="G47" i="10"/>
  <c r="D47" i="10"/>
  <c r="B46" i="10"/>
  <c r="F7" i="10" s="1"/>
  <c r="J45" i="10"/>
  <c r="I45" i="10"/>
  <c r="B45" i="10"/>
  <c r="F10" i="10" s="1"/>
  <c r="M10" i="10" s="1"/>
  <c r="B44" i="10"/>
  <c r="J43" i="10"/>
  <c r="B43" i="10"/>
  <c r="F9" i="10" s="1"/>
  <c r="J42" i="10"/>
  <c r="K26" i="10" s="1"/>
  <c r="C7" i="10" s="1"/>
  <c r="B42" i="10"/>
  <c r="F39" i="10"/>
  <c r="N38" i="10"/>
  <c r="K38" i="10"/>
  <c r="E38" i="10"/>
  <c r="G38" i="10" s="1"/>
  <c r="C38" i="10"/>
  <c r="O16" i="10" s="1"/>
  <c r="B38" i="10"/>
  <c r="O15" i="10" s="1"/>
  <c r="N37" i="10"/>
  <c r="E37" i="10"/>
  <c r="G37" i="10" s="1"/>
  <c r="G36" i="10"/>
  <c r="E35" i="10"/>
  <c r="G35" i="10" s="1"/>
  <c r="E34" i="10"/>
  <c r="G34" i="10" s="1"/>
  <c r="K33" i="10"/>
  <c r="N36" i="10" s="1"/>
  <c r="O31" i="10"/>
  <c r="F30" i="10"/>
  <c r="O29" i="10"/>
  <c r="F29" i="10"/>
  <c r="O28" i="10"/>
  <c r="F28" i="10"/>
  <c r="F27" i="10"/>
  <c r="P26" i="10"/>
  <c r="O26" i="10"/>
  <c r="F26" i="10"/>
  <c r="I25" i="10"/>
  <c r="I28" i="10" s="1"/>
  <c r="F25" i="10"/>
  <c r="F24" i="10"/>
  <c r="F23" i="10"/>
  <c r="O22" i="10"/>
  <c r="F22" i="10"/>
  <c r="F21" i="10"/>
  <c r="F20" i="10"/>
  <c r="K19" i="10"/>
  <c r="I19" i="10"/>
  <c r="I23" i="10" s="1"/>
  <c r="F19" i="10"/>
  <c r="F18" i="10"/>
  <c r="F17" i="10"/>
  <c r="F16" i="10"/>
  <c r="F15" i="10"/>
  <c r="F14" i="10"/>
  <c r="L11" i="10"/>
  <c r="H11" i="10"/>
  <c r="G11" i="10"/>
  <c r="D11" i="10"/>
  <c r="N10" i="10"/>
  <c r="C10" i="10"/>
  <c r="N9" i="10"/>
  <c r="C9" i="10"/>
  <c r="N8" i="10"/>
  <c r="C8" i="10"/>
  <c r="N7" i="10"/>
  <c r="N4" i="10"/>
  <c r="N3" i="10"/>
  <c r="K8" i="9"/>
  <c r="K9" i="9"/>
  <c r="K10" i="9"/>
  <c r="K7" i="9"/>
  <c r="G47" i="9"/>
  <c r="D47" i="9"/>
  <c r="B46" i="9"/>
  <c r="F7" i="9" s="1"/>
  <c r="I7" i="9" s="1"/>
  <c r="J45" i="9"/>
  <c r="I45" i="9"/>
  <c r="H45" i="9"/>
  <c r="B45" i="9"/>
  <c r="F10" i="9" s="1"/>
  <c r="B44" i="9"/>
  <c r="J43" i="9"/>
  <c r="H43" i="9" s="1"/>
  <c r="B43" i="9"/>
  <c r="F9" i="9" s="1"/>
  <c r="J42" i="9"/>
  <c r="K26" i="9" s="1"/>
  <c r="C7" i="9" s="1"/>
  <c r="B42" i="9"/>
  <c r="F8" i="9" s="1"/>
  <c r="F39" i="9"/>
  <c r="N38" i="9"/>
  <c r="K38" i="9"/>
  <c r="E38" i="9"/>
  <c r="G38" i="9" s="1"/>
  <c r="C38" i="9"/>
  <c r="O16" i="9" s="1"/>
  <c r="B38" i="9"/>
  <c r="O15" i="9" s="1"/>
  <c r="N37" i="9"/>
  <c r="E37" i="9"/>
  <c r="G37" i="9" s="1"/>
  <c r="G36" i="9"/>
  <c r="E35" i="9"/>
  <c r="G35" i="9" s="1"/>
  <c r="E34" i="9"/>
  <c r="G34" i="9" s="1"/>
  <c r="K33" i="9"/>
  <c r="N36" i="9" s="1"/>
  <c r="O31" i="9"/>
  <c r="F30" i="9"/>
  <c r="O29" i="9"/>
  <c r="F29" i="9"/>
  <c r="O28" i="9"/>
  <c r="F28" i="9"/>
  <c r="F27" i="9"/>
  <c r="P26" i="9"/>
  <c r="O26" i="9"/>
  <c r="F26" i="9"/>
  <c r="I25" i="9"/>
  <c r="I28" i="9" s="1"/>
  <c r="F25" i="9"/>
  <c r="F24" i="9"/>
  <c r="F23" i="9"/>
  <c r="O22" i="9"/>
  <c r="F22" i="9"/>
  <c r="F21" i="9"/>
  <c r="F20" i="9"/>
  <c r="K19" i="9"/>
  <c r="I19" i="9"/>
  <c r="I23" i="9" s="1"/>
  <c r="F19" i="9"/>
  <c r="F18" i="9"/>
  <c r="F17" i="9"/>
  <c r="F16" i="9"/>
  <c r="F15" i="9"/>
  <c r="F14" i="9"/>
  <c r="L11" i="9"/>
  <c r="H11" i="9"/>
  <c r="G11" i="9"/>
  <c r="D11" i="9"/>
  <c r="N10" i="9"/>
  <c r="C10" i="9"/>
  <c r="N9" i="9"/>
  <c r="C9" i="9"/>
  <c r="N8" i="9"/>
  <c r="C8" i="9"/>
  <c r="N7" i="9"/>
  <c r="N4" i="9"/>
  <c r="N3" i="9"/>
  <c r="K8" i="8"/>
  <c r="K9" i="8"/>
  <c r="K10" i="8"/>
  <c r="K7" i="8"/>
  <c r="G47" i="8"/>
  <c r="D47" i="8"/>
  <c r="B46" i="8"/>
  <c r="F7" i="8" s="1"/>
  <c r="J45" i="8"/>
  <c r="I45" i="8"/>
  <c r="B45" i="8"/>
  <c r="F10" i="8" s="1"/>
  <c r="B44" i="8"/>
  <c r="J43" i="8"/>
  <c r="H43" i="8" s="1"/>
  <c r="B43" i="8"/>
  <c r="F9" i="8" s="1"/>
  <c r="J42" i="8"/>
  <c r="K26" i="8" s="1"/>
  <c r="C7" i="8" s="1"/>
  <c r="B42" i="8"/>
  <c r="F8" i="8" s="1"/>
  <c r="F39" i="8"/>
  <c r="N38" i="8"/>
  <c r="K38" i="8"/>
  <c r="E38" i="8"/>
  <c r="G38" i="8" s="1"/>
  <c r="C38" i="8"/>
  <c r="O16" i="8" s="1"/>
  <c r="B38" i="8"/>
  <c r="O15" i="8" s="1"/>
  <c r="N37" i="8"/>
  <c r="N39" i="8" s="1"/>
  <c r="E37" i="8"/>
  <c r="G37" i="8" s="1"/>
  <c r="G36" i="8"/>
  <c r="E35" i="8"/>
  <c r="G35" i="8" s="1"/>
  <c r="E34" i="8"/>
  <c r="G34" i="8" s="1"/>
  <c r="K33" i="8"/>
  <c r="N36" i="8" s="1"/>
  <c r="O31" i="8"/>
  <c r="F30" i="8"/>
  <c r="O29" i="8"/>
  <c r="F29" i="8"/>
  <c r="O28" i="8"/>
  <c r="F28" i="8"/>
  <c r="F27" i="8"/>
  <c r="P26" i="8"/>
  <c r="O26" i="8"/>
  <c r="F26" i="8"/>
  <c r="I25" i="8"/>
  <c r="I28" i="8" s="1"/>
  <c r="F25" i="8"/>
  <c r="F24" i="8"/>
  <c r="F23" i="8"/>
  <c r="O22" i="8"/>
  <c r="F22" i="8"/>
  <c r="F21" i="8"/>
  <c r="F20" i="8"/>
  <c r="K19" i="8"/>
  <c r="I19" i="8"/>
  <c r="I23" i="8" s="1"/>
  <c r="F19" i="8"/>
  <c r="F18" i="8"/>
  <c r="F17" i="8"/>
  <c r="F16" i="8"/>
  <c r="F15" i="8"/>
  <c r="F14" i="8"/>
  <c r="L11" i="8"/>
  <c r="H11" i="8"/>
  <c r="G11" i="8"/>
  <c r="D11" i="8"/>
  <c r="N10" i="8"/>
  <c r="C10" i="8"/>
  <c r="N9" i="8"/>
  <c r="C9" i="8"/>
  <c r="N8" i="8"/>
  <c r="C8" i="8"/>
  <c r="N7" i="8"/>
  <c r="N4" i="8"/>
  <c r="N3" i="8"/>
  <c r="K8" i="7"/>
  <c r="K9" i="7"/>
  <c r="K10" i="7"/>
  <c r="K7" i="7"/>
  <c r="G47" i="7"/>
  <c r="D47" i="7"/>
  <c r="B46" i="7"/>
  <c r="F7" i="7" s="1"/>
  <c r="J45" i="7"/>
  <c r="I45" i="7"/>
  <c r="B45" i="7"/>
  <c r="F10" i="7" s="1"/>
  <c r="B44" i="7"/>
  <c r="J43" i="7"/>
  <c r="H43" i="7" s="1"/>
  <c r="B43" i="7"/>
  <c r="F9" i="7" s="1"/>
  <c r="J42" i="7"/>
  <c r="K26" i="7" s="1"/>
  <c r="C7" i="7" s="1"/>
  <c r="B42" i="7"/>
  <c r="F39" i="7"/>
  <c r="N38" i="7"/>
  <c r="K38" i="7"/>
  <c r="E38" i="7"/>
  <c r="G38" i="7" s="1"/>
  <c r="C38" i="7"/>
  <c r="O16" i="7" s="1"/>
  <c r="B38" i="7"/>
  <c r="O15" i="7" s="1"/>
  <c r="N37" i="7"/>
  <c r="E37" i="7"/>
  <c r="G37" i="7" s="1"/>
  <c r="G36" i="7"/>
  <c r="E35" i="7"/>
  <c r="G35" i="7" s="1"/>
  <c r="E34" i="7"/>
  <c r="G34" i="7" s="1"/>
  <c r="K33" i="7"/>
  <c r="N36" i="7" s="1"/>
  <c r="O31" i="7"/>
  <c r="F30" i="7"/>
  <c r="O29" i="7"/>
  <c r="F29" i="7"/>
  <c r="O28" i="7"/>
  <c r="F28" i="7"/>
  <c r="F27" i="7"/>
  <c r="P26" i="7"/>
  <c r="O26" i="7"/>
  <c r="F26" i="7"/>
  <c r="I25" i="7"/>
  <c r="I28" i="7" s="1"/>
  <c r="F25" i="7"/>
  <c r="F24" i="7"/>
  <c r="F23" i="7"/>
  <c r="O22" i="7"/>
  <c r="F22" i="7"/>
  <c r="F21" i="7"/>
  <c r="F20" i="7"/>
  <c r="K19" i="7"/>
  <c r="I19" i="7"/>
  <c r="I23" i="7" s="1"/>
  <c r="F19" i="7"/>
  <c r="F18" i="7"/>
  <c r="F17" i="7"/>
  <c r="F16" i="7"/>
  <c r="F15" i="7"/>
  <c r="F14" i="7"/>
  <c r="L11" i="7"/>
  <c r="H11" i="7"/>
  <c r="G11" i="7"/>
  <c r="D11" i="7"/>
  <c r="N10" i="7"/>
  <c r="C10" i="7"/>
  <c r="N9" i="7"/>
  <c r="C9" i="7"/>
  <c r="N8" i="7"/>
  <c r="C8" i="7"/>
  <c r="N7" i="7"/>
  <c r="N4" i="7"/>
  <c r="N3" i="7"/>
  <c r="K8" i="6"/>
  <c r="K9" i="6"/>
  <c r="K10" i="6"/>
  <c r="K7" i="6"/>
  <c r="G47" i="6"/>
  <c r="D47" i="6"/>
  <c r="B46" i="6"/>
  <c r="J45" i="6"/>
  <c r="I45" i="6"/>
  <c r="B45" i="6"/>
  <c r="F10" i="6" s="1"/>
  <c r="B44" i="6"/>
  <c r="J43" i="6"/>
  <c r="H43" i="6" s="1"/>
  <c r="B43" i="6"/>
  <c r="F9" i="6" s="1"/>
  <c r="J42" i="6"/>
  <c r="K26" i="6" s="1"/>
  <c r="C7" i="6" s="1"/>
  <c r="B42" i="6"/>
  <c r="F39" i="6"/>
  <c r="N38" i="6"/>
  <c r="K38" i="6"/>
  <c r="E38" i="6"/>
  <c r="G38" i="6" s="1"/>
  <c r="C38" i="6"/>
  <c r="O16" i="6" s="1"/>
  <c r="B38" i="6"/>
  <c r="O15" i="6" s="1"/>
  <c r="N37" i="6"/>
  <c r="E37" i="6"/>
  <c r="G37" i="6" s="1"/>
  <c r="G36" i="6"/>
  <c r="E35" i="6"/>
  <c r="G35" i="6" s="1"/>
  <c r="E34" i="6"/>
  <c r="G34" i="6" s="1"/>
  <c r="K33" i="6"/>
  <c r="N36" i="6" s="1"/>
  <c r="O31" i="6"/>
  <c r="F30" i="6"/>
  <c r="O29" i="6"/>
  <c r="F29" i="6"/>
  <c r="O28" i="6"/>
  <c r="F28" i="6"/>
  <c r="F27" i="6"/>
  <c r="P26" i="6"/>
  <c r="O26" i="6"/>
  <c r="F26" i="6"/>
  <c r="I25" i="6"/>
  <c r="I28" i="6" s="1"/>
  <c r="F25" i="6"/>
  <c r="F24" i="6"/>
  <c r="F23" i="6"/>
  <c r="O22" i="6"/>
  <c r="F22" i="6"/>
  <c r="F21" i="6"/>
  <c r="F20" i="6"/>
  <c r="K19" i="6"/>
  <c r="I19" i="6"/>
  <c r="I23" i="6" s="1"/>
  <c r="F19" i="6"/>
  <c r="F18" i="6"/>
  <c r="F17" i="6"/>
  <c r="F16" i="6"/>
  <c r="F15" i="6"/>
  <c r="F14" i="6"/>
  <c r="L11" i="6"/>
  <c r="H11" i="6"/>
  <c r="G11" i="6"/>
  <c r="D11" i="6"/>
  <c r="N10" i="6"/>
  <c r="C10" i="6"/>
  <c r="N9" i="6"/>
  <c r="C9" i="6"/>
  <c r="N8" i="6"/>
  <c r="C8" i="6"/>
  <c r="N7" i="6"/>
  <c r="F7" i="6"/>
  <c r="N4" i="6"/>
  <c r="N3" i="6"/>
  <c r="K34" i="3"/>
  <c r="K8" i="5"/>
  <c r="K9" i="5"/>
  <c r="K10" i="5"/>
  <c r="K7" i="5"/>
  <c r="F15" i="5"/>
  <c r="G47" i="5"/>
  <c r="D47" i="5"/>
  <c r="B46" i="5"/>
  <c r="F7" i="5" s="1"/>
  <c r="J45" i="5"/>
  <c r="I45" i="5"/>
  <c r="B45" i="5"/>
  <c r="F10" i="5" s="1"/>
  <c r="M10" i="5" s="1"/>
  <c r="B44" i="5"/>
  <c r="J43" i="5"/>
  <c r="H43" i="5" s="1"/>
  <c r="B43" i="5"/>
  <c r="F9" i="5" s="1"/>
  <c r="J42" i="5"/>
  <c r="K26" i="5" s="1"/>
  <c r="C7" i="5" s="1"/>
  <c r="B42" i="5"/>
  <c r="F8" i="5" s="1"/>
  <c r="M8" i="5" s="1"/>
  <c r="F39" i="5"/>
  <c r="N38" i="5"/>
  <c r="K38" i="5"/>
  <c r="E38" i="5"/>
  <c r="G38" i="5" s="1"/>
  <c r="C38" i="5"/>
  <c r="O16" i="5" s="1"/>
  <c r="B38" i="5"/>
  <c r="O15" i="5" s="1"/>
  <c r="N37" i="5"/>
  <c r="E37" i="5"/>
  <c r="G37" i="5" s="1"/>
  <c r="G36" i="5"/>
  <c r="E35" i="5"/>
  <c r="G35" i="5" s="1"/>
  <c r="E34" i="5"/>
  <c r="G34" i="5" s="1"/>
  <c r="K33" i="5"/>
  <c r="N36" i="5" s="1"/>
  <c r="O31" i="5"/>
  <c r="F30" i="5"/>
  <c r="O29" i="5"/>
  <c r="F29" i="5"/>
  <c r="O28" i="5"/>
  <c r="F28" i="5"/>
  <c r="F27" i="5"/>
  <c r="P26" i="5"/>
  <c r="O26" i="5"/>
  <c r="F26" i="5"/>
  <c r="I25" i="5"/>
  <c r="I28" i="5" s="1"/>
  <c r="F25" i="5"/>
  <c r="F24" i="5"/>
  <c r="F23" i="5"/>
  <c r="O22" i="5"/>
  <c r="F22" i="5"/>
  <c r="F21" i="5"/>
  <c r="F20" i="5"/>
  <c r="K19" i="5"/>
  <c r="I19" i="5"/>
  <c r="I23" i="5" s="1"/>
  <c r="F19" i="5"/>
  <c r="F18" i="5"/>
  <c r="F17" i="5"/>
  <c r="F16" i="5"/>
  <c r="F14" i="5"/>
  <c r="L11" i="5"/>
  <c r="H11" i="5"/>
  <c r="G11" i="5"/>
  <c r="D11" i="5"/>
  <c r="N10" i="5"/>
  <c r="C10" i="5"/>
  <c r="N9" i="5"/>
  <c r="C9" i="5"/>
  <c r="N8" i="5"/>
  <c r="C8" i="5"/>
  <c r="N7" i="5"/>
  <c r="N4" i="5"/>
  <c r="N3" i="5"/>
  <c r="K8" i="4"/>
  <c r="K9" i="4"/>
  <c r="K10" i="4"/>
  <c r="K7" i="4"/>
  <c r="H45" i="26" l="1"/>
  <c r="K47" i="26"/>
  <c r="P29" i="25"/>
  <c r="P29" i="24"/>
  <c r="K11" i="16"/>
  <c r="P31" i="9"/>
  <c r="N10" i="32"/>
  <c r="P10" i="32" s="1"/>
  <c r="J10" i="32"/>
  <c r="N9" i="32"/>
  <c r="P9" i="32" s="1"/>
  <c r="J9" i="32"/>
  <c r="J11" i="32" s="1"/>
  <c r="J54" i="32"/>
  <c r="J23" i="32"/>
  <c r="N10" i="30"/>
  <c r="P10" i="30" s="1"/>
  <c r="H46" i="30"/>
  <c r="J8" i="29"/>
  <c r="B47" i="28"/>
  <c r="H11" i="28"/>
  <c r="Q31" i="27"/>
  <c r="O39" i="27"/>
  <c r="L11" i="28"/>
  <c r="Q29" i="27"/>
  <c r="G10" i="27"/>
  <c r="P29" i="26"/>
  <c r="G39" i="26"/>
  <c r="L11" i="27"/>
  <c r="P31" i="25"/>
  <c r="K11" i="26"/>
  <c r="O9" i="24"/>
  <c r="N39" i="24"/>
  <c r="P31" i="24"/>
  <c r="G39" i="24"/>
  <c r="C11" i="24"/>
  <c r="H45" i="23"/>
  <c r="P29" i="23"/>
  <c r="O9" i="23"/>
  <c r="P28" i="23"/>
  <c r="N39" i="23"/>
  <c r="O10" i="23"/>
  <c r="P28" i="22"/>
  <c r="O10" i="22"/>
  <c r="P28" i="21"/>
  <c r="O10" i="21"/>
  <c r="O7" i="21"/>
  <c r="K20" i="21"/>
  <c r="O20" i="21" s="1"/>
  <c r="P29" i="21"/>
  <c r="K47" i="21"/>
  <c r="H45" i="20"/>
  <c r="K47" i="20"/>
  <c r="B39" i="19"/>
  <c r="O10" i="19"/>
  <c r="K47" i="19"/>
  <c r="P28" i="19"/>
  <c r="P29" i="19"/>
  <c r="C11" i="19"/>
  <c r="N39" i="19"/>
  <c r="P31" i="18"/>
  <c r="O10" i="18"/>
  <c r="K11" i="19"/>
  <c r="O10" i="17"/>
  <c r="K47" i="17"/>
  <c r="N39" i="17"/>
  <c r="H45" i="16"/>
  <c r="K20" i="16"/>
  <c r="K23" i="16" s="1"/>
  <c r="O8" i="16"/>
  <c r="B39" i="16"/>
  <c r="K11" i="17"/>
  <c r="O9" i="16"/>
  <c r="P31" i="16"/>
  <c r="K47" i="13"/>
  <c r="H45" i="13"/>
  <c r="C11" i="13"/>
  <c r="N39" i="13"/>
  <c r="K20" i="12"/>
  <c r="O20" i="12" s="1"/>
  <c r="K47" i="12"/>
  <c r="P31" i="12"/>
  <c r="H45" i="11"/>
  <c r="K47" i="11"/>
  <c r="P29" i="11"/>
  <c r="O9" i="11"/>
  <c r="K11" i="12"/>
  <c r="N39" i="11"/>
  <c r="O10" i="11"/>
  <c r="K47" i="10"/>
  <c r="H45" i="10"/>
  <c r="N39" i="10"/>
  <c r="P28" i="10"/>
  <c r="P29" i="10"/>
  <c r="O10" i="10"/>
  <c r="P29" i="9"/>
  <c r="N39" i="9"/>
  <c r="K11" i="10"/>
  <c r="K47" i="8"/>
  <c r="H45" i="7"/>
  <c r="P28" i="7"/>
  <c r="N39" i="7"/>
  <c r="N39" i="6"/>
  <c r="P31" i="6"/>
  <c r="K20" i="6"/>
  <c r="O20" i="6" s="1"/>
  <c r="O8" i="5"/>
  <c r="P29" i="5"/>
  <c r="K47" i="5"/>
  <c r="P28" i="5"/>
  <c r="C11" i="5"/>
  <c r="K11" i="5"/>
  <c r="P31" i="14"/>
  <c r="C11" i="14"/>
  <c r="F31" i="6"/>
  <c r="O21" i="6" s="1"/>
  <c r="P29" i="18"/>
  <c r="K20" i="18"/>
  <c r="O20" i="18" s="1"/>
  <c r="G39" i="14"/>
  <c r="O8" i="11"/>
  <c r="K11" i="23"/>
  <c r="P31" i="8"/>
  <c r="G39" i="23"/>
  <c r="P29" i="6"/>
  <c r="C11" i="9"/>
  <c r="P29" i="12"/>
  <c r="C11" i="16"/>
  <c r="P31" i="5"/>
  <c r="P29" i="16"/>
  <c r="F31" i="22"/>
  <c r="O21" i="22" s="1"/>
  <c r="G11" i="26"/>
  <c r="L20" i="27"/>
  <c r="P20" i="27" s="1"/>
  <c r="H46" i="27" s="1"/>
  <c r="N8" i="32"/>
  <c r="P8" i="32" s="1"/>
  <c r="P11" i="32" s="1"/>
  <c r="P14" i="32" s="1"/>
  <c r="P23" i="32" s="1"/>
  <c r="L39" i="32" s="1"/>
  <c r="G11" i="32"/>
  <c r="O14" i="32" s="1"/>
  <c r="F31" i="7"/>
  <c r="O21" i="7" s="1"/>
  <c r="P28" i="17"/>
  <c r="K11" i="20"/>
  <c r="F31" i="24"/>
  <c r="O21" i="24" s="1"/>
  <c r="P29" i="7"/>
  <c r="K20" i="8"/>
  <c r="O20" i="8" s="1"/>
  <c r="Q28" i="27"/>
  <c r="N9" i="29"/>
  <c r="P9" i="29" s="1"/>
  <c r="J9" i="29"/>
  <c r="F31" i="10"/>
  <c r="O21" i="10" s="1"/>
  <c r="K11" i="11"/>
  <c r="K11" i="13"/>
  <c r="B47" i="23"/>
  <c r="F8" i="23"/>
  <c r="I8" i="23" s="1"/>
  <c r="P29" i="13"/>
  <c r="C11" i="20"/>
  <c r="G39" i="7"/>
  <c r="P28" i="14"/>
  <c r="P31" i="20"/>
  <c r="O9" i="20"/>
  <c r="P31" i="22"/>
  <c r="K20" i="22"/>
  <c r="O20" i="22" s="1"/>
  <c r="F31" i="23"/>
  <c r="O21" i="23" s="1"/>
  <c r="K47" i="24"/>
  <c r="N8" i="30"/>
  <c r="P8" i="30" s="1"/>
  <c r="G11" i="30"/>
  <c r="O14" i="30" s="1"/>
  <c r="N10" i="31"/>
  <c r="P10" i="31" s="1"/>
  <c r="H45" i="5"/>
  <c r="K20" i="9"/>
  <c r="O20" i="9" s="1"/>
  <c r="P31" i="17"/>
  <c r="P28" i="18"/>
  <c r="H45" i="18"/>
  <c r="F31" i="25"/>
  <c r="O21" i="25" s="1"/>
  <c r="H45" i="25"/>
  <c r="K11" i="25"/>
  <c r="P20" i="31"/>
  <c r="H46" i="31" s="1"/>
  <c r="G39" i="21"/>
  <c r="K47" i="16"/>
  <c r="N9" i="31"/>
  <c r="P9" i="31" s="1"/>
  <c r="G11" i="31"/>
  <c r="O14" i="31" s="1"/>
  <c r="J9" i="31"/>
  <c r="J11" i="31" s="1"/>
  <c r="C11" i="6"/>
  <c r="N39" i="21"/>
  <c r="C11" i="23"/>
  <c r="L23" i="32"/>
  <c r="P31" i="7"/>
  <c r="H45" i="8"/>
  <c r="K20" i="10"/>
  <c r="O20" i="10" s="1"/>
  <c r="F31" i="18"/>
  <c r="O21" i="18" s="1"/>
  <c r="B39" i="20"/>
  <c r="K20" i="11"/>
  <c r="O20" i="11" s="1"/>
  <c r="G39" i="11"/>
  <c r="N39" i="14"/>
  <c r="K47" i="14"/>
  <c r="F31" i="20"/>
  <c r="O21" i="20" s="1"/>
  <c r="F31" i="21"/>
  <c r="O21" i="21" s="1"/>
  <c r="P31" i="23"/>
  <c r="P29" i="8"/>
  <c r="K47" i="9"/>
  <c r="P31" i="10"/>
  <c r="K20" i="13"/>
  <c r="O20" i="13" s="1"/>
  <c r="P28" i="24"/>
  <c r="P28" i="25"/>
  <c r="K47" i="25"/>
  <c r="K20" i="26"/>
  <c r="O20" i="26" s="1"/>
  <c r="G46" i="26" s="1"/>
  <c r="I45" i="28"/>
  <c r="K47" i="6"/>
  <c r="B39" i="13"/>
  <c r="K11" i="14"/>
  <c r="K47" i="18"/>
  <c r="F31" i="19"/>
  <c r="O21" i="19" s="1"/>
  <c r="O7" i="23"/>
  <c r="Q29" i="28"/>
  <c r="G31" i="28"/>
  <c r="P21" i="28" s="1"/>
  <c r="H46" i="28" s="1"/>
  <c r="N39" i="5"/>
  <c r="K47" i="7"/>
  <c r="P29" i="14"/>
  <c r="P28" i="16"/>
  <c r="N39" i="16"/>
  <c r="P29" i="17"/>
  <c r="O10" i="20"/>
  <c r="K47" i="23"/>
  <c r="P28" i="26"/>
  <c r="Q31" i="28"/>
  <c r="F31" i="17"/>
  <c r="O21" i="17" s="1"/>
  <c r="G39" i="20"/>
  <c r="K11" i="21"/>
  <c r="K47" i="22"/>
  <c r="K20" i="23"/>
  <c r="O20" i="23" s="1"/>
  <c r="G39" i="25"/>
  <c r="F10" i="26"/>
  <c r="I10" i="26" s="1"/>
  <c r="L47" i="27"/>
  <c r="G9" i="28"/>
  <c r="N9" i="28" s="1"/>
  <c r="P9" i="28" s="1"/>
  <c r="O10" i="5"/>
  <c r="K11" i="7"/>
  <c r="C11" i="8"/>
  <c r="G39" i="13"/>
  <c r="K20" i="17"/>
  <c r="O20" i="17" s="1"/>
  <c r="G46" i="17" s="1"/>
  <c r="K11" i="18"/>
  <c r="P31" i="19"/>
  <c r="N39" i="20"/>
  <c r="P29" i="22"/>
  <c r="N39" i="22"/>
  <c r="K11" i="24"/>
  <c r="L20" i="28"/>
  <c r="P20" i="28" s="1"/>
  <c r="N11" i="31"/>
  <c r="P7" i="31"/>
  <c r="P11" i="31" s="1"/>
  <c r="P14" i="31" s="1"/>
  <c r="L23" i="30"/>
  <c r="P7" i="30"/>
  <c r="J11" i="30"/>
  <c r="J10" i="29"/>
  <c r="N10" i="29"/>
  <c r="P10" i="29" s="1"/>
  <c r="P7" i="29"/>
  <c r="G11" i="29"/>
  <c r="O14" i="29" s="1"/>
  <c r="P20" i="29"/>
  <c r="H46" i="29" s="1"/>
  <c r="L23" i="29"/>
  <c r="L47" i="28"/>
  <c r="B39" i="28"/>
  <c r="O39" i="28"/>
  <c r="N7" i="28"/>
  <c r="P7" i="28" s="1"/>
  <c r="G8" i="28"/>
  <c r="N8" i="28" s="1"/>
  <c r="P8" i="28" s="1"/>
  <c r="L23" i="28"/>
  <c r="H39" i="28"/>
  <c r="C11" i="28"/>
  <c r="G10" i="28"/>
  <c r="Q28" i="28"/>
  <c r="J9" i="28"/>
  <c r="I43" i="28"/>
  <c r="C11" i="27"/>
  <c r="G9" i="27"/>
  <c r="N9" i="27" s="1"/>
  <c r="P9" i="27" s="1"/>
  <c r="G31" i="27"/>
  <c r="P21" i="27" s="1"/>
  <c r="B39" i="27"/>
  <c r="B47" i="27"/>
  <c r="P7" i="27"/>
  <c r="H39" i="27"/>
  <c r="N10" i="27"/>
  <c r="P10" i="27" s="1"/>
  <c r="J10" i="27"/>
  <c r="I45" i="27"/>
  <c r="H8" i="27"/>
  <c r="J7" i="27"/>
  <c r="F8" i="26"/>
  <c r="N39" i="26"/>
  <c r="C11" i="26"/>
  <c r="F31" i="26"/>
  <c r="O21" i="26" s="1"/>
  <c r="B47" i="26"/>
  <c r="B39" i="26"/>
  <c r="P31" i="26"/>
  <c r="M7" i="26"/>
  <c r="K38" i="25"/>
  <c r="N38" i="25"/>
  <c r="N39" i="25" s="1"/>
  <c r="C11" i="25"/>
  <c r="B39" i="25"/>
  <c r="I8" i="25"/>
  <c r="M8" i="25"/>
  <c r="O8" i="25" s="1"/>
  <c r="I9" i="25"/>
  <c r="M9" i="25"/>
  <c r="O9" i="25" s="1"/>
  <c r="M10" i="25"/>
  <c r="O10" i="25" s="1"/>
  <c r="I10" i="25"/>
  <c r="F11" i="25"/>
  <c r="N14" i="25" s="1"/>
  <c r="M7" i="25"/>
  <c r="I7" i="25"/>
  <c r="K20" i="25"/>
  <c r="O20" i="25" s="1"/>
  <c r="G46" i="25" s="1"/>
  <c r="B47" i="25"/>
  <c r="B39" i="24"/>
  <c r="I9" i="24"/>
  <c r="M8" i="24"/>
  <c r="O8" i="24" s="1"/>
  <c r="I8" i="24"/>
  <c r="M10" i="24"/>
  <c r="O10" i="24" s="1"/>
  <c r="I10" i="24"/>
  <c r="O7" i="24"/>
  <c r="I7" i="24"/>
  <c r="H45" i="24"/>
  <c r="F11" i="24"/>
  <c r="N14" i="24" s="1"/>
  <c r="B47" i="24"/>
  <c r="K20" i="24"/>
  <c r="O20" i="24" s="1"/>
  <c r="I7" i="23"/>
  <c r="I9" i="23"/>
  <c r="B39" i="23"/>
  <c r="I10" i="23"/>
  <c r="H43" i="23"/>
  <c r="C11" i="22"/>
  <c r="B39" i="22"/>
  <c r="I9" i="22"/>
  <c r="M9" i="22"/>
  <c r="O9" i="22" s="1"/>
  <c r="B47" i="22"/>
  <c r="O7" i="22"/>
  <c r="G39" i="22"/>
  <c r="I8" i="22"/>
  <c r="F11" i="22"/>
  <c r="N14" i="22" s="1"/>
  <c r="M8" i="22"/>
  <c r="O8" i="22" s="1"/>
  <c r="I7" i="22"/>
  <c r="I10" i="22"/>
  <c r="H43" i="22"/>
  <c r="C11" i="21"/>
  <c r="B39" i="21"/>
  <c r="I7" i="21"/>
  <c r="B47" i="21"/>
  <c r="I9" i="21"/>
  <c r="M9" i="21"/>
  <c r="O9" i="21" s="1"/>
  <c r="F11" i="21"/>
  <c r="N14" i="21" s="1"/>
  <c r="M8" i="21"/>
  <c r="O8" i="21" s="1"/>
  <c r="P31" i="21"/>
  <c r="I10" i="21"/>
  <c r="P29" i="20"/>
  <c r="P28" i="20"/>
  <c r="K20" i="20"/>
  <c r="O20" i="20" s="1"/>
  <c r="O15" i="20"/>
  <c r="B47" i="20"/>
  <c r="F11" i="20"/>
  <c r="N14" i="20" s="1"/>
  <c r="I9" i="20"/>
  <c r="M8" i="20"/>
  <c r="O8" i="20" s="1"/>
  <c r="M7" i="20"/>
  <c r="I10" i="20"/>
  <c r="B47" i="19"/>
  <c r="O15" i="19"/>
  <c r="I9" i="19"/>
  <c r="M9" i="19"/>
  <c r="O9" i="19" s="1"/>
  <c r="F8" i="19"/>
  <c r="F11" i="19" s="1"/>
  <c r="N14" i="19" s="1"/>
  <c r="G39" i="19"/>
  <c r="I7" i="19"/>
  <c r="H45" i="19"/>
  <c r="M7" i="19"/>
  <c r="K20" i="19"/>
  <c r="O20" i="19" s="1"/>
  <c r="I10" i="19"/>
  <c r="B39" i="18"/>
  <c r="I8" i="18"/>
  <c r="F11" i="18"/>
  <c r="N14" i="18" s="1"/>
  <c r="M8" i="18"/>
  <c r="O8" i="18" s="1"/>
  <c r="C11" i="18"/>
  <c r="O7" i="18"/>
  <c r="G39" i="18"/>
  <c r="M9" i="18"/>
  <c r="O9" i="18" s="1"/>
  <c r="I7" i="18"/>
  <c r="I10" i="18"/>
  <c r="B47" i="18"/>
  <c r="H43" i="18"/>
  <c r="B39" i="17"/>
  <c r="C11" i="17"/>
  <c r="I9" i="17"/>
  <c r="M9" i="17"/>
  <c r="O9" i="17" s="1"/>
  <c r="I8" i="17"/>
  <c r="M8" i="17"/>
  <c r="O8" i="17" s="1"/>
  <c r="G39" i="17"/>
  <c r="K23" i="17"/>
  <c r="M7" i="17"/>
  <c r="F11" i="17"/>
  <c r="N14" i="17" s="1"/>
  <c r="I7" i="17"/>
  <c r="H45" i="17"/>
  <c r="I10" i="17"/>
  <c r="B47" i="17"/>
  <c r="B47" i="16"/>
  <c r="I10" i="16"/>
  <c r="M10" i="16"/>
  <c r="O10" i="16" s="1"/>
  <c r="G39" i="16"/>
  <c r="F11" i="16"/>
  <c r="N14" i="16" s="1"/>
  <c r="I7" i="16"/>
  <c r="M7" i="16"/>
  <c r="I9" i="16"/>
  <c r="I8" i="16"/>
  <c r="F24" i="16"/>
  <c r="F31" i="16" s="1"/>
  <c r="O21" i="16" s="1"/>
  <c r="O15" i="16"/>
  <c r="F31" i="14"/>
  <c r="O21" i="14" s="1"/>
  <c r="B39" i="14"/>
  <c r="I9" i="14"/>
  <c r="M9" i="14"/>
  <c r="O9" i="14" s="1"/>
  <c r="M10" i="14"/>
  <c r="O10" i="14" s="1"/>
  <c r="I10" i="14"/>
  <c r="M8" i="14"/>
  <c r="O8" i="14" s="1"/>
  <c r="B47" i="14"/>
  <c r="O7" i="14"/>
  <c r="I7" i="14"/>
  <c r="K20" i="14"/>
  <c r="O20" i="14" s="1"/>
  <c r="F11" i="14"/>
  <c r="N14" i="14" s="1"/>
  <c r="H43" i="14"/>
  <c r="F31" i="13"/>
  <c r="O21" i="13" s="1"/>
  <c r="O15" i="13"/>
  <c r="M10" i="13"/>
  <c r="O10" i="13" s="1"/>
  <c r="I10" i="13"/>
  <c r="F11" i="13"/>
  <c r="N14" i="13" s="1"/>
  <c r="M7" i="13"/>
  <c r="I7" i="13"/>
  <c r="M8" i="13"/>
  <c r="O8" i="13" s="1"/>
  <c r="I8" i="13"/>
  <c r="M9" i="13"/>
  <c r="O9" i="13" s="1"/>
  <c r="I9" i="13"/>
  <c r="P28" i="13"/>
  <c r="B47" i="13"/>
  <c r="I9" i="12"/>
  <c r="M9" i="12"/>
  <c r="O9" i="12" s="1"/>
  <c r="F11" i="12"/>
  <c r="N14" i="12" s="1"/>
  <c r="B47" i="12"/>
  <c r="M8" i="12"/>
  <c r="O8" i="12" s="1"/>
  <c r="B39" i="12"/>
  <c r="F31" i="12"/>
  <c r="O21" i="12" s="1"/>
  <c r="C11" i="12"/>
  <c r="M10" i="12"/>
  <c r="O10" i="12" s="1"/>
  <c r="I10" i="12"/>
  <c r="G39" i="12"/>
  <c r="M7" i="12"/>
  <c r="P28" i="12"/>
  <c r="I7" i="12"/>
  <c r="P28" i="11"/>
  <c r="C11" i="11"/>
  <c r="B47" i="11"/>
  <c r="F31" i="11"/>
  <c r="O21" i="11" s="1"/>
  <c r="I10" i="11"/>
  <c r="O7" i="11"/>
  <c r="B39" i="11"/>
  <c r="I9" i="11"/>
  <c r="F11" i="11"/>
  <c r="N14" i="11" s="1"/>
  <c r="I8" i="11"/>
  <c r="I7" i="11"/>
  <c r="P31" i="11"/>
  <c r="H43" i="11"/>
  <c r="B47" i="10"/>
  <c r="B39" i="10"/>
  <c r="F8" i="10"/>
  <c r="I8" i="10" s="1"/>
  <c r="F11" i="10"/>
  <c r="N14" i="10" s="1"/>
  <c r="M7" i="10"/>
  <c r="I7" i="10"/>
  <c r="G39" i="10"/>
  <c r="I9" i="10"/>
  <c r="M9" i="10"/>
  <c r="O9" i="10" s="1"/>
  <c r="C11" i="10"/>
  <c r="I10" i="10"/>
  <c r="H43" i="10"/>
  <c r="K11" i="9"/>
  <c r="F31" i="9"/>
  <c r="O21" i="9" s="1"/>
  <c r="B39" i="9"/>
  <c r="M9" i="9"/>
  <c r="O9" i="9" s="1"/>
  <c r="I9" i="9"/>
  <c r="M10" i="9"/>
  <c r="O10" i="9" s="1"/>
  <c r="I10" i="9"/>
  <c r="G39" i="9"/>
  <c r="I8" i="9"/>
  <c r="M8" i="9"/>
  <c r="O8" i="9" s="1"/>
  <c r="M7" i="9"/>
  <c r="F11" i="9"/>
  <c r="N14" i="9" s="1"/>
  <c r="B47" i="9"/>
  <c r="P28" i="9"/>
  <c r="F31" i="8"/>
  <c r="O21" i="8" s="1"/>
  <c r="K11" i="8"/>
  <c r="B39" i="8"/>
  <c r="G39" i="8"/>
  <c r="F11" i="8"/>
  <c r="N14" i="8" s="1"/>
  <c r="M7" i="8"/>
  <c r="I7" i="8"/>
  <c r="I8" i="8"/>
  <c r="M8" i="8"/>
  <c r="O8" i="8" s="1"/>
  <c r="I9" i="8"/>
  <c r="M9" i="8"/>
  <c r="O9" i="8" s="1"/>
  <c r="M10" i="8"/>
  <c r="O10" i="8" s="1"/>
  <c r="I10" i="8"/>
  <c r="P28" i="8"/>
  <c r="B47" i="8"/>
  <c r="C11" i="7"/>
  <c r="B39" i="7"/>
  <c r="B47" i="7"/>
  <c r="F8" i="7"/>
  <c r="I8" i="7" s="1"/>
  <c r="I9" i="7"/>
  <c r="M9" i="7"/>
  <c r="O9" i="7" s="1"/>
  <c r="M10" i="7"/>
  <c r="O10" i="7" s="1"/>
  <c r="I10" i="7"/>
  <c r="I7" i="7"/>
  <c r="M7" i="7"/>
  <c r="K20" i="7"/>
  <c r="O20" i="7" s="1"/>
  <c r="B47" i="6"/>
  <c r="K11" i="6"/>
  <c r="M9" i="6"/>
  <c r="O9" i="6" s="1"/>
  <c r="I9" i="6"/>
  <c r="I10" i="6"/>
  <c r="M10" i="6"/>
  <c r="O10" i="6" s="1"/>
  <c r="F8" i="6"/>
  <c r="I8" i="6" s="1"/>
  <c r="G39" i="6"/>
  <c r="B39" i="6"/>
  <c r="I7" i="6"/>
  <c r="H45" i="6"/>
  <c r="P28" i="6"/>
  <c r="M7" i="6"/>
  <c r="F31" i="5"/>
  <c r="O21" i="5" s="1"/>
  <c r="B39" i="5"/>
  <c r="M9" i="5"/>
  <c r="O9" i="5" s="1"/>
  <c r="I9" i="5"/>
  <c r="B47" i="5"/>
  <c r="F11" i="5"/>
  <c r="N14" i="5" s="1"/>
  <c r="G39" i="5"/>
  <c r="I8" i="5"/>
  <c r="I7" i="5"/>
  <c r="M7" i="5"/>
  <c r="I10" i="5"/>
  <c r="K20" i="5"/>
  <c r="G47" i="4"/>
  <c r="D47" i="4"/>
  <c r="B46" i="4"/>
  <c r="F7" i="4" s="1"/>
  <c r="M7" i="4" s="1"/>
  <c r="J45" i="4"/>
  <c r="I45" i="4"/>
  <c r="B45" i="4"/>
  <c r="F10" i="4" s="1"/>
  <c r="I10" i="4" s="1"/>
  <c r="B44" i="4"/>
  <c r="J43" i="4"/>
  <c r="H43" i="4" s="1"/>
  <c r="B43" i="4"/>
  <c r="F9" i="4" s="1"/>
  <c r="J42" i="4"/>
  <c r="K26" i="4" s="1"/>
  <c r="C7" i="4" s="1"/>
  <c r="B42" i="4"/>
  <c r="F8" i="4" s="1"/>
  <c r="I8" i="4" s="1"/>
  <c r="F39" i="4"/>
  <c r="N38" i="4"/>
  <c r="K38" i="4"/>
  <c r="E38" i="4"/>
  <c r="G38" i="4" s="1"/>
  <c r="C38" i="4"/>
  <c r="O16" i="4" s="1"/>
  <c r="B38" i="4"/>
  <c r="O15" i="4" s="1"/>
  <c r="N37" i="4"/>
  <c r="E37" i="4"/>
  <c r="G37" i="4" s="1"/>
  <c r="G36" i="4"/>
  <c r="E35" i="4"/>
  <c r="G35" i="4" s="1"/>
  <c r="E34" i="4"/>
  <c r="G34" i="4" s="1"/>
  <c r="K33" i="4"/>
  <c r="N36" i="4" s="1"/>
  <c r="O31" i="4"/>
  <c r="F30" i="4"/>
  <c r="O29" i="4"/>
  <c r="F29" i="4"/>
  <c r="O28" i="4"/>
  <c r="F28" i="4"/>
  <c r="F27" i="4"/>
  <c r="P26" i="4"/>
  <c r="O26" i="4"/>
  <c r="F26" i="4"/>
  <c r="I25" i="4"/>
  <c r="I28" i="4" s="1"/>
  <c r="F25" i="4"/>
  <c r="F24" i="4"/>
  <c r="F23" i="4"/>
  <c r="O22" i="4"/>
  <c r="F22" i="4"/>
  <c r="F21" i="4"/>
  <c r="F20" i="4"/>
  <c r="K19" i="4"/>
  <c r="I19" i="4"/>
  <c r="I23" i="4" s="1"/>
  <c r="F19" i="4"/>
  <c r="F18" i="4"/>
  <c r="F17" i="4"/>
  <c r="F16" i="4"/>
  <c r="F15" i="4"/>
  <c r="F14" i="4"/>
  <c r="L11" i="4"/>
  <c r="H11" i="4"/>
  <c r="G11" i="4"/>
  <c r="D11" i="4"/>
  <c r="N10" i="4"/>
  <c r="C10" i="4"/>
  <c r="N9" i="4"/>
  <c r="C9" i="4"/>
  <c r="N8" i="4"/>
  <c r="C8" i="4"/>
  <c r="N7" i="4"/>
  <c r="K11" i="4"/>
  <c r="N4" i="4"/>
  <c r="N3" i="4"/>
  <c r="K8" i="3"/>
  <c r="K9" i="3"/>
  <c r="K10" i="3"/>
  <c r="K7" i="3"/>
  <c r="G47" i="3"/>
  <c r="D47" i="3"/>
  <c r="B46" i="3"/>
  <c r="F7" i="3" s="1"/>
  <c r="J45" i="3"/>
  <c r="I45" i="3"/>
  <c r="B45" i="3"/>
  <c r="F10" i="3" s="1"/>
  <c r="B44" i="3"/>
  <c r="J43" i="3"/>
  <c r="H43" i="3" s="1"/>
  <c r="B43" i="3"/>
  <c r="F9" i="3" s="1"/>
  <c r="J42" i="3"/>
  <c r="K26" i="3" s="1"/>
  <c r="C7" i="3" s="1"/>
  <c r="B42" i="3"/>
  <c r="F8" i="3" s="1"/>
  <c r="F39" i="3"/>
  <c r="N38" i="3"/>
  <c r="K38" i="3"/>
  <c r="E38" i="3"/>
  <c r="G38" i="3" s="1"/>
  <c r="C38" i="3"/>
  <c r="O16" i="3" s="1"/>
  <c r="B38" i="3"/>
  <c r="N37" i="3"/>
  <c r="E37" i="3"/>
  <c r="G37" i="3" s="1"/>
  <c r="I36" i="3"/>
  <c r="I39" i="3" s="1"/>
  <c r="G36" i="3"/>
  <c r="E35" i="3"/>
  <c r="G35" i="3" s="1"/>
  <c r="I34" i="3"/>
  <c r="E34" i="3"/>
  <c r="G34" i="3" s="1"/>
  <c r="K33" i="3"/>
  <c r="N36" i="3" s="1"/>
  <c r="O31" i="3"/>
  <c r="F30" i="3"/>
  <c r="O29" i="3"/>
  <c r="F29" i="3"/>
  <c r="O28" i="3"/>
  <c r="F28" i="3"/>
  <c r="F27" i="3"/>
  <c r="P26" i="3"/>
  <c r="O26" i="3"/>
  <c r="F26" i="3"/>
  <c r="I25" i="3"/>
  <c r="I28" i="3" s="1"/>
  <c r="F25" i="3"/>
  <c r="F24" i="3"/>
  <c r="F23" i="3"/>
  <c r="O22" i="3"/>
  <c r="F22" i="3"/>
  <c r="F21" i="3"/>
  <c r="F20" i="3"/>
  <c r="K19" i="3"/>
  <c r="I19" i="3"/>
  <c r="I23" i="3" s="1"/>
  <c r="F19" i="3"/>
  <c r="F18" i="3"/>
  <c r="F17" i="3"/>
  <c r="F16" i="3"/>
  <c r="F15" i="3"/>
  <c r="F14" i="3"/>
  <c r="L11" i="3"/>
  <c r="H11" i="3"/>
  <c r="G11" i="3"/>
  <c r="D11" i="3"/>
  <c r="N10" i="3"/>
  <c r="C10" i="3"/>
  <c r="N9" i="3"/>
  <c r="C9" i="3"/>
  <c r="N8" i="3"/>
  <c r="C8" i="3"/>
  <c r="N7" i="3"/>
  <c r="N4" i="3"/>
  <c r="N3" i="3"/>
  <c r="K8" i="2"/>
  <c r="K9" i="2"/>
  <c r="K10" i="2"/>
  <c r="K7" i="2"/>
  <c r="G47" i="2"/>
  <c r="D47" i="2"/>
  <c r="B46" i="2"/>
  <c r="F7" i="2" s="1"/>
  <c r="I7" i="2" s="1"/>
  <c r="J45" i="2"/>
  <c r="I45" i="2"/>
  <c r="B45" i="2"/>
  <c r="F10" i="2" s="1"/>
  <c r="B44" i="2"/>
  <c r="J43" i="2"/>
  <c r="H43" i="2"/>
  <c r="B43" i="2"/>
  <c r="F9" i="2" s="1"/>
  <c r="M9" i="2" s="1"/>
  <c r="J42" i="2"/>
  <c r="K26" i="2" s="1"/>
  <c r="C7" i="2" s="1"/>
  <c r="B42" i="2"/>
  <c r="F39" i="2"/>
  <c r="N38" i="2"/>
  <c r="K38" i="2"/>
  <c r="E38" i="2"/>
  <c r="G38" i="2" s="1"/>
  <c r="C38" i="2"/>
  <c r="O16" i="2" s="1"/>
  <c r="B38" i="2"/>
  <c r="O15" i="2" s="1"/>
  <c r="N37" i="2"/>
  <c r="E37" i="2"/>
  <c r="G37" i="2" s="1"/>
  <c r="I36" i="2"/>
  <c r="I39" i="2" s="1"/>
  <c r="G36" i="2"/>
  <c r="E35" i="2"/>
  <c r="G35" i="2" s="1"/>
  <c r="I34" i="2"/>
  <c r="E34" i="2"/>
  <c r="G34" i="2" s="1"/>
  <c r="K33" i="2"/>
  <c r="N36" i="2" s="1"/>
  <c r="O31" i="2"/>
  <c r="F30" i="2"/>
  <c r="O29" i="2"/>
  <c r="F29" i="2"/>
  <c r="O28" i="2"/>
  <c r="F28" i="2"/>
  <c r="F27" i="2"/>
  <c r="P26" i="2"/>
  <c r="O26" i="2"/>
  <c r="F26" i="2"/>
  <c r="I25" i="2"/>
  <c r="I28" i="2" s="1"/>
  <c r="F25" i="2"/>
  <c r="F23" i="2"/>
  <c r="O22" i="2"/>
  <c r="F22" i="2"/>
  <c r="F21" i="2"/>
  <c r="F20" i="2"/>
  <c r="K19" i="2"/>
  <c r="I19" i="2"/>
  <c r="I23" i="2" s="1"/>
  <c r="F19" i="2"/>
  <c r="F18" i="2"/>
  <c r="F17" i="2"/>
  <c r="F16" i="2"/>
  <c r="F15" i="2"/>
  <c r="F14" i="2"/>
  <c r="L11" i="2"/>
  <c r="H11" i="2"/>
  <c r="G11" i="2"/>
  <c r="D11" i="2"/>
  <c r="N10" i="2"/>
  <c r="C10" i="2"/>
  <c r="N9" i="2"/>
  <c r="C9" i="2"/>
  <c r="N8" i="2"/>
  <c r="C8" i="2"/>
  <c r="N7" i="2"/>
  <c r="N4" i="2"/>
  <c r="N3" i="2"/>
  <c r="E24" i="1"/>
  <c r="G24" i="1" s="1"/>
  <c r="G47" i="1"/>
  <c r="D46" i="1"/>
  <c r="B45" i="1"/>
  <c r="F7" i="1" s="1"/>
  <c r="J45" i="1"/>
  <c r="I45" i="1"/>
  <c r="B44" i="1"/>
  <c r="F10" i="1" s="1"/>
  <c r="M10" i="1" s="1"/>
  <c r="B43" i="1"/>
  <c r="J43" i="1"/>
  <c r="H43" i="1" s="1"/>
  <c r="B42" i="1"/>
  <c r="F9" i="1" s="1"/>
  <c r="J42" i="1"/>
  <c r="L27" i="1" s="1"/>
  <c r="C7" i="1" s="1"/>
  <c r="E7" i="1" s="1"/>
  <c r="B41" i="1"/>
  <c r="F8" i="1" s="1"/>
  <c r="G39" i="1"/>
  <c r="E39" i="1"/>
  <c r="O39" i="1"/>
  <c r="L39" i="1"/>
  <c r="F38" i="1"/>
  <c r="H38" i="1" s="1"/>
  <c r="C38" i="1"/>
  <c r="P17" i="1" s="1"/>
  <c r="B38" i="1"/>
  <c r="P16" i="1" s="1"/>
  <c r="O38" i="1"/>
  <c r="F37" i="1"/>
  <c r="H37" i="1" s="1"/>
  <c r="J37" i="1"/>
  <c r="J40" i="1" s="1"/>
  <c r="H36" i="1"/>
  <c r="F35" i="1"/>
  <c r="H35" i="1" s="1"/>
  <c r="F34" i="1"/>
  <c r="H34" i="1" s="1"/>
  <c r="L34" i="1"/>
  <c r="O37" i="1" s="1"/>
  <c r="P32" i="1"/>
  <c r="J35" i="1"/>
  <c r="G30" i="1"/>
  <c r="P30" i="1"/>
  <c r="G29" i="1"/>
  <c r="P29" i="1"/>
  <c r="G28" i="1"/>
  <c r="G27" i="1"/>
  <c r="P27" i="1"/>
  <c r="G26" i="1"/>
  <c r="J26" i="1"/>
  <c r="J29" i="1" s="1"/>
  <c r="G25" i="1"/>
  <c r="G23" i="1"/>
  <c r="P23" i="1"/>
  <c r="G22" i="1"/>
  <c r="G21" i="1"/>
  <c r="G20" i="1"/>
  <c r="L20" i="1"/>
  <c r="J20" i="1"/>
  <c r="J24" i="1" s="1"/>
  <c r="G19" i="1"/>
  <c r="G18" i="1"/>
  <c r="G17" i="1"/>
  <c r="G16" i="1"/>
  <c r="G15" i="1"/>
  <c r="G14" i="1"/>
  <c r="L11" i="1"/>
  <c r="H11" i="1"/>
  <c r="G11" i="1"/>
  <c r="N10" i="1"/>
  <c r="C10" i="1"/>
  <c r="E10" i="1" s="1"/>
  <c r="N9" i="1"/>
  <c r="C9" i="1"/>
  <c r="E9" i="1" s="1"/>
  <c r="N8" i="1"/>
  <c r="K11" i="1"/>
  <c r="C8" i="1"/>
  <c r="E8" i="1" s="1"/>
  <c r="N7" i="1"/>
  <c r="B11" i="1"/>
  <c r="N4" i="1"/>
  <c r="N3" i="1"/>
  <c r="M8" i="26" l="1"/>
  <c r="O8" i="26" s="1"/>
  <c r="I8" i="26"/>
  <c r="F9" i="26"/>
  <c r="G46" i="23"/>
  <c r="K23" i="21"/>
  <c r="O20" i="16"/>
  <c r="G46" i="12"/>
  <c r="G46" i="8"/>
  <c r="K23" i="6"/>
  <c r="N11" i="32"/>
  <c r="N11" i="29"/>
  <c r="J11" i="29"/>
  <c r="J8" i="28"/>
  <c r="J9" i="27"/>
  <c r="L23" i="27"/>
  <c r="K23" i="26"/>
  <c r="K23" i="23"/>
  <c r="F11" i="23"/>
  <c r="N14" i="23" s="1"/>
  <c r="K23" i="22"/>
  <c r="G46" i="22"/>
  <c r="G46" i="21"/>
  <c r="I11" i="21"/>
  <c r="G46" i="20"/>
  <c r="K23" i="18"/>
  <c r="G46" i="18"/>
  <c r="K23" i="13"/>
  <c r="G46" i="13"/>
  <c r="K23" i="12"/>
  <c r="K23" i="11"/>
  <c r="G46" i="10"/>
  <c r="K23" i="10"/>
  <c r="G46" i="9"/>
  <c r="K23" i="9"/>
  <c r="K23" i="8"/>
  <c r="F11" i="7"/>
  <c r="N14" i="7" s="1"/>
  <c r="G46" i="6"/>
  <c r="K47" i="4"/>
  <c r="O7" i="4"/>
  <c r="F31" i="4"/>
  <c r="O21" i="4" s="1"/>
  <c r="N39" i="4"/>
  <c r="P31" i="4"/>
  <c r="K47" i="3"/>
  <c r="F31" i="3"/>
  <c r="O21" i="3" s="1"/>
  <c r="P28" i="2"/>
  <c r="O9" i="2"/>
  <c r="N39" i="2"/>
  <c r="K20" i="2"/>
  <c r="O20" i="2" s="1"/>
  <c r="H45" i="2"/>
  <c r="P23" i="31"/>
  <c r="L39" i="31" s="1"/>
  <c r="I11" i="20"/>
  <c r="C11" i="2"/>
  <c r="I30" i="6"/>
  <c r="I34" i="6" s="1"/>
  <c r="I30" i="7" s="1"/>
  <c r="I34" i="7" s="1"/>
  <c r="I30" i="8" s="1"/>
  <c r="I34" i="8" s="1"/>
  <c r="I30" i="5"/>
  <c r="I34" i="5" s="1"/>
  <c r="M10" i="26"/>
  <c r="O10" i="26" s="1"/>
  <c r="I11" i="16"/>
  <c r="O11" i="21"/>
  <c r="O14" i="21" s="1"/>
  <c r="O23" i="21" s="1"/>
  <c r="K39" i="21" s="1"/>
  <c r="K11" i="2"/>
  <c r="K11" i="3"/>
  <c r="I30" i="4"/>
  <c r="I34" i="4" s="1"/>
  <c r="G46" i="11"/>
  <c r="G46" i="24"/>
  <c r="J36" i="32"/>
  <c r="J39" i="32" s="1"/>
  <c r="J36" i="30"/>
  <c r="J39" i="30" s="1"/>
  <c r="J36" i="31"/>
  <c r="J39" i="31" s="1"/>
  <c r="J36" i="29"/>
  <c r="J39" i="29" s="1"/>
  <c r="I36" i="24"/>
  <c r="I39" i="24" s="1"/>
  <c r="J36" i="28"/>
  <c r="J39" i="28" s="1"/>
  <c r="I36" i="21"/>
  <c r="I39" i="21" s="1"/>
  <c r="I36" i="22"/>
  <c r="I39" i="22" s="1"/>
  <c r="I36" i="14"/>
  <c r="I39" i="14" s="1"/>
  <c r="I36" i="26"/>
  <c r="I39" i="26" s="1"/>
  <c r="I36" i="18"/>
  <c r="I39" i="18" s="1"/>
  <c r="I36" i="12"/>
  <c r="I39" i="12" s="1"/>
  <c r="I36" i="6"/>
  <c r="I39" i="6" s="1"/>
  <c r="I36" i="4"/>
  <c r="I39" i="4" s="1"/>
  <c r="I36" i="25"/>
  <c r="I39" i="25" s="1"/>
  <c r="I36" i="23"/>
  <c r="I39" i="23" s="1"/>
  <c r="I36" i="10"/>
  <c r="I39" i="10" s="1"/>
  <c r="I36" i="5"/>
  <c r="I39" i="5" s="1"/>
  <c r="J36" i="27"/>
  <c r="J39" i="27" s="1"/>
  <c r="I36" i="16"/>
  <c r="I39" i="16" s="1"/>
  <c r="I36" i="20"/>
  <c r="I39" i="20" s="1"/>
  <c r="I36" i="9"/>
  <c r="I39" i="9" s="1"/>
  <c r="I36" i="19"/>
  <c r="I39" i="19" s="1"/>
  <c r="I36" i="8"/>
  <c r="I39" i="8" s="1"/>
  <c r="I36" i="17"/>
  <c r="I39" i="17" s="1"/>
  <c r="I36" i="13"/>
  <c r="I39" i="13" s="1"/>
  <c r="I36" i="7"/>
  <c r="I39" i="7" s="1"/>
  <c r="I36" i="11"/>
  <c r="I39" i="11" s="1"/>
  <c r="K20" i="4"/>
  <c r="K23" i="4" s="1"/>
  <c r="O40" i="1"/>
  <c r="C11" i="4"/>
  <c r="K47" i="2"/>
  <c r="N39" i="3"/>
  <c r="G46" i="16"/>
  <c r="G46" i="19"/>
  <c r="M8" i="23"/>
  <c r="O8" i="23" s="1"/>
  <c r="O11" i="23" s="1"/>
  <c r="O14" i="23" s="1"/>
  <c r="O23" i="23" s="1"/>
  <c r="K39" i="23" s="1"/>
  <c r="N11" i="30"/>
  <c r="L21" i="1"/>
  <c r="P21" i="1" s="1"/>
  <c r="P28" i="3"/>
  <c r="B39" i="3"/>
  <c r="P29" i="4"/>
  <c r="F11" i="6"/>
  <c r="N14" i="6" s="1"/>
  <c r="P11" i="30"/>
  <c r="P14" i="30" s="1"/>
  <c r="P23" i="30" s="1"/>
  <c r="L39" i="30" s="1"/>
  <c r="H45" i="1"/>
  <c r="H39" i="1"/>
  <c r="K47" i="1"/>
  <c r="M8" i="10"/>
  <c r="O8" i="10" s="1"/>
  <c r="K20" i="3"/>
  <c r="O20" i="3" s="1"/>
  <c r="G46" i="7"/>
  <c r="I11" i="23"/>
  <c r="G11" i="28"/>
  <c r="O14" i="28" s="1"/>
  <c r="P29" i="2"/>
  <c r="P31" i="2"/>
  <c r="O10" i="1"/>
  <c r="P29" i="3"/>
  <c r="P11" i="29"/>
  <c r="P14" i="29" s="1"/>
  <c r="P23" i="29" s="1"/>
  <c r="L39" i="29" s="1"/>
  <c r="N10" i="28"/>
  <c r="J10" i="28"/>
  <c r="H11" i="27"/>
  <c r="G8" i="27"/>
  <c r="O7" i="26"/>
  <c r="O7" i="25"/>
  <c r="O11" i="25" s="1"/>
  <c r="O14" i="25" s="1"/>
  <c r="O23" i="25" s="1"/>
  <c r="K39" i="25" s="1"/>
  <c r="M11" i="25"/>
  <c r="I11" i="25"/>
  <c r="K23" i="25"/>
  <c r="M11" i="24"/>
  <c r="O11" i="24"/>
  <c r="O14" i="24" s="1"/>
  <c r="O23" i="24" s="1"/>
  <c r="K39" i="24" s="1"/>
  <c r="I11" i="24"/>
  <c r="K23" i="24"/>
  <c r="M11" i="22"/>
  <c r="O11" i="22"/>
  <c r="O14" i="22" s="1"/>
  <c r="O23" i="22" s="1"/>
  <c r="K39" i="22" s="1"/>
  <c r="I11" i="22"/>
  <c r="M11" i="21"/>
  <c r="K23" i="20"/>
  <c r="O7" i="20"/>
  <c r="O11" i="20" s="1"/>
  <c r="O14" i="20" s="1"/>
  <c r="O23" i="20" s="1"/>
  <c r="K39" i="20" s="1"/>
  <c r="M11" i="20"/>
  <c r="I8" i="19"/>
  <c r="I11" i="19" s="1"/>
  <c r="M8" i="19"/>
  <c r="O8" i="19" s="1"/>
  <c r="K23" i="19"/>
  <c r="O7" i="19"/>
  <c r="M11" i="18"/>
  <c r="O11" i="18"/>
  <c r="O14" i="18" s="1"/>
  <c r="O23" i="18" s="1"/>
  <c r="K39" i="18" s="1"/>
  <c r="I11" i="18"/>
  <c r="I11" i="17"/>
  <c r="O7" i="17"/>
  <c r="O11" i="17" s="1"/>
  <c r="O14" i="17" s="1"/>
  <c r="O23" i="17" s="1"/>
  <c r="K39" i="17" s="1"/>
  <c r="M11" i="17"/>
  <c r="O7" i="16"/>
  <c r="O11" i="16" s="1"/>
  <c r="O14" i="16" s="1"/>
  <c r="O23" i="16" s="1"/>
  <c r="K39" i="16" s="1"/>
  <c r="M11" i="16"/>
  <c r="G46" i="14"/>
  <c r="M11" i="14"/>
  <c r="I11" i="14"/>
  <c r="K23" i="14"/>
  <c r="O11" i="14"/>
  <c r="O14" i="14" s="1"/>
  <c r="O23" i="14" s="1"/>
  <c r="K39" i="14" s="1"/>
  <c r="O7" i="13"/>
  <c r="O11" i="13" s="1"/>
  <c r="O14" i="13" s="1"/>
  <c r="O23" i="13" s="1"/>
  <c r="K39" i="13" s="1"/>
  <c r="M11" i="13"/>
  <c r="I11" i="13"/>
  <c r="I11" i="12"/>
  <c r="O7" i="12"/>
  <c r="O11" i="12" s="1"/>
  <c r="O14" i="12" s="1"/>
  <c r="O23" i="12" s="1"/>
  <c r="K39" i="12" s="1"/>
  <c r="M11" i="12"/>
  <c r="I11" i="11"/>
  <c r="O11" i="11"/>
  <c r="O14" i="11" s="1"/>
  <c r="O23" i="11" s="1"/>
  <c r="K39" i="11" s="1"/>
  <c r="M11" i="11"/>
  <c r="O7" i="10"/>
  <c r="I11" i="10"/>
  <c r="I11" i="9"/>
  <c r="M11" i="9"/>
  <c r="O7" i="9"/>
  <c r="O11" i="9" s="1"/>
  <c r="O14" i="9" s="1"/>
  <c r="O23" i="9" s="1"/>
  <c r="K39" i="9" s="1"/>
  <c r="I11" i="8"/>
  <c r="O7" i="8"/>
  <c r="O11" i="8" s="1"/>
  <c r="O14" i="8" s="1"/>
  <c r="O23" i="8" s="1"/>
  <c r="K39" i="8" s="1"/>
  <c r="M11" i="8"/>
  <c r="M8" i="7"/>
  <c r="O8" i="7" s="1"/>
  <c r="O7" i="7"/>
  <c r="O11" i="7" s="1"/>
  <c r="O14" i="7" s="1"/>
  <c r="O23" i="7" s="1"/>
  <c r="K39" i="7" s="1"/>
  <c r="K23" i="7"/>
  <c r="I11" i="7"/>
  <c r="I11" i="6"/>
  <c r="M8" i="6"/>
  <c r="O8" i="6" s="1"/>
  <c r="O7" i="6"/>
  <c r="O11" i="6" s="1"/>
  <c r="O14" i="6" s="1"/>
  <c r="O23" i="6" s="1"/>
  <c r="K39" i="6" s="1"/>
  <c r="M11" i="6"/>
  <c r="I11" i="5"/>
  <c r="O20" i="5"/>
  <c r="G46" i="5" s="1"/>
  <c r="K23" i="5"/>
  <c r="O7" i="5"/>
  <c r="O11" i="5" s="1"/>
  <c r="O14" i="5" s="1"/>
  <c r="M11" i="5"/>
  <c r="I7" i="4"/>
  <c r="M9" i="4"/>
  <c r="O9" i="4" s="1"/>
  <c r="I9" i="4"/>
  <c r="F11" i="4"/>
  <c r="N14" i="4" s="1"/>
  <c r="B47" i="4"/>
  <c r="G39" i="4"/>
  <c r="B39" i="4"/>
  <c r="M10" i="4"/>
  <c r="O10" i="4" s="1"/>
  <c r="M8" i="4"/>
  <c r="O8" i="4" s="1"/>
  <c r="H45" i="4"/>
  <c r="P28" i="4"/>
  <c r="O15" i="3"/>
  <c r="I9" i="3"/>
  <c r="M9" i="3"/>
  <c r="O9" i="3" s="1"/>
  <c r="I8" i="3"/>
  <c r="M8" i="3"/>
  <c r="O8" i="3" s="1"/>
  <c r="G39" i="3"/>
  <c r="C11" i="3"/>
  <c r="F11" i="3"/>
  <c r="N14" i="3" s="1"/>
  <c r="M7" i="3"/>
  <c r="I7" i="3"/>
  <c r="M10" i="3"/>
  <c r="O10" i="3" s="1"/>
  <c r="I10" i="3"/>
  <c r="H45" i="3"/>
  <c r="P31" i="3"/>
  <c r="B47" i="3"/>
  <c r="B39" i="2"/>
  <c r="B47" i="2"/>
  <c r="F8" i="2"/>
  <c r="I8" i="2" s="1"/>
  <c r="G39" i="2"/>
  <c r="K23" i="2"/>
  <c r="M10" i="2"/>
  <c r="O10" i="2" s="1"/>
  <c r="I10" i="2"/>
  <c r="I9" i="2"/>
  <c r="M7" i="2"/>
  <c r="F24" i="2"/>
  <c r="F31" i="2" s="1"/>
  <c r="O21" i="2" s="1"/>
  <c r="B39" i="1"/>
  <c r="C11" i="1"/>
  <c r="F11" i="1"/>
  <c r="O15" i="1" s="1"/>
  <c r="M7" i="1"/>
  <c r="O7" i="1" s="1"/>
  <c r="G31" i="1"/>
  <c r="P22" i="1" s="1"/>
  <c r="E11" i="1"/>
  <c r="I9" i="1"/>
  <c r="J9" i="1" s="1"/>
  <c r="M9" i="1"/>
  <c r="O9" i="1" s="1"/>
  <c r="I8" i="1"/>
  <c r="J8" i="1" s="1"/>
  <c r="M8" i="1"/>
  <c r="O8" i="1" s="1"/>
  <c r="I7" i="1"/>
  <c r="J7" i="1" s="1"/>
  <c r="B7" i="2" s="1"/>
  <c r="B46" i="1"/>
  <c r="I10" i="1"/>
  <c r="J10" i="1" s="1"/>
  <c r="M9" i="26" l="1"/>
  <c r="O9" i="26" s="1"/>
  <c r="I9" i="26"/>
  <c r="I11" i="26" s="1"/>
  <c r="F11" i="26"/>
  <c r="N14" i="26" s="1"/>
  <c r="E7" i="2"/>
  <c r="J7" i="2" s="1"/>
  <c r="M11" i="23"/>
  <c r="M11" i="19"/>
  <c r="O11" i="19"/>
  <c r="O14" i="19" s="1"/>
  <c r="O23" i="19" s="1"/>
  <c r="K39" i="19" s="1"/>
  <c r="M11" i="10"/>
  <c r="O23" i="5"/>
  <c r="K39" i="5" s="1"/>
  <c r="O11" i="4"/>
  <c r="O14" i="4" s="1"/>
  <c r="G46" i="3"/>
  <c r="K23" i="3"/>
  <c r="G46" i="1"/>
  <c r="R30" i="1"/>
  <c r="R27" i="1"/>
  <c r="P10" i="1"/>
  <c r="R31" i="1" s="1"/>
  <c r="B10" i="2"/>
  <c r="O11" i="10"/>
  <c r="O14" i="10" s="1"/>
  <c r="O23" i="10" s="1"/>
  <c r="K39" i="10" s="1"/>
  <c r="P8" i="1"/>
  <c r="R28" i="1" s="1"/>
  <c r="B8" i="2"/>
  <c r="I11" i="4"/>
  <c r="O11" i="26"/>
  <c r="O14" i="26" s="1"/>
  <c r="O23" i="26" s="1"/>
  <c r="K39" i="26" s="1"/>
  <c r="P9" i="1"/>
  <c r="R29" i="1" s="1"/>
  <c r="B9" i="2"/>
  <c r="O20" i="4"/>
  <c r="G46" i="4" s="1"/>
  <c r="M11" i="26"/>
  <c r="I30" i="10"/>
  <c r="I34" i="10" s="1"/>
  <c r="I30" i="9"/>
  <c r="I34" i="9" s="1"/>
  <c r="L24" i="1"/>
  <c r="M11" i="7"/>
  <c r="P10" i="28"/>
  <c r="P11" i="28" s="1"/>
  <c r="P14" i="28" s="1"/>
  <c r="P23" i="28" s="1"/>
  <c r="L39" i="28" s="1"/>
  <c r="N11" i="28"/>
  <c r="J11" i="28"/>
  <c r="N8" i="27"/>
  <c r="J8" i="27"/>
  <c r="G11" i="27"/>
  <c r="O14" i="27" s="1"/>
  <c r="M11" i="4"/>
  <c r="I11" i="3"/>
  <c r="O7" i="3"/>
  <c r="O11" i="3" s="1"/>
  <c r="O14" i="3" s="1"/>
  <c r="O23" i="3" s="1"/>
  <c r="K39" i="3" s="1"/>
  <c r="M11" i="3"/>
  <c r="G46" i="2"/>
  <c r="I11" i="2"/>
  <c r="F11" i="2"/>
  <c r="N14" i="2" s="1"/>
  <c r="M8" i="2"/>
  <c r="O8" i="2" s="1"/>
  <c r="O7" i="2"/>
  <c r="O11" i="1"/>
  <c r="P15" i="1" s="1"/>
  <c r="P24" i="1" s="1"/>
  <c r="L40" i="1" s="1"/>
  <c r="J11" i="1"/>
  <c r="P7" i="1"/>
  <c r="M11" i="1"/>
  <c r="I11" i="1"/>
  <c r="B7" i="3" l="1"/>
  <c r="P7" i="2"/>
  <c r="E8" i="2"/>
  <c r="J8" i="2" s="1"/>
  <c r="E9" i="2"/>
  <c r="J9" i="2" s="1"/>
  <c r="E10" i="2"/>
  <c r="J10" i="2" s="1"/>
  <c r="M11" i="2"/>
  <c r="O11" i="2"/>
  <c r="O14" i="2" s="1"/>
  <c r="O23" i="2" s="1"/>
  <c r="K39" i="2" s="1"/>
  <c r="I30" i="12"/>
  <c r="I34" i="12" s="1"/>
  <c r="I30" i="11"/>
  <c r="I34" i="11" s="1"/>
  <c r="R30" i="2"/>
  <c r="B11" i="2"/>
  <c r="O23" i="4"/>
  <c r="K39" i="4" s="1"/>
  <c r="J11" i="27"/>
  <c r="P8" i="27"/>
  <c r="P11" i="27" s="1"/>
  <c r="P14" i="27" s="1"/>
  <c r="P23" i="27" s="1"/>
  <c r="L39" i="27" s="1"/>
  <c r="N11" i="27"/>
  <c r="P15" i="2"/>
  <c r="R26" i="2"/>
  <c r="R26" i="1"/>
  <c r="E7" i="3" l="1"/>
  <c r="J7" i="3" s="1"/>
  <c r="B10" i="3"/>
  <c r="P10" i="2"/>
  <c r="R31" i="2" s="1"/>
  <c r="P9" i="2"/>
  <c r="R29" i="2" s="1"/>
  <c r="B9" i="3"/>
  <c r="P8" i="2"/>
  <c r="R28" i="2" s="1"/>
  <c r="B8" i="3"/>
  <c r="R30" i="3"/>
  <c r="E11" i="2"/>
  <c r="I30" i="18"/>
  <c r="I34" i="18" s="1"/>
  <c r="I30" i="14"/>
  <c r="I34" i="14" s="1"/>
  <c r="I30" i="17"/>
  <c r="I34" i="17" s="1"/>
  <c r="I30" i="16"/>
  <c r="I34" i="16" s="1"/>
  <c r="I30" i="13"/>
  <c r="I34" i="13" s="1"/>
  <c r="B7" i="4" l="1"/>
  <c r="P7" i="3"/>
  <c r="J10" i="3"/>
  <c r="E10" i="3"/>
  <c r="E8" i="3"/>
  <c r="J8" i="3" s="1"/>
  <c r="E9" i="3"/>
  <c r="J9" i="3" s="1"/>
  <c r="R27" i="2"/>
  <c r="J11" i="2"/>
  <c r="R30" i="4"/>
  <c r="I30" i="20"/>
  <c r="I34" i="20" s="1"/>
  <c r="I30" i="22"/>
  <c r="I34" i="22" s="1"/>
  <c r="I30" i="23" s="1"/>
  <c r="I34" i="23" s="1"/>
  <c r="I30" i="19"/>
  <c r="I34" i="19" s="1"/>
  <c r="I30" i="21"/>
  <c r="I34" i="21" s="1"/>
  <c r="E7" i="4" l="1"/>
  <c r="J7" i="4" s="1"/>
  <c r="P9" i="3"/>
  <c r="R29" i="3" s="1"/>
  <c r="B9" i="4"/>
  <c r="P8" i="3"/>
  <c r="R28" i="3" s="1"/>
  <c r="B8" i="4"/>
  <c r="P15" i="3"/>
  <c r="R26" i="3"/>
  <c r="P10" i="3"/>
  <c r="R31" i="3" s="1"/>
  <c r="B10" i="4"/>
  <c r="R30" i="5"/>
  <c r="I30" i="24"/>
  <c r="I34" i="24" s="1"/>
  <c r="I30" i="25"/>
  <c r="I34" i="25" s="1"/>
  <c r="B11" i="3"/>
  <c r="B7" i="5" l="1"/>
  <c r="E7" i="5" s="1"/>
  <c r="P7" i="4"/>
  <c r="E10" i="4"/>
  <c r="J10" i="4" s="1"/>
  <c r="E8" i="4"/>
  <c r="J8" i="4" s="1"/>
  <c r="E9" i="4"/>
  <c r="J9" i="4" s="1"/>
  <c r="J30" i="27"/>
  <c r="J34" i="27" s="1"/>
  <c r="J30" i="28" s="1"/>
  <c r="J34" i="28" s="1"/>
  <c r="I30" i="26"/>
  <c r="I34" i="26" s="1"/>
  <c r="R30" i="6"/>
  <c r="J7" i="5"/>
  <c r="E11" i="3"/>
  <c r="P8" i="4" l="1"/>
  <c r="R28" i="4" s="1"/>
  <c r="B8" i="5"/>
  <c r="E8" i="5" s="1"/>
  <c r="J8" i="5" s="1"/>
  <c r="P9" i="4"/>
  <c r="R29" i="4" s="1"/>
  <c r="B9" i="5"/>
  <c r="P10" i="4"/>
  <c r="R31" i="4" s="1"/>
  <c r="B10" i="5"/>
  <c r="P15" i="4"/>
  <c r="R26" i="4"/>
  <c r="B8" i="6"/>
  <c r="P8" i="5"/>
  <c r="R28" i="5" s="1"/>
  <c r="E9" i="5"/>
  <c r="J9" i="5" s="1"/>
  <c r="E10" i="5"/>
  <c r="J10" i="5" s="1"/>
  <c r="R30" i="7"/>
  <c r="B7" i="6"/>
  <c r="E7" i="6" s="1"/>
  <c r="P7" i="5"/>
  <c r="R27" i="3"/>
  <c r="J11" i="3"/>
  <c r="J30" i="32"/>
  <c r="J34" i="32" s="1"/>
  <c r="J30" i="31"/>
  <c r="J34" i="31" s="1"/>
  <c r="J30" i="30"/>
  <c r="J34" i="30" s="1"/>
  <c r="J30" i="29"/>
  <c r="J34" i="29" s="1"/>
  <c r="J8" i="6" l="1"/>
  <c r="B8" i="7" s="1"/>
  <c r="E8" i="6"/>
  <c r="P10" i="5"/>
  <c r="R31" i="5" s="1"/>
  <c r="B10" i="6"/>
  <c r="P9" i="5"/>
  <c r="R29" i="5" s="1"/>
  <c r="B9" i="6"/>
  <c r="P15" i="5"/>
  <c r="R26" i="5"/>
  <c r="R30" i="8"/>
  <c r="B11" i="4"/>
  <c r="E8" i="7" l="1"/>
  <c r="J8" i="7" s="1"/>
  <c r="P8" i="6"/>
  <c r="R28" i="6" s="1"/>
  <c r="E9" i="6"/>
  <c r="J9" i="6" s="1"/>
  <c r="E10" i="6"/>
  <c r="J10" i="6" s="1"/>
  <c r="R30" i="9"/>
  <c r="J7" i="6"/>
  <c r="E11" i="4"/>
  <c r="B8" i="8" l="1"/>
  <c r="P8" i="7"/>
  <c r="R28" i="7" s="1"/>
  <c r="B9" i="7"/>
  <c r="P9" i="6"/>
  <c r="R29" i="6" s="1"/>
  <c r="P10" i="6"/>
  <c r="R31" i="6" s="1"/>
  <c r="B10" i="7"/>
  <c r="B7" i="7"/>
  <c r="E7" i="7" s="1"/>
  <c r="P7" i="6"/>
  <c r="R27" i="4"/>
  <c r="J11" i="4"/>
  <c r="R30" i="10"/>
  <c r="E8" i="8" l="1"/>
  <c r="J8" i="8" s="1"/>
  <c r="E10" i="7"/>
  <c r="J10" i="7" s="1"/>
  <c r="E9" i="7"/>
  <c r="J9" i="7" s="1"/>
  <c r="R30" i="11"/>
  <c r="B11" i="5"/>
  <c r="R26" i="6"/>
  <c r="P15" i="6"/>
  <c r="P8" i="8" l="1"/>
  <c r="R28" i="8" s="1"/>
  <c r="B8" i="9"/>
  <c r="P9" i="7"/>
  <c r="R29" i="7" s="1"/>
  <c r="B9" i="8"/>
  <c r="P10" i="7"/>
  <c r="R31" i="7" s="1"/>
  <c r="B10" i="8"/>
  <c r="R30" i="12"/>
  <c r="J7" i="7"/>
  <c r="E11" i="5"/>
  <c r="E8" i="9" l="1"/>
  <c r="J8" i="9" s="1"/>
  <c r="E10" i="8"/>
  <c r="J10" i="8" s="1"/>
  <c r="E9" i="8"/>
  <c r="J9" i="8" s="1"/>
  <c r="R27" i="5"/>
  <c r="J11" i="5"/>
  <c r="R30" i="13"/>
  <c r="B7" i="8"/>
  <c r="E7" i="8" s="1"/>
  <c r="P7" i="7"/>
  <c r="P8" i="9" l="1"/>
  <c r="R28" i="9" s="1"/>
  <c r="B8" i="10"/>
  <c r="B9" i="9"/>
  <c r="P9" i="8"/>
  <c r="R29" i="8" s="1"/>
  <c r="B10" i="9"/>
  <c r="P10" i="8"/>
  <c r="R31" i="8" s="1"/>
  <c r="P15" i="7"/>
  <c r="R26" i="7"/>
  <c r="R30" i="14"/>
  <c r="B11" i="6"/>
  <c r="J7" i="8"/>
  <c r="E8" i="10" l="1"/>
  <c r="J8" i="10" s="1"/>
  <c r="E9" i="9"/>
  <c r="J9" i="9" s="1"/>
  <c r="E10" i="9"/>
  <c r="J10" i="9" s="1"/>
  <c r="R30" i="16"/>
  <c r="B7" i="9"/>
  <c r="E7" i="9" s="1"/>
  <c r="P7" i="8"/>
  <c r="E11" i="6"/>
  <c r="B8" i="11" l="1"/>
  <c r="P8" i="10"/>
  <c r="R28" i="10" s="1"/>
  <c r="P10" i="9"/>
  <c r="R31" i="9" s="1"/>
  <c r="B10" i="10"/>
  <c r="B9" i="10"/>
  <c r="P9" i="9"/>
  <c r="R29" i="9" s="1"/>
  <c r="R27" i="6"/>
  <c r="J11" i="6"/>
  <c r="R26" i="8"/>
  <c r="P15" i="8"/>
  <c r="R30" i="17"/>
  <c r="E8" i="11" l="1"/>
  <c r="J8" i="11" s="1"/>
  <c r="E10" i="10"/>
  <c r="J10" i="10" s="1"/>
  <c r="E9" i="10"/>
  <c r="J9" i="10" s="1"/>
  <c r="R30" i="18"/>
  <c r="B11" i="7"/>
  <c r="J7" i="9"/>
  <c r="P8" i="11" l="1"/>
  <c r="R28" i="11" s="1"/>
  <c r="B8" i="12"/>
  <c r="B9" i="11"/>
  <c r="P9" i="10"/>
  <c r="R29" i="10" s="1"/>
  <c r="B10" i="11"/>
  <c r="P10" i="10"/>
  <c r="R31" i="10" s="1"/>
  <c r="B7" i="10"/>
  <c r="E7" i="10" s="1"/>
  <c r="P7" i="9"/>
  <c r="E11" i="7"/>
  <c r="R30" i="19"/>
  <c r="J8" i="12" l="1"/>
  <c r="E8" i="12"/>
  <c r="E9" i="11"/>
  <c r="J9" i="11" s="1"/>
  <c r="E10" i="11"/>
  <c r="J10" i="11" s="1"/>
  <c r="B8" i="13"/>
  <c r="P8" i="12"/>
  <c r="R28" i="12" s="1"/>
  <c r="R30" i="20"/>
  <c r="R27" i="7"/>
  <c r="J11" i="7"/>
  <c r="R26" i="9"/>
  <c r="P15" i="9"/>
  <c r="E8" i="13" l="1"/>
  <c r="J8" i="13" s="1"/>
  <c r="P10" i="11"/>
  <c r="R31" i="11" s="1"/>
  <c r="B10" i="12"/>
  <c r="B9" i="12"/>
  <c r="P9" i="11"/>
  <c r="R29" i="11" s="1"/>
  <c r="B11" i="8"/>
  <c r="J7" i="10"/>
  <c r="R30" i="21"/>
  <c r="B8" i="14" l="1"/>
  <c r="P8" i="13"/>
  <c r="R28" i="13" s="1"/>
  <c r="E9" i="12"/>
  <c r="J9" i="12" s="1"/>
  <c r="E10" i="12"/>
  <c r="J10" i="12" s="1"/>
  <c r="R30" i="22"/>
  <c r="B7" i="11"/>
  <c r="E7" i="11" s="1"/>
  <c r="P7" i="10"/>
  <c r="E11" i="8"/>
  <c r="E8" i="14" l="1"/>
  <c r="J8" i="14" s="1"/>
  <c r="B10" i="13"/>
  <c r="P10" i="12"/>
  <c r="R31" i="12" s="1"/>
  <c r="P9" i="12"/>
  <c r="R29" i="12" s="1"/>
  <c r="B9" i="13"/>
  <c r="R27" i="8"/>
  <c r="J11" i="8"/>
  <c r="R26" i="10"/>
  <c r="P15" i="10"/>
  <c r="R30" i="23"/>
  <c r="P8" i="14" l="1"/>
  <c r="R28" i="14" s="1"/>
  <c r="B8" i="16"/>
  <c r="E9" i="13"/>
  <c r="J9" i="13" s="1"/>
  <c r="E10" i="13"/>
  <c r="J10" i="13" s="1"/>
  <c r="J7" i="11"/>
  <c r="B11" i="9"/>
  <c r="R30" i="24"/>
  <c r="E8" i="16" l="1"/>
  <c r="J8" i="16" s="1"/>
  <c r="P10" i="13"/>
  <c r="R31" i="13" s="1"/>
  <c r="B10" i="14"/>
  <c r="B9" i="14"/>
  <c r="P9" i="13"/>
  <c r="R29" i="13" s="1"/>
  <c r="E11" i="9"/>
  <c r="B7" i="12"/>
  <c r="E7" i="12" s="1"/>
  <c r="P7" i="11"/>
  <c r="R30" i="25"/>
  <c r="P8" i="16" l="1"/>
  <c r="R28" i="16" s="1"/>
  <c r="B8" i="17"/>
  <c r="E10" i="14"/>
  <c r="J10" i="14" s="1"/>
  <c r="E9" i="14"/>
  <c r="J9" i="14" s="1"/>
  <c r="R27" i="9"/>
  <c r="J11" i="9"/>
  <c r="P15" i="11"/>
  <c r="R26" i="11"/>
  <c r="R30" i="26"/>
  <c r="E8" i="17" l="1"/>
  <c r="J8" i="17" s="1"/>
  <c r="P9" i="14"/>
  <c r="R29" i="14" s="1"/>
  <c r="B9" i="16"/>
  <c r="B10" i="16"/>
  <c r="P10" i="14"/>
  <c r="R31" i="14" s="1"/>
  <c r="B11" i="10"/>
  <c r="S30" i="27"/>
  <c r="J7" i="12"/>
  <c r="P8" i="17" l="1"/>
  <c r="R28" i="17" s="1"/>
  <c r="B8" i="18"/>
  <c r="J10" i="16"/>
  <c r="P10" i="16" s="1"/>
  <c r="R31" i="16" s="1"/>
  <c r="E10" i="16"/>
  <c r="J9" i="16"/>
  <c r="P9" i="16" s="1"/>
  <c r="R29" i="16" s="1"/>
  <c r="E9" i="16"/>
  <c r="B9" i="17"/>
  <c r="B7" i="13"/>
  <c r="E7" i="13" s="1"/>
  <c r="P7" i="12"/>
  <c r="S30" i="28"/>
  <c r="E11" i="10"/>
  <c r="E8" i="18" l="1"/>
  <c r="J8" i="18" s="1"/>
  <c r="E9" i="17"/>
  <c r="J9" i="17" s="1"/>
  <c r="B10" i="17"/>
  <c r="S30" i="29"/>
  <c r="R26" i="12"/>
  <c r="P15" i="12"/>
  <c r="R27" i="10"/>
  <c r="J11" i="10"/>
  <c r="B8" i="19" l="1"/>
  <c r="P8" i="18"/>
  <c r="R28" i="18" s="1"/>
  <c r="P9" i="17"/>
  <c r="R29" i="17" s="1"/>
  <c r="B9" i="18"/>
  <c r="E10" i="17"/>
  <c r="J10" i="17" s="1"/>
  <c r="J7" i="13"/>
  <c r="B11" i="11"/>
  <c r="S30" i="30"/>
  <c r="E8" i="19" l="1"/>
  <c r="J8" i="19" s="1"/>
  <c r="E9" i="18"/>
  <c r="J9" i="18" s="1"/>
  <c r="P10" i="17"/>
  <c r="R31" i="17" s="1"/>
  <c r="B10" i="18"/>
  <c r="S30" i="31"/>
  <c r="S30" i="32"/>
  <c r="E11" i="11"/>
  <c r="B7" i="14"/>
  <c r="E7" i="14" s="1"/>
  <c r="P7" i="13"/>
  <c r="P8" i="19" l="1"/>
  <c r="R28" i="19" s="1"/>
  <c r="B8" i="20"/>
  <c r="P9" i="18"/>
  <c r="R29" i="18" s="1"/>
  <c r="B9" i="19"/>
  <c r="E10" i="18"/>
  <c r="J10" i="18" s="1"/>
  <c r="R27" i="11"/>
  <c r="J11" i="11"/>
  <c r="P15" i="13"/>
  <c r="R26" i="13"/>
  <c r="E8" i="20" l="1"/>
  <c r="J8" i="20" s="1"/>
  <c r="E9" i="19"/>
  <c r="J9" i="19" s="1"/>
  <c r="B10" i="19"/>
  <c r="P10" i="18"/>
  <c r="R31" i="18" s="1"/>
  <c r="B11" i="12"/>
  <c r="J7" i="14"/>
  <c r="P8" i="20" l="1"/>
  <c r="R28" i="20" s="1"/>
  <c r="B8" i="21"/>
  <c r="P9" i="19"/>
  <c r="R29" i="19" s="1"/>
  <c r="B9" i="20"/>
  <c r="E10" i="19"/>
  <c r="J10" i="19" s="1"/>
  <c r="B7" i="16"/>
  <c r="E7" i="16" s="1"/>
  <c r="P7" i="14"/>
  <c r="E11" i="12"/>
  <c r="E8" i="21" l="1"/>
  <c r="J8" i="21" s="1"/>
  <c r="J9" i="20"/>
  <c r="E9" i="20"/>
  <c r="P10" i="19"/>
  <c r="R31" i="19" s="1"/>
  <c r="B10" i="20"/>
  <c r="R27" i="12"/>
  <c r="J11" i="12"/>
  <c r="R26" i="14"/>
  <c r="P15" i="14"/>
  <c r="B8" i="22" l="1"/>
  <c r="P8" i="21"/>
  <c r="R28" i="21" s="1"/>
  <c r="J10" i="20"/>
  <c r="P10" i="20" s="1"/>
  <c r="R31" i="20" s="1"/>
  <c r="E10" i="20"/>
  <c r="P9" i="20"/>
  <c r="R29" i="20" s="1"/>
  <c r="B9" i="21"/>
  <c r="J7" i="16"/>
  <c r="B11" i="13"/>
  <c r="E8" i="22" l="1"/>
  <c r="J8" i="22" s="1"/>
  <c r="E9" i="21"/>
  <c r="J9" i="21" s="1"/>
  <c r="B10" i="21"/>
  <c r="E11" i="13"/>
  <c r="B7" i="17"/>
  <c r="E7" i="17" s="1"/>
  <c r="P7" i="16"/>
  <c r="P8" i="22" l="1"/>
  <c r="R28" i="22" s="1"/>
  <c r="B8" i="23"/>
  <c r="P9" i="21"/>
  <c r="R29" i="21" s="1"/>
  <c r="B9" i="22"/>
  <c r="E10" i="21"/>
  <c r="J10" i="21" s="1"/>
  <c r="R26" i="16"/>
  <c r="P15" i="16"/>
  <c r="R27" i="13"/>
  <c r="J11" i="13"/>
  <c r="E8" i="23" l="1"/>
  <c r="J8" i="23" s="1"/>
  <c r="E9" i="22"/>
  <c r="J9" i="22" s="1"/>
  <c r="P10" i="21"/>
  <c r="R31" i="21" s="1"/>
  <c r="B10" i="22"/>
  <c r="J7" i="17"/>
  <c r="B11" i="14"/>
  <c r="P8" i="23" l="1"/>
  <c r="R28" i="23" s="1"/>
  <c r="B8" i="24"/>
  <c r="B9" i="23"/>
  <c r="P9" i="22"/>
  <c r="R29" i="22" s="1"/>
  <c r="E10" i="22"/>
  <c r="J10" i="22" s="1"/>
  <c r="E11" i="14"/>
  <c r="B7" i="18"/>
  <c r="E7" i="18" s="1"/>
  <c r="P7" i="17"/>
  <c r="E8" i="24" l="1"/>
  <c r="J8" i="24" s="1"/>
  <c r="E9" i="23"/>
  <c r="J9" i="23" s="1"/>
  <c r="P10" i="22"/>
  <c r="R31" i="22" s="1"/>
  <c r="B10" i="23"/>
  <c r="R27" i="14"/>
  <c r="J11" i="14"/>
  <c r="R26" i="17"/>
  <c r="P15" i="17"/>
  <c r="P8" i="24" l="1"/>
  <c r="R28" i="24" s="1"/>
  <c r="B8" i="25"/>
  <c r="P9" i="23"/>
  <c r="R29" i="23" s="1"/>
  <c r="B9" i="24"/>
  <c r="J10" i="23"/>
  <c r="E10" i="23"/>
  <c r="J7" i="18"/>
  <c r="B11" i="16"/>
  <c r="J8" i="25" l="1"/>
  <c r="P8" i="25" s="1"/>
  <c r="R28" i="25" s="1"/>
  <c r="E8" i="25"/>
  <c r="E9" i="24"/>
  <c r="J9" i="24" s="1"/>
  <c r="B8" i="26"/>
  <c r="E8" i="26" s="1"/>
  <c r="B10" i="24"/>
  <c r="P10" i="23"/>
  <c r="R31" i="23" s="1"/>
  <c r="B7" i="19"/>
  <c r="E7" i="19" s="1"/>
  <c r="P7" i="18"/>
  <c r="E11" i="16"/>
  <c r="J8" i="26" l="1"/>
  <c r="P9" i="24"/>
  <c r="R29" i="24" s="1"/>
  <c r="B9" i="25"/>
  <c r="E10" i="24"/>
  <c r="J10" i="24" s="1"/>
  <c r="R27" i="16"/>
  <c r="J11" i="16"/>
  <c r="R26" i="18"/>
  <c r="P15" i="18"/>
  <c r="P8" i="26" l="1"/>
  <c r="R28" i="26" s="1"/>
  <c r="B8" i="27"/>
  <c r="F8" i="27" s="1"/>
  <c r="K8" i="27" s="1"/>
  <c r="Q8" i="27" s="1"/>
  <c r="S28" i="27" s="1"/>
  <c r="E9" i="25"/>
  <c r="J9" i="25" s="1"/>
  <c r="P10" i="24"/>
  <c r="R31" i="24" s="1"/>
  <c r="B10" i="25"/>
  <c r="J7" i="19"/>
  <c r="B11" i="17"/>
  <c r="B8" i="28" l="1"/>
  <c r="F8" i="28" s="1"/>
  <c r="K8" i="28" s="1"/>
  <c r="Q8" i="28" s="1"/>
  <c r="S28" i="28" s="1"/>
  <c r="P9" i="25"/>
  <c r="R29" i="25" s="1"/>
  <c r="B9" i="26"/>
  <c r="E9" i="26" s="1"/>
  <c r="E10" i="25"/>
  <c r="J10" i="25" s="1"/>
  <c r="E11" i="17"/>
  <c r="B7" i="20"/>
  <c r="E7" i="20" s="1"/>
  <c r="P7" i="19"/>
  <c r="B8" i="29" l="1"/>
  <c r="F8" i="29" s="1"/>
  <c r="K8" i="29" s="1"/>
  <c r="Q8" i="29" s="1"/>
  <c r="S28" i="29" s="1"/>
  <c r="J9" i="26"/>
  <c r="B10" i="26"/>
  <c r="E10" i="26" s="1"/>
  <c r="P10" i="25"/>
  <c r="R31" i="25" s="1"/>
  <c r="R27" i="17"/>
  <c r="J11" i="17"/>
  <c r="R26" i="19"/>
  <c r="P15" i="19"/>
  <c r="B8" i="30" l="1"/>
  <c r="F8" i="30" s="1"/>
  <c r="K8" i="30" s="1"/>
  <c r="Q8" i="30" s="1"/>
  <c r="S28" i="30" s="1"/>
  <c r="P9" i="26"/>
  <c r="R29" i="26" s="1"/>
  <c r="B9" i="27"/>
  <c r="F9" i="27" s="1"/>
  <c r="K9" i="27" s="1"/>
  <c r="J10" i="26"/>
  <c r="B8" i="31"/>
  <c r="F8" i="31" s="1"/>
  <c r="K8" i="31" s="1"/>
  <c r="B11" i="18"/>
  <c r="J7" i="20"/>
  <c r="B10" i="27" l="1"/>
  <c r="F10" i="27" s="1"/>
  <c r="K10" i="27" s="1"/>
  <c r="B10" i="28" s="1"/>
  <c r="F10" i="28" s="1"/>
  <c r="K10" i="28" s="1"/>
  <c r="P10" i="26"/>
  <c r="R31" i="26" s="1"/>
  <c r="Q9" i="27"/>
  <c r="S29" i="27" s="1"/>
  <c r="B9" i="28"/>
  <c r="F9" i="28" s="1"/>
  <c r="K9" i="28" s="1"/>
  <c r="Q8" i="31"/>
  <c r="S28" i="31" s="1"/>
  <c r="B8" i="32"/>
  <c r="F8" i="32" s="1"/>
  <c r="K8" i="32" s="1"/>
  <c r="Q8" i="32" s="1"/>
  <c r="S28" i="32" s="1"/>
  <c r="E11" i="18"/>
  <c r="B7" i="21"/>
  <c r="E7" i="21" s="1"/>
  <c r="P7" i="20"/>
  <c r="Q10" i="27" l="1"/>
  <c r="S31" i="27" s="1"/>
  <c r="Q9" i="28"/>
  <c r="S29" i="28" s="1"/>
  <c r="B9" i="29"/>
  <c r="F9" i="29" s="1"/>
  <c r="K9" i="29" s="1"/>
  <c r="Q10" i="28"/>
  <c r="S31" i="28" s="1"/>
  <c r="B10" i="29"/>
  <c r="F10" i="29" s="1"/>
  <c r="K10" i="29" s="1"/>
  <c r="R26" i="20"/>
  <c r="P15" i="20"/>
  <c r="R27" i="18"/>
  <c r="J11" i="18"/>
  <c r="Q9" i="29" l="1"/>
  <c r="S29" i="29" s="1"/>
  <c r="B9" i="30"/>
  <c r="F9" i="30" s="1"/>
  <c r="K9" i="30" s="1"/>
  <c r="Q10" i="29"/>
  <c r="S31" i="29" s="1"/>
  <c r="B10" i="30"/>
  <c r="F10" i="30" s="1"/>
  <c r="K10" i="30" s="1"/>
  <c r="B11" i="19"/>
  <c r="J7" i="21"/>
  <c r="Q9" i="30" l="1"/>
  <c r="S29" i="30" s="1"/>
  <c r="B9" i="31"/>
  <c r="F9" i="31" s="1"/>
  <c r="K9" i="31" s="1"/>
  <c r="B10" i="31"/>
  <c r="F10" i="31" s="1"/>
  <c r="K10" i="31" s="1"/>
  <c r="Q10" i="30"/>
  <c r="S31" i="30" s="1"/>
  <c r="E11" i="19"/>
  <c r="B7" i="22"/>
  <c r="E7" i="22" s="1"/>
  <c r="P7" i="21"/>
  <c r="B9" i="32" l="1"/>
  <c r="F9" i="32" s="1"/>
  <c r="K9" i="32" s="1"/>
  <c r="Q9" i="32" s="1"/>
  <c r="S29" i="32" s="1"/>
  <c r="Q9" i="31"/>
  <c r="S29" i="31" s="1"/>
  <c r="B10" i="32"/>
  <c r="F10" i="32" s="1"/>
  <c r="K10" i="32" s="1"/>
  <c r="Q10" i="32" s="1"/>
  <c r="S31" i="32" s="1"/>
  <c r="Q10" i="31"/>
  <c r="S31" i="31" s="1"/>
  <c r="R26" i="21"/>
  <c r="P15" i="21"/>
  <c r="R27" i="19"/>
  <c r="J11" i="19"/>
  <c r="B11" i="20" l="1"/>
  <c r="J7" i="22"/>
  <c r="B7" i="23" l="1"/>
  <c r="E7" i="23" s="1"/>
  <c r="P7" i="22"/>
  <c r="E11" i="20"/>
  <c r="R27" i="20" l="1"/>
  <c r="J11" i="20"/>
  <c r="P15" i="22"/>
  <c r="R26" i="22"/>
  <c r="J7" i="23" l="1"/>
  <c r="B11" i="21"/>
  <c r="E11" i="21" l="1"/>
  <c r="B7" i="24"/>
  <c r="E7" i="24" s="1"/>
  <c r="P7" i="23"/>
  <c r="P15" i="23" l="1"/>
  <c r="R26" i="23"/>
  <c r="R27" i="21"/>
  <c r="J11" i="21"/>
  <c r="B11" i="22" l="1"/>
  <c r="J7" i="24"/>
  <c r="E11" i="22" l="1"/>
  <c r="B7" i="25"/>
  <c r="E7" i="25" s="1"/>
  <c r="P7" i="24"/>
  <c r="R27" i="22" l="1"/>
  <c r="J11" i="22"/>
  <c r="P15" i="24"/>
  <c r="R26" i="24"/>
  <c r="B11" i="23" l="1"/>
  <c r="J7" i="25"/>
  <c r="E11" i="23" l="1"/>
  <c r="B7" i="26"/>
  <c r="E7" i="26" s="1"/>
  <c r="P7" i="25"/>
  <c r="R27" i="23" l="1"/>
  <c r="J11" i="23"/>
  <c r="R26" i="25"/>
  <c r="P15" i="25"/>
  <c r="B11" i="24" l="1"/>
  <c r="J7" i="26"/>
  <c r="B7" i="27" l="1"/>
  <c r="P7" i="26"/>
  <c r="E11" i="24"/>
  <c r="R27" i="24" l="1"/>
  <c r="J11" i="24"/>
  <c r="R26" i="26"/>
  <c r="P15" i="26"/>
  <c r="F7" i="27"/>
  <c r="K7" i="27" l="1"/>
  <c r="B11" i="25"/>
  <c r="E11" i="25" l="1"/>
  <c r="B7" i="28"/>
  <c r="Q7" i="27"/>
  <c r="S26" i="27" l="1"/>
  <c r="Q15" i="27"/>
  <c r="F7" i="28"/>
  <c r="R27" i="25"/>
  <c r="J11" i="25"/>
  <c r="K7" i="28" l="1"/>
  <c r="B11" i="26"/>
  <c r="E11" i="26" l="1"/>
  <c r="B7" i="29"/>
  <c r="Q7" i="28"/>
  <c r="F7" i="29" l="1"/>
  <c r="Q15" i="28"/>
  <c r="S26" i="28"/>
  <c r="R27" i="26"/>
  <c r="J11" i="26"/>
  <c r="B11" i="27" l="1"/>
  <c r="K7" i="29"/>
  <c r="B7" i="30" l="1"/>
  <c r="Q7" i="29"/>
  <c r="F11" i="27"/>
  <c r="S27" i="27" l="1"/>
  <c r="K11" i="27"/>
  <c r="Q15" i="29"/>
  <c r="S26" i="29"/>
  <c r="F7" i="30"/>
  <c r="K7" i="30" l="1"/>
  <c r="B11" i="28"/>
  <c r="F11" i="28" l="1"/>
  <c r="B7" i="31"/>
  <c r="Q7" i="30"/>
  <c r="Q15" i="30" l="1"/>
  <c r="S26" i="30"/>
  <c r="F7" i="31"/>
  <c r="S27" i="28"/>
  <c r="K11" i="28"/>
  <c r="B11" i="29" l="1"/>
  <c r="K7" i="31"/>
  <c r="B7" i="32" l="1"/>
  <c r="Q7" i="31"/>
  <c r="F11" i="29"/>
  <c r="S27" i="29" l="1"/>
  <c r="K11" i="29"/>
  <c r="S26" i="31"/>
  <c r="Q15" i="31"/>
  <c r="F7" i="32"/>
  <c r="K7" i="32" l="1"/>
  <c r="B11" i="30"/>
  <c r="F11" i="30" l="1"/>
  <c r="Q7" i="32"/>
  <c r="S26" i="32" l="1"/>
  <c r="Q15" i="32"/>
  <c r="S27" i="30"/>
  <c r="K11" i="30"/>
  <c r="B11" i="31" l="1"/>
  <c r="F11" i="31" l="1"/>
  <c r="S27" i="31" l="1"/>
  <c r="K11" i="31"/>
  <c r="B11" i="32" l="1"/>
  <c r="F11" i="32" l="1"/>
  <c r="S27" i="32" l="1"/>
  <c r="K11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8" authorId="0" shapeId="0" xr:uid="{62C94F4F-A283-4D49-B703-310B75FD84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1200D1B1-EC11-4FC8-8A41-BE1877A995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2D11B5BC-FEDB-432E-B768-01876C0CD6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E1239253-B61A-4577-AC3A-012B35AF8F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E4638CC3-BD45-401E-862A-068798CEE8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D24529F7-4D1E-4492-9246-D4EDEFF8AC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395EBC4-1ACA-4806-A9CD-1B0C56E223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805E297C-B723-4D0A-A4D6-2C181624FC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8512BD40-3A97-40D0-B180-8365285567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3A7C833-0C38-4703-B4DC-7CFA3C9340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C232F272-4C5E-4FD7-BDAF-DBD52E2756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2CD75D63-0F63-43C1-A4C3-17F065C58C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0D7E5895-D2FA-423C-8E8F-7C47E5AB10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52A0B7A3-C674-4CAE-94D7-03A909A130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EE2C607B-6F21-48B1-8C89-9B125B79BC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4EE43011-7525-457C-B013-1A908C427D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0FC038A-7E7A-4237-BB24-4F7D96CEE1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A990A7FA-BCEE-40BE-806E-0CC9085B99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7" authorId="0" shapeId="0" xr:uid="{066E9081-CEC4-45BE-8890-9C417D14B2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7" authorId="0" shapeId="0" xr:uid="{641483A0-FCE6-49D8-BDBB-9A2D208C50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7" authorId="0" shapeId="0" xr:uid="{F0565113-354A-4DA2-BA08-11D6F4915A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7" authorId="0" shapeId="0" xr:uid="{2912B29A-F5C6-4E3E-B61D-0D77559A74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Adm AmericaSoler</author>
  </authors>
  <commentList>
    <comment ref="L17" authorId="0" shapeId="0" xr:uid="{A2B78CCA-DFFE-4082-B73A-653F42ECBD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  <comment ref="K36" authorId="1" shapeId="0" xr:uid="{0EC35761-4CE0-41FA-B5FC-B61DBF10ACC8}">
      <text>
        <r>
          <rPr>
            <b/>
            <sz val="9"/>
            <color indexed="81"/>
            <rFont val="Tahoma"/>
            <charset val="1"/>
          </rPr>
          <t>Adm AmericaSoler:</t>
        </r>
        <r>
          <rPr>
            <sz val="9"/>
            <color indexed="81"/>
            <rFont val="Tahoma"/>
            <charset val="1"/>
          </rPr>
          <t xml:space="preserve">
DEPOSITADO EL 06/03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7" authorId="0" shapeId="0" xr:uid="{06C91CD2-6930-4DBD-920E-9ABCE0691C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7" authorId="0" shapeId="0" xr:uid="{5A04AF97-4D6A-41AF-88E9-75F6384FA6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E3E72B7E-4DD9-4CB4-8BD8-EDDE5FBF92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D71E024F-931D-4691-ABA5-5352F8C218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Adm AmericaSoler</author>
  </authors>
  <commentList>
    <comment ref="L17" authorId="0" shapeId="0" xr:uid="{2FE44E4B-292F-41C3-BF75-C1F8790B3B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  <comment ref="K36" authorId="1" shapeId="0" xr:uid="{B3F8BEC9-1D10-4799-BC11-F91FCF08A878}">
      <text>
        <r>
          <rPr>
            <b/>
            <sz val="9"/>
            <color indexed="81"/>
            <rFont val="Tahoma"/>
            <charset val="1"/>
          </rPr>
          <t>Adm AmericaSoler:</t>
        </r>
        <r>
          <rPr>
            <sz val="9"/>
            <color indexed="81"/>
            <rFont val="Tahoma"/>
            <charset val="1"/>
          </rPr>
          <t xml:space="preserve">
adelanto para pintado de compresor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2100A7EE-DF3D-4F0F-9ED0-92649BC268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A08BBDA-6A87-4769-B07F-0472B32706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E19A3FB3-D380-4CF6-AD74-3874917EE0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sharedStrings.xml><?xml version="1.0" encoding="utf-8"?>
<sst xmlns="http://schemas.openxmlformats.org/spreadsheetml/2006/main" count="7160" uniqueCount="198">
  <si>
    <t>CONTROL DIARIO DE INVENTARIOS Y VENTAS</t>
  </si>
  <si>
    <t>EE.SS.</t>
  </si>
  <si>
    <t>MULTISERVICIOS ECO GAS SAC</t>
  </si>
  <si>
    <t>CODIGO</t>
  </si>
  <si>
    <t>UBICACIÓN</t>
  </si>
  <si>
    <t>ESQ CESAR VALLEJO Y  AV. AMERICA</t>
  </si>
  <si>
    <t>FECHA</t>
  </si>
  <si>
    <t>ELABORADO POR</t>
  </si>
  <si>
    <t>CRISTIAN CASTILLO CRUZ</t>
  </si>
  <si>
    <t xml:space="preserve">FICHA </t>
  </si>
  <si>
    <t xml:space="preserve">TIPO </t>
  </si>
  <si>
    <t xml:space="preserve">INVENT </t>
  </si>
  <si>
    <t>INGRESO</t>
  </si>
  <si>
    <t xml:space="preserve">SALIDAS </t>
  </si>
  <si>
    <t>VARILLAJE</t>
  </si>
  <si>
    <t>VENTAS AL CONTADO</t>
  </si>
  <si>
    <t>COMB</t>
  </si>
  <si>
    <t>INICIAL</t>
  </si>
  <si>
    <t>COMPRA PLANTA</t>
  </si>
  <si>
    <t>PRUEBA SURTIDOR</t>
  </si>
  <si>
    <t>AJUSTE</t>
  </si>
  <si>
    <t>TOTAL INGRESO</t>
  </si>
  <si>
    <t>TOTAL VENTAS</t>
  </si>
  <si>
    <t>TOTAL SALIDA</t>
  </si>
  <si>
    <t>FINAL</t>
  </si>
  <si>
    <t xml:space="preserve">  CANT .               GLNS</t>
  </si>
  <si>
    <t>PRECIO      VENTA</t>
  </si>
  <si>
    <t>VENTA         SOLES</t>
  </si>
  <si>
    <t>DIF</t>
  </si>
  <si>
    <t>GLP</t>
  </si>
  <si>
    <t>PREMIUM</t>
  </si>
  <si>
    <t>REGULAR</t>
  </si>
  <si>
    <t>G-84</t>
  </si>
  <si>
    <t>DB5-S</t>
  </si>
  <si>
    <t xml:space="preserve"> </t>
  </si>
  <si>
    <t>VENTAS CONTADO ESPECIALES y Otros</t>
  </si>
  <si>
    <t>DOCUMENTACIÓN CONTABLE</t>
  </si>
  <si>
    <t xml:space="preserve">RESUMEN DEL EFECTIVO </t>
  </si>
  <si>
    <t>CLIENTE</t>
  </si>
  <si>
    <t>TIPO VTA</t>
  </si>
  <si>
    <t>CANT</t>
  </si>
  <si>
    <t>DESCUENTO</t>
  </si>
  <si>
    <t>SOLES</t>
  </si>
  <si>
    <t>DOC. NRO.</t>
  </si>
  <si>
    <t>DOCUMENTOS</t>
  </si>
  <si>
    <t>DESDE</t>
  </si>
  <si>
    <t>HASTA</t>
  </si>
  <si>
    <t>MODALIDAD</t>
  </si>
  <si>
    <t>GLNS</t>
  </si>
  <si>
    <t>CORPORACION HORIZINTE</t>
  </si>
  <si>
    <t>ESPECIAL</t>
  </si>
  <si>
    <t>DB5 S50 UV</t>
  </si>
  <si>
    <t>FACTURAS            SERIE  012-</t>
  </si>
  <si>
    <t>TOTAL VENTA</t>
  </si>
  <si>
    <t>SEGUNDO BARRIOS Q</t>
  </si>
  <si>
    <t>G-90 P</t>
  </si>
  <si>
    <t>BOLETAS           SERIE  012-</t>
  </si>
  <si>
    <t xml:space="preserve">TARJETA </t>
  </si>
  <si>
    <t>LIQUIDOS</t>
  </si>
  <si>
    <t>ALEX BELLO R.</t>
  </si>
  <si>
    <t>G-PREMIUM</t>
  </si>
  <si>
    <t>G-REGULAR</t>
  </si>
  <si>
    <t>CREDITOS</t>
  </si>
  <si>
    <t>PAGO ADELANTADO (PADE)</t>
  </si>
  <si>
    <t>ERROR DE MAQUINAS LIQ</t>
  </si>
  <si>
    <t>REDCOL</t>
  </si>
  <si>
    <t>GISSELA JUAREZ</t>
  </si>
  <si>
    <t>TRANSPORTES DAYRON Y NICOL EIRL</t>
  </si>
  <si>
    <t xml:space="preserve">SALDO </t>
  </si>
  <si>
    <t>CONSUMO</t>
  </si>
  <si>
    <t>CONSUMO DE PAGO ADELANTADOS</t>
  </si>
  <si>
    <t>PANIFICADORA SANDOVAL</t>
  </si>
  <si>
    <t>DEP. RETENCION</t>
  </si>
  <si>
    <t>DESCUENTO ESPECIAL</t>
  </si>
  <si>
    <t>AGROPECUARIA LA ENCANTADA SAC</t>
  </si>
  <si>
    <t>PAGO</t>
  </si>
  <si>
    <t>CREDITOS CLIENTES ESPECIALES</t>
  </si>
  <si>
    <t>FELIPE IBAÑEZ E.</t>
  </si>
  <si>
    <t>SALDO</t>
  </si>
  <si>
    <t>TOTAL VENTA DEPOSITAR</t>
  </si>
  <si>
    <t xml:space="preserve">GISSELA JUAREZ </t>
  </si>
  <si>
    <t>OBRAS CIVILES</t>
  </si>
  <si>
    <t>INFORMACION RECEPCION COMBUSTIBLES</t>
  </si>
  <si>
    <t>COMB.</t>
  </si>
  <si>
    <t>CANT.</t>
  </si>
  <si>
    <t>GUIA/FACT</t>
  </si>
  <si>
    <t>PLACA</t>
  </si>
  <si>
    <t>HORA/CHOFER</t>
  </si>
  <si>
    <t>OBSERVACION</t>
  </si>
  <si>
    <t xml:space="preserve">GLP </t>
  </si>
  <si>
    <t>G</t>
  </si>
  <si>
    <t>J LUICHO</t>
  </si>
  <si>
    <t>CHARITO SEBASTIAN MILSEN</t>
  </si>
  <si>
    <t>V CONDORI</t>
  </si>
  <si>
    <t>COCAPE</t>
  </si>
  <si>
    <t>CORPORACION AGREDA</t>
  </si>
  <si>
    <t>ESTEBAN DC</t>
  </si>
  <si>
    <t>TOTAL</t>
  </si>
  <si>
    <t>ABAST L</t>
  </si>
  <si>
    <t>B</t>
  </si>
  <si>
    <t>ABAST glp</t>
  </si>
  <si>
    <t xml:space="preserve">VENTA CON TARJETAS </t>
  </si>
  <si>
    <t>PRODUCTOS</t>
  </si>
  <si>
    <t>TOTEM</t>
  </si>
  <si>
    <t>P. DSCTO</t>
  </si>
  <si>
    <t>TOTAL DSCTO</t>
  </si>
  <si>
    <t>BANCO</t>
  </si>
  <si>
    <t>OBSERVACIONES.-</t>
  </si>
  <si>
    <t>G-95</t>
  </si>
  <si>
    <t>NIUBIZ (V)</t>
  </si>
  <si>
    <t>G-90</t>
  </si>
  <si>
    <t>C Y M  SERVICENTROS</t>
  </si>
  <si>
    <t>IZIPAY (M)</t>
  </si>
  <si>
    <t>DEPOSITO 1</t>
  </si>
  <si>
    <t>DEPOSITO A BANCO aL :</t>
  </si>
  <si>
    <t>DEPOSITO 2</t>
  </si>
  <si>
    <t>983-0219037</t>
  </si>
  <si>
    <t>TOT DET</t>
  </si>
  <si>
    <t>983-0219045</t>
  </si>
  <si>
    <t>total GRAL</t>
  </si>
  <si>
    <t>DIFERENCIA</t>
  </si>
  <si>
    <t>PROD</t>
  </si>
  <si>
    <t>GALNS</t>
  </si>
  <si>
    <t>PRECIO</t>
  </si>
  <si>
    <t xml:space="preserve">SOLES </t>
  </si>
  <si>
    <t>DESCARGA GLP</t>
  </si>
  <si>
    <t>peso</t>
  </si>
  <si>
    <t>galones</t>
  </si>
  <si>
    <t>litros</t>
  </si>
  <si>
    <t>precio del galon</t>
  </si>
  <si>
    <t>SCOTIABANAK</t>
  </si>
  <si>
    <t>DB-5</t>
  </si>
  <si>
    <t>factura</t>
  </si>
  <si>
    <t>CTA. AHORROS =</t>
  </si>
  <si>
    <t>L</t>
  </si>
  <si>
    <t>NORTE</t>
  </si>
  <si>
    <t>CCI = 009-134-209830219037-88</t>
  </si>
  <si>
    <t>LIMA</t>
  </si>
  <si>
    <t>009134209830219037-88</t>
  </si>
  <si>
    <t>492-6948</t>
  </si>
  <si>
    <t>492-1828</t>
  </si>
  <si>
    <t>492-7014</t>
  </si>
  <si>
    <t>2840</t>
  </si>
  <si>
    <t>492-1855</t>
  </si>
  <si>
    <t>0017-5183</t>
  </si>
  <si>
    <t>A4D-979</t>
  </si>
  <si>
    <t>PUNTO GAS</t>
  </si>
  <si>
    <t>492-1866</t>
  </si>
  <si>
    <t>492-7083</t>
  </si>
  <si>
    <t>492-7174</t>
  </si>
  <si>
    <t>492-1897</t>
  </si>
  <si>
    <t>492-7160</t>
  </si>
  <si>
    <t>492-7260</t>
  </si>
  <si>
    <t>492-7315</t>
  </si>
  <si>
    <t>492-7356</t>
  </si>
  <si>
    <t>492-1963</t>
  </si>
  <si>
    <t>2870</t>
  </si>
  <si>
    <t>0032-3910</t>
  </si>
  <si>
    <t>D7A-971</t>
  </si>
  <si>
    <t>492-7371</t>
  </si>
  <si>
    <t>VEI-970</t>
  </si>
  <si>
    <t>F010-12069</t>
  </si>
  <si>
    <t>PAGO CONEXIÓN EN CALIENTE-HIDRANDINA</t>
  </si>
  <si>
    <t>492-7433</t>
  </si>
  <si>
    <t>492-7470</t>
  </si>
  <si>
    <t>492-2008</t>
  </si>
  <si>
    <t>492-7484</t>
  </si>
  <si>
    <t>f016-62133</t>
  </si>
  <si>
    <t>f7y-991</t>
  </si>
  <si>
    <t>492-2016</t>
  </si>
  <si>
    <t>492-2017</t>
  </si>
  <si>
    <t>492-7535</t>
  </si>
  <si>
    <t>1900</t>
  </si>
  <si>
    <t>0032-3927</t>
  </si>
  <si>
    <t>492-7573</t>
  </si>
  <si>
    <t>492-2050</t>
  </si>
  <si>
    <t>492-7641</t>
  </si>
  <si>
    <t>GASTO POR COMPRA DE MEDIDOR LUZ - AUT MAURICIO</t>
  </si>
  <si>
    <t>492-685</t>
  </si>
  <si>
    <t>F010-12127</t>
  </si>
  <si>
    <t>A2N-897</t>
  </si>
  <si>
    <t>F010-12126</t>
  </si>
  <si>
    <t>492-7734</t>
  </si>
  <si>
    <t>2900</t>
  </si>
  <si>
    <t>0032-3935</t>
  </si>
  <si>
    <t>492-2105</t>
  </si>
  <si>
    <t>492-2138</t>
  </si>
  <si>
    <t>F010-12146</t>
  </si>
  <si>
    <t>492-2164</t>
  </si>
  <si>
    <t>492-7893/4</t>
  </si>
  <si>
    <t>2890</t>
  </si>
  <si>
    <t>0032-3950</t>
  </si>
  <si>
    <t>492-2179</t>
  </si>
  <si>
    <t>F010-12169</t>
  </si>
  <si>
    <t>492-2203</t>
  </si>
  <si>
    <t>f010-12180</t>
  </si>
  <si>
    <t>492-2213</t>
  </si>
  <si>
    <t>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</si>
</sst>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(* #,##0.00_);_(* \(#,##0.00\);_(* &quot;-&quot;??_);_(@_)"/>
    <numFmt numFmtId="165" formatCode="_ * #,##0.000_ ;_ * \-#,##0.000_ ;_ * &quot;-&quot;??_ ;_ @_ "/>
    <numFmt numFmtId="166" formatCode="_(* #,##0.000_);_(* \(#,##0.000\);_(* &quot;-&quot;??_);_(@_)"/>
    <numFmt numFmtId="167" formatCode="0.000"/>
    <numFmt numFmtId="168" formatCode="_-* #,##0.00\ _€_-;\-* #,##0.00\ _€_-;_-* &quot;-&quot;??\ _€_-;_-@_-"/>
    <numFmt numFmtId="169" formatCode="_ * #,##0.00_ ;_ * \-#,##0.00_ ;_ * &quot;-&quot;??_ ;_ @_ "/>
    <numFmt numFmtId="170" formatCode="_ [$S/.-280A]\ * #,##0.00_ ;_ [$S/.-280A]\ * \-#,##0.00_ ;_ [$S/.-280A]\ * &quot;-&quot;??_ ;_ @_ "/>
    <numFmt numFmtId="171" formatCode="h:mm:ss;@"/>
    <numFmt numFmtId="172" formatCode="0.0000"/>
    <numFmt numFmtId="173" formatCode="_ &quot;S/.&quot;\ * #,##0.00_ ;_ &quot;S/.&quot;\ * \-#,##0.00_ ;_ &quot;S/.&quot;\ * &quot;-&quot;??_ ;_ @_ "/>
    <numFmt numFmtId="174" formatCode="dd/mm/yyyy;@"/>
    <numFmt numFmtId="175" formatCode="&quot;S/&quot;#,##0.00"/>
    <numFmt numFmtId="176" formatCode="_-[$S/-280A]* #,##0.00_-;\-[$S/-280A]* #,##0.00_-;_-[$S/-280A]* &quot;-&quot;??_-;_-@_-"/>
    <numFmt numFmtId="177" formatCode="_-* #,##0.0000\ _€_-;\-* #,##0.0000\ _€_-;_-* &quot;-&quot;??\ _€_-;_-@_-"/>
    <numFmt numFmtId="178" formatCode="_(* #,##0.0000_);_(* \(#,##0.0000\);_(* &quot;-&quot;??_);_(@_)"/>
    <numFmt numFmtId="179" formatCode="_ * #,##0.0000_ ;_ * \-#,##0.0000_ ;_ * &quot;-&quot;??_ ;_ @_ "/>
    <numFmt numFmtId="180" formatCode="#,##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Arial"/>
      <family val="2"/>
    </font>
    <font>
      <b/>
      <sz val="8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002060"/>
      <name val="Arial"/>
      <family val="2"/>
    </font>
    <font>
      <b/>
      <sz val="8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1"/>
      <color theme="5" tint="0.79998168889431442"/>
      <name val="Calibri"/>
      <family val="2"/>
      <scheme val="minor"/>
    </font>
    <font>
      <sz val="8"/>
      <color theme="0"/>
      <name val="Arial"/>
      <family val="2"/>
    </font>
    <font>
      <b/>
      <sz val="9"/>
      <color rgb="FF002060"/>
      <name val="Arial"/>
      <family val="2"/>
    </font>
    <font>
      <b/>
      <sz val="7"/>
      <color rgb="FF002060"/>
      <name val="Arial"/>
      <family val="2"/>
    </font>
    <font>
      <b/>
      <sz val="11"/>
      <color rgb="FF002060"/>
      <name val="Calibri"/>
      <family val="2"/>
      <scheme val="minor"/>
    </font>
    <font>
      <sz val="8"/>
      <color theme="2" tint="-9.9978637043366805E-2"/>
      <name val="Arial"/>
      <family val="2"/>
    </font>
    <font>
      <sz val="10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002060"/>
      <name val="Arial"/>
      <family val="2"/>
    </font>
    <font>
      <sz val="12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rgb="FFFF0000"/>
      <name val="Arial"/>
      <family val="2"/>
    </font>
    <font>
      <sz val="11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8"/>
      <color theme="4" tint="-0.249977111117893"/>
      <name val="Arial"/>
      <family val="2"/>
    </font>
    <font>
      <sz val="9"/>
      <color rgb="FF002060"/>
      <name val="Calibri"/>
      <family val="2"/>
      <scheme val="minor"/>
    </font>
    <font>
      <sz val="9"/>
      <color theme="4" tint="-0.249977111117893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364">
    <xf numFmtId="0" fontId="0" fillId="0" borderId="0" xfId="0"/>
    <xf numFmtId="0" fontId="6" fillId="2" borderId="7" xfId="0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7" fillId="0" borderId="0" xfId="0" applyFont="1"/>
    <xf numFmtId="0" fontId="6" fillId="2" borderId="14" xfId="0" applyFont="1" applyFill="1" applyBorder="1" applyAlignment="1">
      <alignment horizontal="left" vertical="top" wrapText="1"/>
    </xf>
    <xf numFmtId="14" fontId="8" fillId="0" borderId="0" xfId="0" applyNumberFormat="1" applyFont="1" applyAlignment="1">
      <alignment wrapText="1"/>
    </xf>
    <xf numFmtId="0" fontId="6" fillId="2" borderId="22" xfId="0" applyFont="1" applyFill="1" applyBorder="1" applyAlignment="1">
      <alignment horizontal="left" vertical="top" wrapText="1"/>
    </xf>
    <xf numFmtId="1" fontId="7" fillId="0" borderId="0" xfId="0" applyNumberFormat="1" applyFont="1"/>
    <xf numFmtId="0" fontId="6" fillId="0" borderId="24" xfId="0" applyFont="1" applyBorder="1" applyAlignment="1">
      <alignment vertical="top"/>
    </xf>
    <xf numFmtId="0" fontId="6" fillId="0" borderId="25" xfId="0" applyFont="1" applyBorder="1" applyAlignment="1">
      <alignment vertical="top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6" fillId="0" borderId="29" xfId="1" applyNumberFormat="1" applyFont="1" applyBorder="1" applyAlignment="1">
      <alignment horizontal="left" vertical="center" wrapText="1"/>
    </xf>
    <xf numFmtId="165" fontId="6" fillId="0" borderId="14" xfId="1" applyNumberFormat="1" applyFont="1" applyBorder="1" applyAlignment="1">
      <alignment vertical="top"/>
    </xf>
    <xf numFmtId="165" fontId="6" fillId="0" borderId="14" xfId="1" applyNumberFormat="1" applyFont="1" applyBorder="1" applyAlignment="1">
      <alignment horizontal="center" vertical="center" wrapText="1"/>
    </xf>
    <xf numFmtId="165" fontId="6" fillId="0" borderId="14" xfId="1" applyNumberFormat="1" applyFont="1" applyBorder="1" applyAlignment="1">
      <alignment horizontal="right" vertical="center" wrapText="1"/>
    </xf>
    <xf numFmtId="165" fontId="6" fillId="0" borderId="14" xfId="1" applyNumberFormat="1" applyFont="1" applyBorder="1" applyAlignment="1">
      <alignment horizontal="right" vertical="top"/>
    </xf>
    <xf numFmtId="165" fontId="10" fillId="0" borderId="14" xfId="1" applyNumberFormat="1" applyFont="1" applyBorder="1" applyAlignment="1">
      <alignment horizontal="center" vertical="center" wrapText="1"/>
    </xf>
    <xf numFmtId="165" fontId="10" fillId="0" borderId="14" xfId="1" applyNumberFormat="1" applyFont="1" applyBorder="1" applyAlignment="1">
      <alignment horizontal="right" vertical="center" wrapText="1"/>
    </xf>
    <xf numFmtId="165" fontId="10" fillId="3" borderId="14" xfId="1" applyNumberFormat="1" applyFont="1" applyFill="1" applyBorder="1" applyAlignment="1">
      <alignment vertical="top"/>
    </xf>
    <xf numFmtId="165" fontId="10" fillId="4" borderId="14" xfId="1" applyNumberFormat="1" applyFont="1" applyFill="1" applyBorder="1" applyAlignment="1">
      <alignment vertical="top"/>
    </xf>
    <xf numFmtId="165" fontId="6" fillId="0" borderId="11" xfId="1" applyNumberFormat="1" applyFont="1" applyBorder="1" applyAlignment="1">
      <alignment horizontal="right" vertical="top"/>
    </xf>
    <xf numFmtId="164" fontId="11" fillId="0" borderId="14" xfId="1" applyFont="1" applyBorder="1" applyAlignment="1">
      <alignment horizontal="center" wrapText="1"/>
    </xf>
    <xf numFmtId="165" fontId="7" fillId="0" borderId="0" xfId="1" applyNumberFormat="1" applyFont="1"/>
    <xf numFmtId="165" fontId="12" fillId="0" borderId="0" xfId="1" applyNumberFormat="1" applyFont="1" applyBorder="1" applyAlignment="1">
      <alignment wrapText="1"/>
    </xf>
    <xf numFmtId="166" fontId="6" fillId="0" borderId="14" xfId="1" applyNumberFormat="1" applyFont="1" applyBorder="1" applyAlignment="1">
      <alignment horizontal="right" vertical="top"/>
    </xf>
    <xf numFmtId="0" fontId="13" fillId="0" borderId="0" xfId="0" quotePrefix="1" applyFont="1" applyAlignment="1">
      <alignment vertical="center"/>
    </xf>
    <xf numFmtId="165" fontId="14" fillId="0" borderId="0" xfId="1" applyNumberFormat="1" applyFont="1" applyBorder="1" applyAlignment="1">
      <alignment wrapText="1"/>
    </xf>
    <xf numFmtId="165" fontId="7" fillId="0" borderId="0" xfId="1" applyNumberFormat="1" applyFont="1" applyBorder="1" applyAlignment="1"/>
    <xf numFmtId="165" fontId="6" fillId="0" borderId="31" xfId="1" applyNumberFormat="1" applyFont="1" applyBorder="1" applyAlignment="1">
      <alignment horizontal="left" vertical="top"/>
    </xf>
    <xf numFmtId="165" fontId="14" fillId="0" borderId="0" xfId="1" applyNumberFormat="1" applyFont="1"/>
    <xf numFmtId="165" fontId="6" fillId="0" borderId="32" xfId="1" applyNumberFormat="1" applyFont="1" applyBorder="1" applyAlignment="1">
      <alignment horizontal="left" vertical="top"/>
    </xf>
    <xf numFmtId="165" fontId="6" fillId="0" borderId="22" xfId="1" applyNumberFormat="1" applyFont="1" applyBorder="1" applyAlignment="1">
      <alignment horizontal="center" vertical="center" wrapText="1"/>
    </xf>
    <xf numFmtId="166" fontId="6" fillId="0" borderId="22" xfId="1" applyNumberFormat="1" applyFont="1" applyBorder="1" applyAlignment="1">
      <alignment horizontal="right" vertical="top"/>
    </xf>
    <xf numFmtId="165" fontId="6" fillId="0" borderId="22" xfId="1" applyNumberFormat="1" applyFont="1" applyBorder="1" applyAlignment="1">
      <alignment horizontal="right" vertical="top"/>
    </xf>
    <xf numFmtId="165" fontId="10" fillId="0" borderId="22" xfId="1" applyNumberFormat="1" applyFont="1" applyBorder="1" applyAlignment="1">
      <alignment horizontal="center" vertical="center" wrapText="1"/>
    </xf>
    <xf numFmtId="165" fontId="6" fillId="0" borderId="22" xfId="1" applyNumberFormat="1" applyFont="1" applyBorder="1" applyAlignment="1">
      <alignment vertical="top"/>
    </xf>
    <xf numFmtId="165" fontId="6" fillId="0" borderId="33" xfId="1" applyNumberFormat="1" applyFont="1" applyBorder="1" applyAlignment="1">
      <alignment horizontal="right" vertical="top"/>
    </xf>
    <xf numFmtId="165" fontId="6" fillId="0" borderId="34" xfId="1" applyNumberFormat="1" applyFont="1" applyBorder="1" applyAlignment="1">
      <alignment horizontal="center" vertical="top"/>
    </xf>
    <xf numFmtId="2" fontId="6" fillId="0" borderId="0" xfId="0" applyNumberFormat="1" applyFont="1" applyAlignment="1">
      <alignment wrapText="1"/>
    </xf>
    <xf numFmtId="168" fontId="15" fillId="0" borderId="0" xfId="0" applyNumberFormat="1" applyFont="1" applyAlignment="1">
      <alignment wrapText="1"/>
    </xf>
    <xf numFmtId="0" fontId="6" fillId="5" borderId="14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38" xfId="0" applyFont="1" applyBorder="1" applyAlignment="1">
      <alignment horizontal="center" vertical="top" wrapText="1"/>
    </xf>
    <xf numFmtId="0" fontId="6" fillId="3" borderId="36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167" fontId="6" fillId="4" borderId="14" xfId="0" applyNumberFormat="1" applyFont="1" applyFill="1" applyBorder="1" applyAlignment="1">
      <alignment horizontal="right"/>
    </xf>
    <xf numFmtId="2" fontId="6" fillId="6" borderId="14" xfId="0" applyNumberFormat="1" applyFont="1" applyFill="1" applyBorder="1"/>
    <xf numFmtId="4" fontId="6" fillId="3" borderId="14" xfId="0" applyNumberFormat="1" applyFont="1" applyFill="1" applyBorder="1"/>
    <xf numFmtId="0" fontId="16" fillId="4" borderId="11" xfId="0" applyFont="1" applyFill="1" applyBorder="1" applyAlignment="1">
      <alignment horizontal="center"/>
    </xf>
    <xf numFmtId="0" fontId="6" fillId="0" borderId="39" xfId="0" applyFont="1" applyBorder="1" applyAlignment="1">
      <alignment horizontal="center" vertical="top" wrapText="1"/>
    </xf>
    <xf numFmtId="167" fontId="17" fillId="0" borderId="14" xfId="0" applyNumberFormat="1" applyFont="1" applyBorder="1" applyAlignment="1">
      <alignment vertical="top" wrapText="1"/>
    </xf>
    <xf numFmtId="164" fontId="6" fillId="0" borderId="38" xfId="1" applyFont="1" applyFill="1" applyBorder="1" applyAlignment="1">
      <alignment horizontal="right" vertical="top" wrapText="1"/>
    </xf>
    <xf numFmtId="0" fontId="6" fillId="0" borderId="41" xfId="0" applyFont="1" applyBorder="1" applyAlignment="1">
      <alignment horizontal="center" vertical="top" wrapText="1"/>
    </xf>
    <xf numFmtId="167" fontId="6" fillId="0" borderId="14" xfId="0" applyNumberFormat="1" applyFont="1" applyBorder="1" applyAlignment="1">
      <alignment vertical="top" wrapText="1"/>
    </xf>
    <xf numFmtId="167" fontId="6" fillId="4" borderId="14" xfId="0" applyNumberFormat="1" applyFont="1" applyFill="1" applyBorder="1"/>
    <xf numFmtId="164" fontId="6" fillId="4" borderId="38" xfId="1" applyFont="1" applyFill="1" applyBorder="1" applyAlignment="1">
      <alignment horizontal="right" vertical="center" wrapText="1"/>
    </xf>
    <xf numFmtId="0" fontId="7" fillId="0" borderId="0" xfId="0" applyFont="1" applyAlignment="1">
      <alignment wrapText="1"/>
    </xf>
    <xf numFmtId="169" fontId="16" fillId="4" borderId="11" xfId="0" applyNumberFormat="1" applyFont="1" applyFill="1" applyBorder="1" applyAlignment="1">
      <alignment horizontal="center"/>
    </xf>
    <xf numFmtId="0" fontId="6" fillId="3" borderId="29" xfId="0" applyFont="1" applyFill="1" applyBorder="1"/>
    <xf numFmtId="164" fontId="6" fillId="3" borderId="38" xfId="1" applyFont="1" applyFill="1" applyBorder="1"/>
    <xf numFmtId="0" fontId="6" fillId="3" borderId="31" xfId="0" applyFont="1" applyFill="1" applyBorder="1"/>
    <xf numFmtId="164" fontId="6" fillId="3" borderId="43" xfId="1" applyFont="1" applyFill="1" applyBorder="1"/>
    <xf numFmtId="0" fontId="6" fillId="3" borderId="12" xfId="0" applyFont="1" applyFill="1" applyBorder="1"/>
    <xf numFmtId="164" fontId="6" fillId="0" borderId="38" xfId="1" applyFont="1" applyFill="1" applyBorder="1" applyAlignment="1">
      <alignment horizontal="right" vertical="center" wrapText="1"/>
    </xf>
    <xf numFmtId="164" fontId="6" fillId="0" borderId="38" xfId="1" applyFont="1" applyBorder="1"/>
    <xf numFmtId="164" fontId="6" fillId="8" borderId="44" xfId="1" applyFont="1" applyFill="1" applyBorder="1" applyAlignment="1">
      <alignment vertical="top" wrapText="1"/>
    </xf>
    <xf numFmtId="164" fontId="6" fillId="8" borderId="23" xfId="1" applyFont="1" applyFill="1" applyBorder="1" applyAlignment="1">
      <alignment vertical="top" wrapText="1"/>
    </xf>
    <xf numFmtId="0" fontId="6" fillId="8" borderId="12" xfId="0" applyFont="1" applyFill="1" applyBorder="1" applyAlignment="1">
      <alignment vertical="top" wrapText="1"/>
    </xf>
    <xf numFmtId="164" fontId="6" fillId="8" borderId="12" xfId="1" applyFont="1" applyFill="1" applyBorder="1" applyAlignment="1">
      <alignment vertical="top" wrapText="1"/>
    </xf>
    <xf numFmtId="2" fontId="6" fillId="5" borderId="14" xfId="0" applyNumberFormat="1" applyFont="1" applyFill="1" applyBorder="1" applyAlignment="1">
      <alignment vertical="center"/>
    </xf>
    <xf numFmtId="164" fontId="6" fillId="5" borderId="38" xfId="1" applyFont="1" applyFill="1" applyBorder="1" applyAlignment="1">
      <alignment vertical="center"/>
    </xf>
    <xf numFmtId="0" fontId="4" fillId="0" borderId="0" xfId="0" applyFont="1"/>
    <xf numFmtId="170" fontId="17" fillId="3" borderId="43" xfId="0" applyNumberFormat="1" applyFont="1" applyFill="1" applyBorder="1"/>
    <xf numFmtId="0" fontId="6" fillId="0" borderId="31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 wrapText="1"/>
    </xf>
    <xf numFmtId="164" fontId="6" fillId="3" borderId="14" xfId="1" applyFont="1" applyFill="1" applyBorder="1" applyAlignment="1">
      <alignment horizontal="center" vertical="center" wrapText="1"/>
    </xf>
    <xf numFmtId="1" fontId="17" fillId="3" borderId="1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71" fontId="6" fillId="3" borderId="14" xfId="0" applyNumberFormat="1" applyFont="1" applyFill="1" applyBorder="1" applyAlignment="1">
      <alignment horizontal="center" vertical="center" wrapText="1"/>
    </xf>
    <xf numFmtId="1" fontId="6" fillId="3" borderId="38" xfId="0" applyNumberFormat="1" applyFont="1" applyFill="1" applyBorder="1" applyAlignment="1">
      <alignment horizontal="center" vertical="center" wrapText="1"/>
    </xf>
    <xf numFmtId="168" fontId="19" fillId="0" borderId="0" xfId="0" applyNumberFormat="1" applyFont="1" applyAlignment="1">
      <alignment wrapText="1"/>
    </xf>
    <xf numFmtId="172" fontId="6" fillId="3" borderId="38" xfId="0" applyNumberFormat="1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vertical="top" wrapText="1"/>
    </xf>
    <xf numFmtId="172" fontId="6" fillId="3" borderId="38" xfId="1" applyNumberFormat="1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/>
    </xf>
    <xf numFmtId="167" fontId="6" fillId="6" borderId="14" xfId="0" applyNumberFormat="1" applyFont="1" applyFill="1" applyBorder="1"/>
    <xf numFmtId="4" fontId="6" fillId="6" borderId="14" xfId="0" applyNumberFormat="1" applyFont="1" applyFill="1" applyBorder="1"/>
    <xf numFmtId="0" fontId="16" fillId="0" borderId="11" xfId="0" applyFont="1" applyBorder="1" applyAlignment="1">
      <alignment horizontal="center"/>
    </xf>
    <xf numFmtId="4" fontId="6" fillId="3" borderId="43" xfId="0" applyNumberFormat="1" applyFont="1" applyFill="1" applyBorder="1"/>
    <xf numFmtId="0" fontId="6" fillId="0" borderId="12" xfId="0" applyFont="1" applyBorder="1" applyAlignment="1">
      <alignment horizontal="center" vertical="top"/>
    </xf>
    <xf numFmtId="0" fontId="6" fillId="6" borderId="45" xfId="0" applyFont="1" applyFill="1" applyBorder="1" applyAlignment="1">
      <alignment horizontal="center" vertical="center"/>
    </xf>
    <xf numFmtId="1" fontId="6" fillId="3" borderId="46" xfId="0" applyNumberFormat="1" applyFont="1" applyFill="1" applyBorder="1" applyAlignment="1">
      <alignment horizontal="center" vertical="center" wrapText="1"/>
    </xf>
    <xf numFmtId="164" fontId="7" fillId="0" borderId="0" xfId="0" applyNumberFormat="1" applyFont="1"/>
    <xf numFmtId="0" fontId="17" fillId="6" borderId="3" xfId="0" applyFont="1" applyFill="1" applyBorder="1"/>
    <xf numFmtId="0" fontId="6" fillId="6" borderId="28" xfId="0" applyFont="1" applyFill="1" applyBorder="1"/>
    <xf numFmtId="0" fontId="17" fillId="5" borderId="47" xfId="0" applyFont="1" applyFill="1" applyBorder="1" applyAlignment="1">
      <alignment horizontal="center"/>
    </xf>
    <xf numFmtId="173" fontId="20" fillId="0" borderId="11" xfId="0" applyNumberFormat="1" applyFont="1" applyBorder="1" applyAlignment="1">
      <alignment vertical="center"/>
    </xf>
    <xf numFmtId="0" fontId="6" fillId="5" borderId="1" xfId="0" applyFont="1" applyFill="1" applyBorder="1" applyAlignment="1">
      <alignment horizontal="right" vertical="center"/>
    </xf>
    <xf numFmtId="14" fontId="6" fillId="5" borderId="40" xfId="0" applyNumberFormat="1" applyFont="1" applyFill="1" applyBorder="1" applyAlignment="1">
      <alignment horizontal="left" vertical="center"/>
    </xf>
    <xf numFmtId="168" fontId="6" fillId="0" borderId="0" xfId="0" applyNumberFormat="1" applyFont="1" applyAlignment="1">
      <alignment wrapText="1"/>
    </xf>
    <xf numFmtId="0" fontId="6" fillId="0" borderId="48" xfId="0" applyFont="1" applyBorder="1" applyAlignment="1">
      <alignment vertical="top"/>
    </xf>
    <xf numFmtId="0" fontId="6" fillId="0" borderId="49" xfId="0" applyFont="1" applyBorder="1" applyAlignment="1">
      <alignment horizontal="center" vertical="top"/>
    </xf>
    <xf numFmtId="167" fontId="6" fillId="0" borderId="7" xfId="0" applyNumberFormat="1" applyFont="1" applyBorder="1" applyAlignment="1">
      <alignment vertical="top"/>
    </xf>
    <xf numFmtId="4" fontId="6" fillId="0" borderId="7" xfId="0" applyNumberFormat="1" applyFont="1" applyBorder="1" applyAlignment="1">
      <alignment vertical="top"/>
    </xf>
    <xf numFmtId="2" fontId="6" fillId="4" borderId="7" xfId="0" applyNumberFormat="1" applyFont="1" applyFill="1" applyBorder="1" applyAlignment="1">
      <alignment vertical="top"/>
    </xf>
    <xf numFmtId="2" fontId="6" fillId="5" borderId="39" xfId="0" applyNumberFormat="1" applyFont="1" applyFill="1" applyBorder="1" applyAlignment="1">
      <alignment horizontal="right" vertical="top"/>
    </xf>
    <xf numFmtId="0" fontId="6" fillId="3" borderId="20" xfId="0" applyFont="1" applyFill="1" applyBorder="1" applyAlignment="1">
      <alignment vertical="top" wrapText="1"/>
    </xf>
    <xf numFmtId="164" fontId="6" fillId="3" borderId="19" xfId="1" applyFont="1" applyFill="1" applyBorder="1" applyAlignment="1">
      <alignment vertical="top" wrapText="1"/>
    </xf>
    <xf numFmtId="173" fontId="20" fillId="4" borderId="39" xfId="0" applyNumberFormat="1" applyFont="1" applyFill="1" applyBorder="1" applyAlignment="1">
      <alignment vertical="center"/>
    </xf>
    <xf numFmtId="0" fontId="6" fillId="0" borderId="51" xfId="0" applyFont="1" applyBorder="1" applyAlignment="1">
      <alignment vertical="top"/>
    </xf>
    <xf numFmtId="164" fontId="6" fillId="4" borderId="14" xfId="0" applyNumberFormat="1" applyFont="1" applyFill="1" applyBorder="1" applyAlignment="1">
      <alignment vertical="top"/>
    </xf>
    <xf numFmtId="0" fontId="6" fillId="0" borderId="31" xfId="0" applyFont="1" applyBorder="1" applyAlignment="1">
      <alignment horizontal="center" vertical="top"/>
    </xf>
    <xf numFmtId="167" fontId="6" fillId="0" borderId="14" xfId="0" applyNumberFormat="1" applyFont="1" applyBorder="1" applyAlignment="1">
      <alignment vertical="top"/>
    </xf>
    <xf numFmtId="4" fontId="6" fillId="0" borderId="14" xfId="0" applyNumberFormat="1" applyFont="1" applyBorder="1" applyAlignment="1">
      <alignment vertical="top"/>
    </xf>
    <xf numFmtId="2" fontId="6" fillId="4" borderId="14" xfId="0" applyNumberFormat="1" applyFont="1" applyFill="1" applyBorder="1" applyAlignment="1">
      <alignment vertical="top"/>
    </xf>
    <xf numFmtId="2" fontId="6" fillId="5" borderId="38" xfId="0" applyNumberFormat="1" applyFont="1" applyFill="1" applyBorder="1" applyAlignment="1">
      <alignment horizontal="right" vertical="top"/>
    </xf>
    <xf numFmtId="0" fontId="6" fillId="3" borderId="31" xfId="0" applyFont="1" applyFill="1" applyBorder="1" applyAlignment="1">
      <alignment horizontal="center" vertical="top"/>
    </xf>
    <xf numFmtId="173" fontId="20" fillId="4" borderId="38" xfId="0" applyNumberFormat="1" applyFont="1" applyFill="1" applyBorder="1" applyAlignment="1">
      <alignment vertical="center"/>
    </xf>
    <xf numFmtId="0" fontId="6" fillId="0" borderId="36" xfId="0" applyFont="1" applyBorder="1" applyAlignment="1">
      <alignment vertical="top"/>
    </xf>
    <xf numFmtId="164" fontId="6" fillId="9" borderId="14" xfId="0" applyNumberFormat="1" applyFont="1" applyFill="1" applyBorder="1" applyAlignment="1">
      <alignment vertical="top"/>
    </xf>
    <xf numFmtId="0" fontId="6" fillId="3" borderId="5" xfId="0" applyFont="1" applyFill="1" applyBorder="1"/>
    <xf numFmtId="164" fontId="6" fillId="3" borderId="48" xfId="1" applyFont="1" applyFill="1" applyBorder="1"/>
    <xf numFmtId="173" fontId="20" fillId="0" borderId="38" xfId="0" applyNumberFormat="1" applyFont="1" applyBorder="1" applyAlignment="1">
      <alignment vertical="center"/>
    </xf>
    <xf numFmtId="174" fontId="5" fillId="5" borderId="2" xfId="0" applyNumberFormat="1" applyFont="1" applyFill="1" applyBorder="1" applyAlignment="1">
      <alignment wrapText="1"/>
    </xf>
    <xf numFmtId="0" fontId="6" fillId="0" borderId="14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4" fontId="6" fillId="3" borderId="48" xfId="0" applyNumberFormat="1" applyFont="1" applyFill="1" applyBorder="1"/>
    <xf numFmtId="0" fontId="6" fillId="0" borderId="45" xfId="0" applyFont="1" applyBorder="1" applyAlignment="1">
      <alignment horizontal="center" vertical="top"/>
    </xf>
    <xf numFmtId="173" fontId="20" fillId="0" borderId="52" xfId="0" applyNumberFormat="1" applyFont="1" applyBorder="1" applyAlignment="1">
      <alignment vertical="center"/>
    </xf>
    <xf numFmtId="164" fontId="16" fillId="0" borderId="5" xfId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3" fillId="0" borderId="7" xfId="0" applyNumberFormat="1" applyFont="1" applyBorder="1"/>
    <xf numFmtId="164" fontId="23" fillId="0" borderId="39" xfId="0" applyNumberFormat="1" applyFont="1" applyBorder="1"/>
    <xf numFmtId="164" fontId="2" fillId="0" borderId="0" xfId="1" applyFont="1"/>
    <xf numFmtId="0" fontId="6" fillId="0" borderId="53" xfId="0" applyFont="1" applyBorder="1" applyAlignment="1">
      <alignment vertical="top"/>
    </xf>
    <xf numFmtId="164" fontId="6" fillId="0" borderId="54" xfId="0" applyNumberFormat="1" applyFont="1" applyBorder="1" applyAlignment="1">
      <alignment vertical="top"/>
    </xf>
    <xf numFmtId="164" fontId="6" fillId="0" borderId="55" xfId="0" applyNumberFormat="1" applyFont="1" applyBorder="1" applyAlignment="1">
      <alignment vertical="top"/>
    </xf>
    <xf numFmtId="167" fontId="6" fillId="0" borderId="46" xfId="0" applyNumberFormat="1" applyFont="1" applyBorder="1" applyAlignment="1">
      <alignment vertical="top"/>
    </xf>
    <xf numFmtId="4" fontId="6" fillId="0" borderId="46" xfId="0" applyNumberFormat="1" applyFont="1" applyBorder="1" applyAlignment="1">
      <alignment vertical="top"/>
    </xf>
    <xf numFmtId="2" fontId="6" fillId="4" borderId="46" xfId="0" applyNumberFormat="1" applyFont="1" applyFill="1" applyBorder="1" applyAlignment="1">
      <alignment vertical="top"/>
    </xf>
    <xf numFmtId="2" fontId="6" fillId="5" borderId="52" xfId="0" applyNumberFormat="1" applyFont="1" applyFill="1" applyBorder="1" applyAlignment="1">
      <alignment horizontal="right" vertical="top"/>
    </xf>
    <xf numFmtId="4" fontId="6" fillId="3" borderId="11" xfId="0" applyNumberFormat="1" applyFont="1" applyFill="1" applyBorder="1"/>
    <xf numFmtId="0" fontId="6" fillId="0" borderId="56" xfId="0" applyFont="1" applyBorder="1" applyAlignment="1">
      <alignment horizontal="center" vertical="top"/>
    </xf>
    <xf numFmtId="173" fontId="24" fillId="0" borderId="57" xfId="0" applyNumberFormat="1" applyFont="1" applyBorder="1" applyAlignment="1">
      <alignment horizontal="center" vertical="center"/>
    </xf>
    <xf numFmtId="164" fontId="16" fillId="0" borderId="20" xfId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4" fontId="23" fillId="0" borderId="46" xfId="0" applyNumberFormat="1" applyFont="1" applyBorder="1"/>
    <xf numFmtId="164" fontId="23" fillId="0" borderId="23" xfId="0" applyNumberFormat="1" applyFont="1" applyBorder="1"/>
    <xf numFmtId="0" fontId="6" fillId="0" borderId="44" xfId="0" applyFont="1" applyBorder="1" applyAlignment="1">
      <alignment vertical="top"/>
    </xf>
    <xf numFmtId="164" fontId="6" fillId="0" borderId="58" xfId="0" applyNumberFormat="1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6" fillId="0" borderId="18" xfId="0" applyFont="1" applyBorder="1" applyAlignment="1">
      <alignment horizontal="center" vertical="top"/>
    </xf>
    <xf numFmtId="167" fontId="6" fillId="0" borderId="59" xfId="0" applyNumberFormat="1" applyFont="1" applyBorder="1" applyAlignment="1">
      <alignment vertical="top"/>
    </xf>
    <xf numFmtId="2" fontId="6" fillId="0" borderId="59" xfId="0" applyNumberFormat="1" applyFont="1" applyBorder="1" applyAlignment="1">
      <alignment vertical="top"/>
    </xf>
    <xf numFmtId="2" fontId="6" fillId="4" borderId="58" xfId="0" applyNumberFormat="1" applyFont="1" applyFill="1" applyBorder="1" applyAlignment="1">
      <alignment vertical="top"/>
    </xf>
    <xf numFmtId="2" fontId="6" fillId="5" borderId="16" xfId="0" applyNumberFormat="1" applyFont="1" applyFill="1" applyBorder="1" applyAlignment="1">
      <alignment horizontal="right" vertical="top"/>
    </xf>
    <xf numFmtId="0" fontId="6" fillId="0" borderId="34" xfId="0" applyFont="1" applyBorder="1" applyAlignment="1">
      <alignment horizontal="center"/>
    </xf>
    <xf numFmtId="168" fontId="6" fillId="10" borderId="60" xfId="1" applyNumberFormat="1" applyFont="1" applyFill="1" applyBorder="1"/>
    <xf numFmtId="0" fontId="6" fillId="0" borderId="0" xfId="0" applyFont="1"/>
    <xf numFmtId="0" fontId="18" fillId="0" borderId="0" xfId="0" applyFont="1"/>
    <xf numFmtId="164" fontId="18" fillId="0" borderId="0" xfId="1" applyFont="1"/>
    <xf numFmtId="0" fontId="6" fillId="0" borderId="0" xfId="0" applyFont="1" applyAlignment="1">
      <alignment horizontal="center"/>
    </xf>
    <xf numFmtId="176" fontId="10" fillId="0" borderId="0" xfId="0" applyNumberFormat="1" applyFont="1"/>
    <xf numFmtId="0" fontId="10" fillId="0" borderId="0" xfId="0" applyFont="1"/>
    <xf numFmtId="43" fontId="3" fillId="0" borderId="0" xfId="0" applyNumberFormat="1" applyFont="1"/>
    <xf numFmtId="0" fontId="6" fillId="0" borderId="0" xfId="0" applyFont="1" applyAlignment="1">
      <alignment horizontal="right"/>
    </xf>
    <xf numFmtId="164" fontId="10" fillId="0" borderId="0" xfId="1" applyFont="1"/>
    <xf numFmtId="164" fontId="6" fillId="0" borderId="0" xfId="1" applyFont="1" applyAlignment="1">
      <alignment horizontal="center"/>
    </xf>
    <xf numFmtId="164" fontId="10" fillId="4" borderId="0" xfId="1" applyFont="1" applyFill="1"/>
    <xf numFmtId="2" fontId="10" fillId="0" borderId="0" xfId="0" applyNumberFormat="1" applyFont="1"/>
    <xf numFmtId="0" fontId="10" fillId="0" borderId="49" xfId="0" applyFont="1" applyBorder="1" applyAlignment="1">
      <alignment horizontal="right"/>
    </xf>
    <xf numFmtId="49" fontId="26" fillId="4" borderId="7" xfId="2" applyNumberFormat="1" applyFill="1" applyBorder="1" applyAlignment="1">
      <alignment horizontal="center"/>
    </xf>
    <xf numFmtId="0" fontId="10" fillId="0" borderId="7" xfId="0" applyFont="1" applyBorder="1"/>
    <xf numFmtId="164" fontId="10" fillId="0" borderId="7" xfId="1" applyFont="1" applyBorder="1"/>
    <xf numFmtId="0" fontId="10" fillId="0" borderId="39" xfId="0" applyFont="1" applyBorder="1"/>
    <xf numFmtId="177" fontId="10" fillId="0" borderId="0" xfId="0" applyNumberFormat="1" applyFont="1"/>
    <xf numFmtId="168" fontId="27" fillId="0" borderId="0" xfId="0" applyNumberFormat="1" applyFont="1"/>
    <xf numFmtId="164" fontId="23" fillId="0" borderId="0" xfId="1" applyFont="1"/>
    <xf numFmtId="0" fontId="10" fillId="0" borderId="31" xfId="0" applyFont="1" applyBorder="1" applyAlignment="1">
      <alignment horizontal="right"/>
    </xf>
    <xf numFmtId="164" fontId="10" fillId="0" borderId="14" xfId="1" applyFont="1" applyBorder="1"/>
    <xf numFmtId="0" fontId="10" fillId="0" borderId="14" xfId="0" applyFont="1" applyBorder="1"/>
    <xf numFmtId="2" fontId="10" fillId="0" borderId="14" xfId="0" applyNumberFormat="1" applyFont="1" applyBorder="1"/>
    <xf numFmtId="0" fontId="10" fillId="0" borderId="38" xfId="0" applyFont="1" applyBorder="1"/>
    <xf numFmtId="168" fontId="10" fillId="0" borderId="0" xfId="0" applyNumberFormat="1" applyFont="1"/>
    <xf numFmtId="169" fontId="7" fillId="0" borderId="0" xfId="0" applyNumberFormat="1" applyFont="1"/>
    <xf numFmtId="0" fontId="7" fillId="0" borderId="31" xfId="0" applyFont="1" applyBorder="1"/>
    <xf numFmtId="0" fontId="7" fillId="0" borderId="14" xfId="0" applyFont="1" applyBorder="1"/>
    <xf numFmtId="0" fontId="7" fillId="0" borderId="38" xfId="0" applyFont="1" applyBorder="1"/>
    <xf numFmtId="164" fontId="7" fillId="0" borderId="0" xfId="1" applyFont="1"/>
    <xf numFmtId="164" fontId="10" fillId="5" borderId="31" xfId="1" applyFont="1" applyFill="1" applyBorder="1" applyAlignment="1">
      <alignment horizontal="right"/>
    </xf>
    <xf numFmtId="164" fontId="10" fillId="5" borderId="14" xfId="1" applyFont="1" applyFill="1" applyBorder="1"/>
    <xf numFmtId="178" fontId="10" fillId="5" borderId="14" xfId="1" applyNumberFormat="1" applyFont="1" applyFill="1" applyBorder="1"/>
    <xf numFmtId="0" fontId="10" fillId="5" borderId="14" xfId="1" applyNumberFormat="1" applyFont="1" applyFill="1" applyBorder="1"/>
    <xf numFmtId="164" fontId="28" fillId="5" borderId="38" xfId="1" applyFont="1" applyFill="1" applyBorder="1"/>
    <xf numFmtId="164" fontId="29" fillId="0" borderId="0" xfId="0" applyNumberFormat="1" applyFont="1" applyAlignment="1">
      <alignment horizontal="left" vertical="center"/>
    </xf>
    <xf numFmtId="43" fontId="7" fillId="0" borderId="0" xfId="0" applyNumberFormat="1" applyFont="1"/>
    <xf numFmtId="43" fontId="6" fillId="0" borderId="31" xfId="0" applyNumberFormat="1" applyFont="1" applyBorder="1"/>
    <xf numFmtId="179" fontId="10" fillId="0" borderId="14" xfId="1" applyNumberFormat="1" applyFont="1" applyBorder="1"/>
    <xf numFmtId="164" fontId="10" fillId="0" borderId="38" xfId="1" applyFont="1" applyBorder="1"/>
    <xf numFmtId="4" fontId="16" fillId="0" borderId="61" xfId="0" applyNumberFormat="1" applyFont="1" applyBorder="1"/>
    <xf numFmtId="176" fontId="16" fillId="0" borderId="61" xfId="0" applyNumberFormat="1" applyFont="1" applyBorder="1"/>
    <xf numFmtId="164" fontId="30" fillId="0" borderId="0" xfId="1" applyFont="1"/>
    <xf numFmtId="2" fontId="6" fillId="0" borderId="45" xfId="0" applyNumberFormat="1" applyFont="1" applyBorder="1"/>
    <xf numFmtId="0" fontId="7" fillId="0" borderId="46" xfId="0" applyFont="1" applyBorder="1"/>
    <xf numFmtId="164" fontId="10" fillId="0" borderId="46" xfId="1" applyFont="1" applyBorder="1"/>
    <xf numFmtId="179" fontId="10" fillId="0" borderId="46" xfId="1" applyNumberFormat="1" applyFont="1" applyBorder="1"/>
    <xf numFmtId="2" fontId="7" fillId="5" borderId="52" xfId="0" applyNumberFormat="1" applyFont="1" applyFill="1" applyBorder="1"/>
    <xf numFmtId="4" fontId="30" fillId="0" borderId="0" xfId="0" applyNumberFormat="1" applyFont="1"/>
    <xf numFmtId="168" fontId="7" fillId="0" borderId="0" xfId="0" applyNumberFormat="1" applyFont="1"/>
    <xf numFmtId="4" fontId="10" fillId="0" borderId="0" xfId="0" applyNumberFormat="1" applyFont="1"/>
    <xf numFmtId="175" fontId="7" fillId="0" borderId="0" xfId="0" applyNumberFormat="1" applyFont="1"/>
    <xf numFmtId="0" fontId="31" fillId="0" borderId="0" xfId="0" applyFont="1"/>
    <xf numFmtId="164" fontId="32" fillId="0" borderId="0" xfId="1" applyFont="1"/>
    <xf numFmtId="169" fontId="31" fillId="0" borderId="0" xfId="0" applyNumberFormat="1" applyFont="1"/>
    <xf numFmtId="0" fontId="33" fillId="0" borderId="0" xfId="0" applyFont="1"/>
    <xf numFmtId="2" fontId="33" fillId="0" borderId="0" xfId="0" applyNumberFormat="1" applyFont="1"/>
    <xf numFmtId="180" fontId="33" fillId="0" borderId="0" xfId="0" applyNumberFormat="1" applyFont="1"/>
    <xf numFmtId="164" fontId="31" fillId="0" borderId="0" xfId="1" applyFont="1" applyFill="1"/>
    <xf numFmtId="179" fontId="31" fillId="0" borderId="0" xfId="0" applyNumberFormat="1" applyFont="1"/>
    <xf numFmtId="164" fontId="31" fillId="0" borderId="0" xfId="0" applyNumberFormat="1" applyFont="1"/>
    <xf numFmtId="0" fontId="34" fillId="0" borderId="0" xfId="0" applyFont="1"/>
    <xf numFmtId="0" fontId="8" fillId="0" borderId="0" xfId="0" applyFont="1"/>
    <xf numFmtId="164" fontId="35" fillId="0" borderId="0" xfId="1" applyFont="1" applyFill="1"/>
    <xf numFmtId="164" fontId="36" fillId="0" borderId="0" xfId="1" applyFont="1" applyFill="1"/>
    <xf numFmtId="0" fontId="35" fillId="0" borderId="0" xfId="0" applyFont="1"/>
    <xf numFmtId="164" fontId="36" fillId="0" borderId="0" xfId="1" applyFont="1"/>
    <xf numFmtId="43" fontId="35" fillId="0" borderId="0" xfId="0" applyNumberFormat="1" applyFont="1"/>
    <xf numFmtId="0" fontId="8" fillId="0" borderId="0" xfId="0" applyFont="1" applyAlignment="1">
      <alignment horizontal="right"/>
    </xf>
    <xf numFmtId="0" fontId="37" fillId="0" borderId="0" xfId="0" applyFont="1"/>
    <xf numFmtId="4" fontId="15" fillId="0" borderId="0" xfId="0" applyNumberFormat="1" applyFont="1"/>
    <xf numFmtId="0" fontId="3" fillId="0" borderId="0" xfId="0" applyFont="1"/>
    <xf numFmtId="179" fontId="7" fillId="0" borderId="0" xfId="0" applyNumberFormat="1" applyFont="1"/>
    <xf numFmtId="43" fontId="37" fillId="0" borderId="0" xfId="0" applyNumberFormat="1" applyFont="1"/>
    <xf numFmtId="164" fontId="37" fillId="0" borderId="0" xfId="1" applyFont="1"/>
    <xf numFmtId="4" fontId="21" fillId="0" borderId="0" xfId="0" applyNumberFormat="1" applyFont="1"/>
    <xf numFmtId="43" fontId="38" fillId="0" borderId="0" xfId="0" applyNumberFormat="1" applyFont="1"/>
    <xf numFmtId="0" fontId="38" fillId="0" borderId="0" xfId="0" applyFont="1"/>
    <xf numFmtId="43" fontId="4" fillId="0" borderId="0" xfId="0" applyNumberFormat="1" applyFont="1"/>
    <xf numFmtId="164" fontId="38" fillId="0" borderId="0" xfId="1" applyFont="1" applyFill="1"/>
    <xf numFmtId="16" fontId="7" fillId="0" borderId="0" xfId="0" applyNumberFormat="1" applyFont="1"/>
    <xf numFmtId="164" fontId="7" fillId="0" borderId="0" xfId="1" applyFont="1" applyFill="1"/>
    <xf numFmtId="16" fontId="7" fillId="0" borderId="0" xfId="0" applyNumberFormat="1" applyFont="1" applyAlignment="1">
      <alignment wrapText="1"/>
    </xf>
    <xf numFmtId="164" fontId="7" fillId="0" borderId="17" xfId="1" applyFont="1" applyFill="1" applyBorder="1"/>
    <xf numFmtId="164" fontId="7" fillId="0" borderId="0" xfId="1" applyFont="1" applyFill="1" applyBorder="1"/>
    <xf numFmtId="0" fontId="7" fillId="0" borderId="17" xfId="0" applyFont="1" applyBorder="1"/>
    <xf numFmtId="164" fontId="6" fillId="0" borderId="31" xfId="1" applyFont="1" applyBorder="1"/>
    <xf numFmtId="164" fontId="6" fillId="0" borderId="45" xfId="1" applyFont="1" applyBorder="1"/>
    <xf numFmtId="164" fontId="6" fillId="0" borderId="0" xfId="1" applyFont="1"/>
    <xf numFmtId="173" fontId="20" fillId="4" borderId="52" xfId="0" applyNumberFormat="1" applyFont="1" applyFill="1" applyBorder="1" applyAlignment="1">
      <alignment vertic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21" fillId="3" borderId="50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14" fontId="22" fillId="5" borderId="25" xfId="0" applyNumberFormat="1" applyFont="1" applyFill="1" applyBorder="1" applyAlignment="1">
      <alignment horizontal="right" wrapText="1"/>
    </xf>
    <xf numFmtId="164" fontId="18" fillId="5" borderId="25" xfId="0" applyNumberFormat="1" applyFont="1" applyFill="1" applyBorder="1" applyAlignment="1">
      <alignment horizontal="center"/>
    </xf>
    <xf numFmtId="164" fontId="18" fillId="5" borderId="26" xfId="0" applyNumberFormat="1" applyFont="1" applyFill="1" applyBorder="1" applyAlignment="1">
      <alignment horizontal="center"/>
    </xf>
    <xf numFmtId="175" fontId="25" fillId="0" borderId="24" xfId="0" applyNumberFormat="1" applyFont="1" applyBorder="1" applyAlignment="1">
      <alignment horizontal="center"/>
    </xf>
    <xf numFmtId="175" fontId="25" fillId="0" borderId="26" xfId="0" applyNumberFormat="1" applyFont="1" applyBorder="1" applyAlignment="1">
      <alignment horizontal="center"/>
    </xf>
    <xf numFmtId="0" fontId="6" fillId="3" borderId="36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0" borderId="3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6" borderId="3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6" fillId="0" borderId="36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top" wrapText="1"/>
    </xf>
    <xf numFmtId="0" fontId="17" fillId="0" borderId="26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40" xfId="0" applyFont="1" applyBorder="1" applyAlignment="1">
      <alignment horizontal="left" vertical="top" wrapText="1"/>
    </xf>
    <xf numFmtId="0" fontId="6" fillId="5" borderId="36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167" fontId="6" fillId="0" borderId="24" xfId="0" applyNumberFormat="1" applyFont="1" applyBorder="1" applyAlignment="1">
      <alignment horizontal="center" vertical="center" wrapText="1"/>
    </xf>
    <xf numFmtId="167" fontId="6" fillId="0" borderId="25" xfId="0" applyNumberFormat="1" applyFont="1" applyBorder="1" applyAlignment="1">
      <alignment horizontal="center" vertical="center" wrapText="1"/>
    </xf>
    <xf numFmtId="167" fontId="6" fillId="0" borderId="26" xfId="0" applyNumberFormat="1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top" wrapText="1"/>
    </xf>
    <xf numFmtId="14" fontId="8" fillId="0" borderId="26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14" fontId="6" fillId="2" borderId="11" xfId="0" applyNumberFormat="1" applyFont="1" applyFill="1" applyBorder="1" applyAlignment="1">
      <alignment horizontal="center" vertical="top" wrapText="1"/>
    </xf>
    <xf numFmtId="14" fontId="6" fillId="2" borderId="15" xfId="0" applyNumberFormat="1" applyFont="1" applyFill="1" applyBorder="1" applyAlignment="1">
      <alignment horizontal="center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left" vertical="top" wrapText="1"/>
    </xf>
    <xf numFmtId="1" fontId="6" fillId="2" borderId="19" xfId="0" applyNumberFormat="1" applyFont="1" applyFill="1" applyBorder="1" applyAlignment="1">
      <alignment horizontal="center" vertical="top" wrapText="1"/>
    </xf>
    <xf numFmtId="1" fontId="6" fillId="2" borderId="23" xfId="0" applyNumberFormat="1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abe4c1509e36c0a/PETROAMERICA%20-%20SOLER/SOLER/2025/FEBRERO/38.-%20SOLER%20-%20DIARIO%20-%20FEBRERO%202025.xlsx" TargetMode="External"/><Relationship Id="rId1" Type="http://schemas.openxmlformats.org/officeDocument/2006/relationships/externalLinkPath" Target="https://d.docs.live.net/3abe4c1509e36c0a/PETROAMERICA%20-%20SOLER/SOLER/2025/03.-%20MARZO/FEBRERO/38.-%20SOLER%20-%20DIARIO%20-%20FEBRER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%20AmericaSoler\Documents\SOLER\38.-%20SOLER%20-%20DIARIO%20-%20SEPTIEMBRE%202024.xlsx" TargetMode="External"/><Relationship Id="rId1" Type="http://schemas.openxmlformats.org/officeDocument/2006/relationships/externalLinkPath" Target="https://d.docs.live.net/3abe4c1509e36c0a/SOLER/38.-%20SOLER%20-%20DIARIO%20-%20SEPTIEMBRE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%20AmericaSoler\Documents\SOLER\38.-%20SOLER%20-%20DIARIO%20-%20OCTUBRE%202024.xlsx" TargetMode="External"/><Relationship Id="rId1" Type="http://schemas.openxmlformats.org/officeDocument/2006/relationships/externalLinkPath" Target="https://d.docs.live.net/3abe4c1509e36c0a/SOLER/38.-%20SOLER%20-%20DIARIO%20-%20OCTUBRE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</sheetNames>
    <sheetDataSet>
      <sheetData sheetId="0" refreshError="1"/>
      <sheetData sheetId="1" refreshError="1"/>
      <sheetData sheetId="2">
        <row r="25">
          <cell r="J25">
            <v>4101.5004099999996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1">
          <cell r="J41">
            <v>104.16</v>
          </cell>
        </row>
      </sheetData>
      <sheetData sheetId="25" refreshError="1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L2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>
        <row r="25">
          <cell r="J25">
            <v>3671.4904099999999</v>
          </cell>
        </row>
        <row r="30">
          <cell r="J30">
            <v>2860.0556350000002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37A3-DB49-483E-B052-40AA107DD515}">
  <sheetPr>
    <pageSetUpPr fitToPage="1"/>
  </sheetPr>
  <dimension ref="A1:W141"/>
  <sheetViews>
    <sheetView zoomScale="90" zoomScaleNormal="90" workbookViewId="0">
      <selection activeCell="R13" sqref="R13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45717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60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v>3049.0545116363978</v>
      </c>
      <c r="C7" s="22">
        <f>L27+L28</f>
        <v>0</v>
      </c>
      <c r="D7" s="23"/>
      <c r="E7" s="24">
        <f>+B7+C7+D7</f>
        <v>3049.0545116363978</v>
      </c>
      <c r="F7" s="25">
        <f>B45-G7</f>
        <v>291.36448598130841</v>
      </c>
      <c r="G7" s="22"/>
      <c r="H7" s="26"/>
      <c r="I7" s="21">
        <f t="shared" ref="I7:I10" si="0">+F7+G7+H7</f>
        <v>291.36448598130841</v>
      </c>
      <c r="J7" s="21">
        <f t="shared" ref="J7:J10" si="1">+E7-I7</f>
        <v>2757.6900256550894</v>
      </c>
      <c r="K7" s="27">
        <v>3049.0545116363978</v>
      </c>
      <c r="L7" s="28">
        <v>2757.6900256550894</v>
      </c>
      <c r="M7" s="24">
        <f t="shared" ref="M7:M10" si="2">+F7</f>
        <v>291.36448598130841</v>
      </c>
      <c r="N7" s="24">
        <f>+C45</f>
        <v>7.49</v>
      </c>
      <c r="O7" s="29">
        <f t="shared" ref="O7:O10" si="3">+M7*N7</f>
        <v>2182.3200000000002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v>1455</v>
      </c>
      <c r="C8" s="22">
        <f>L29</f>
        <v>0</v>
      </c>
      <c r="D8" s="33"/>
      <c r="E8" s="24">
        <f>+B8+C8+D8</f>
        <v>1455</v>
      </c>
      <c r="F8" s="25">
        <f>+B41-G8</f>
        <v>73.742261528742887</v>
      </c>
      <c r="G8" s="22"/>
      <c r="H8" s="26"/>
      <c r="I8" s="21">
        <f t="shared" si="0"/>
        <v>73.742261528742887</v>
      </c>
      <c r="J8" s="21">
        <f t="shared" si="1"/>
        <v>1381.2577384712572</v>
      </c>
      <c r="K8" s="27">
        <v>1455</v>
      </c>
      <c r="L8" s="28">
        <v>1380</v>
      </c>
      <c r="M8" s="24">
        <f t="shared" si="2"/>
        <v>73.742261528742887</v>
      </c>
      <c r="N8" s="24">
        <f>+C41</f>
        <v>15.83</v>
      </c>
      <c r="O8" s="29">
        <f t="shared" si="3"/>
        <v>1167.3399999999999</v>
      </c>
      <c r="P8" s="30">
        <f t="shared" si="4"/>
        <v>-1.2577384712571984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v>1025</v>
      </c>
      <c r="C9" s="22">
        <f>L30</f>
        <v>0</v>
      </c>
      <c r="D9" s="33"/>
      <c r="E9" s="24">
        <f>+B9+C9+D9</f>
        <v>1025</v>
      </c>
      <c r="F9" s="25">
        <f>+B42-G9</f>
        <v>216.84274193548384</v>
      </c>
      <c r="G9" s="22"/>
      <c r="H9" s="26"/>
      <c r="I9" s="21">
        <f t="shared" si="0"/>
        <v>216.84274193548384</v>
      </c>
      <c r="J9" s="21">
        <f t="shared" si="1"/>
        <v>808.1572580645161</v>
      </c>
      <c r="K9" s="27">
        <v>1025</v>
      </c>
      <c r="L9" s="28">
        <v>808</v>
      </c>
      <c r="M9" s="24">
        <f t="shared" si="2"/>
        <v>216.84274193548384</v>
      </c>
      <c r="N9" s="24">
        <f>+C42</f>
        <v>14.88</v>
      </c>
      <c r="O9" s="29">
        <f t="shared" si="3"/>
        <v>3226.62</v>
      </c>
      <c r="P9" s="30">
        <f t="shared" si="4"/>
        <v>-0.15725806451609969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v>1480</v>
      </c>
      <c r="C10" s="40">
        <f>L32</f>
        <v>0</v>
      </c>
      <c r="D10" s="41"/>
      <c r="E10" s="24">
        <f>+B10+C10+D10</f>
        <v>1480</v>
      </c>
      <c r="F10" s="43">
        <f>+B44-G10</f>
        <v>81.184262295081965</v>
      </c>
      <c r="G10" s="40"/>
      <c r="H10" s="26"/>
      <c r="I10" s="44">
        <f t="shared" si="0"/>
        <v>81.184262295081965</v>
      </c>
      <c r="J10" s="44">
        <f t="shared" si="1"/>
        <v>1398.8157377049181</v>
      </c>
      <c r="K10" s="27">
        <v>1480</v>
      </c>
      <c r="L10" s="28">
        <v>1399</v>
      </c>
      <c r="M10" s="42">
        <f t="shared" si="2"/>
        <v>81.184262295081965</v>
      </c>
      <c r="N10" s="42">
        <f>+C44</f>
        <v>15.25</v>
      </c>
      <c r="O10" s="45">
        <f t="shared" si="3"/>
        <v>1238.06</v>
      </c>
      <c r="P10" s="30">
        <f t="shared" si="4"/>
        <v>0.18426229508190772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7009.0545116363974</v>
      </c>
      <c r="C11" s="21">
        <f t="shared" si="5"/>
        <v>0</v>
      </c>
      <c r="D11" s="21">
        <f t="shared" si="5"/>
        <v>0</v>
      </c>
      <c r="E11" s="21">
        <f t="shared" si="5"/>
        <v>7009.0545116363974</v>
      </c>
      <c r="F11" s="21">
        <f t="shared" si="5"/>
        <v>663.13375174061707</v>
      </c>
      <c r="G11" s="21">
        <f t="shared" si="5"/>
        <v>0</v>
      </c>
      <c r="H11" s="21">
        <f t="shared" si="5"/>
        <v>0</v>
      </c>
      <c r="I11" s="21">
        <f t="shared" si="5"/>
        <v>663.13375174061707</v>
      </c>
      <c r="J11" s="21">
        <f t="shared" si="5"/>
        <v>6345.920759895781</v>
      </c>
      <c r="K11" s="27">
        <f t="shared" si="5"/>
        <v>7009.0545116363974</v>
      </c>
      <c r="L11" s="21">
        <f t="shared" si="5"/>
        <v>6344.6900256550889</v>
      </c>
      <c r="M11" s="21">
        <f t="shared" si="5"/>
        <v>663.13375174061707</v>
      </c>
      <c r="N11" s="21"/>
      <c r="O11" s="21">
        <f>SUM(O7:O10)</f>
        <v>7814.34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6" t="s">
        <v>36</v>
      </c>
      <c r="J13" s="327"/>
      <c r="K13" s="327"/>
      <c r="L13" s="328"/>
      <c r="M13" s="329" t="s">
        <v>37</v>
      </c>
      <c r="N13" s="330"/>
      <c r="O13" s="330"/>
      <c r="P13" s="331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 t="shared" ref="G14:G30" si="6">+E14*F14</f>
        <v>0</v>
      </c>
      <c r="H14" s="62"/>
      <c r="I14" s="321" t="s">
        <v>44</v>
      </c>
      <c r="J14" s="322"/>
      <c r="K14" s="52" t="s">
        <v>45</v>
      </c>
      <c r="L14" s="51" t="s">
        <v>46</v>
      </c>
      <c r="M14" s="309" t="s">
        <v>47</v>
      </c>
      <c r="N14" s="310"/>
      <c r="O14" s="53" t="s">
        <v>48</v>
      </c>
      <c r="P14" s="54" t="s">
        <v>42</v>
      </c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59">
        <v>20</v>
      </c>
      <c r="F15" s="60">
        <v>0.2</v>
      </c>
      <c r="G15" s="61">
        <f t="shared" si="6"/>
        <v>4</v>
      </c>
      <c r="H15" s="62" t="s">
        <v>139</v>
      </c>
      <c r="I15" s="315" t="s">
        <v>52</v>
      </c>
      <c r="J15" s="316"/>
      <c r="K15" s="63"/>
      <c r="L15" s="63"/>
      <c r="M15" s="309" t="s">
        <v>53</v>
      </c>
      <c r="N15" s="310"/>
      <c r="O15" s="64">
        <f>+F11</f>
        <v>663.13375174061707</v>
      </c>
      <c r="P15" s="65">
        <f>+O11</f>
        <v>7814.34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 t="shared" si="6"/>
        <v>0</v>
      </c>
      <c r="H16" s="62"/>
      <c r="I16" s="317" t="s">
        <v>56</v>
      </c>
      <c r="J16" s="318"/>
      <c r="K16" s="66"/>
      <c r="L16" s="66"/>
      <c r="M16" s="309" t="s">
        <v>57</v>
      </c>
      <c r="N16" s="310"/>
      <c r="O16" s="67" t="s">
        <v>58</v>
      </c>
      <c r="P16" s="65">
        <f>+B38</f>
        <v>2350.06</v>
      </c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 t="shared" si="6"/>
        <v>0</v>
      </c>
      <c r="H17" s="62"/>
      <c r="I17" s="306"/>
      <c r="J17" s="307"/>
      <c r="K17" s="307"/>
      <c r="L17" s="308"/>
      <c r="M17" s="309" t="s">
        <v>57</v>
      </c>
      <c r="N17" s="310"/>
      <c r="O17" s="67" t="s">
        <v>29</v>
      </c>
      <c r="P17" s="65">
        <f>+C38</f>
        <v>776.11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 t="shared" si="6"/>
        <v>0</v>
      </c>
      <c r="H18" s="71"/>
      <c r="I18" s="311" t="s">
        <v>62</v>
      </c>
      <c r="J18" s="312"/>
      <c r="K18" s="313" t="s">
        <v>63</v>
      </c>
      <c r="L18" s="314"/>
      <c r="M18" s="288" t="s">
        <v>64</v>
      </c>
      <c r="N18" s="289"/>
      <c r="O18" s="290"/>
      <c r="P18" s="69">
        <v>9.0000000000145519E-2</v>
      </c>
    </row>
    <row r="19" spans="1:18" ht="15" customHeight="1" thickBot="1" x14ac:dyDescent="0.35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 t="shared" si="6"/>
        <v>0</v>
      </c>
      <c r="H19" s="62"/>
      <c r="I19" s="296" t="s">
        <v>65</v>
      </c>
      <c r="J19" s="297"/>
      <c r="K19" s="301" t="s">
        <v>66</v>
      </c>
      <c r="L19" s="302"/>
      <c r="M19" s="289"/>
      <c r="N19" s="289"/>
      <c r="O19" s="290"/>
      <c r="P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 t="shared" si="6"/>
        <v>0</v>
      </c>
      <c r="H20" s="62"/>
      <c r="I20" s="72" t="s">
        <v>68</v>
      </c>
      <c r="J20" s="73">
        <f>+'[1]03'!J25</f>
        <v>4101.5004099999996</v>
      </c>
      <c r="K20" s="72" t="s">
        <v>68</v>
      </c>
      <c r="L20" s="73">
        <f>+'[2]07'!L25</f>
        <v>0</v>
      </c>
      <c r="M20" s="303"/>
      <c r="N20" s="304"/>
      <c r="O20" s="305"/>
      <c r="P20" s="69"/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 t="shared" si="6"/>
        <v>0</v>
      </c>
      <c r="H21" s="62"/>
      <c r="I21" s="74" t="s">
        <v>69</v>
      </c>
      <c r="J21" s="75">
        <v>78.459999999999994</v>
      </c>
      <c r="K21" s="76" t="s">
        <v>69</v>
      </c>
      <c r="L21" s="73">
        <f>+E24*(N10-F24)+E25*(N8-F25)+E26*(N9-F26)+E27*(N7-F27)</f>
        <v>224.02</v>
      </c>
      <c r="M21" s="288" t="s">
        <v>70</v>
      </c>
      <c r="N21" s="289"/>
      <c r="O21" s="290"/>
      <c r="P21" s="77">
        <f>+L21</f>
        <v>224.02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 t="shared" si="6"/>
        <v>0</v>
      </c>
      <c r="H22" s="71"/>
      <c r="I22" s="74"/>
      <c r="J22" s="73"/>
      <c r="K22" s="76" t="s">
        <v>72</v>
      </c>
      <c r="L22" s="73"/>
      <c r="M22" s="288" t="s">
        <v>73</v>
      </c>
      <c r="N22" s="289"/>
      <c r="O22" s="290"/>
      <c r="P22" s="77">
        <f>+G31</f>
        <v>4</v>
      </c>
    </row>
    <row r="23" spans="1:18" ht="15" customHeight="1" x14ac:dyDescent="0.3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 t="shared" si="6"/>
        <v>0</v>
      </c>
      <c r="H23" s="71"/>
      <c r="I23" s="74" t="s">
        <v>75</v>
      </c>
      <c r="J23" s="75"/>
      <c r="K23" s="76" t="s">
        <v>75</v>
      </c>
      <c r="L23" s="78">
        <v>224.02</v>
      </c>
      <c r="M23" s="288" t="s">
        <v>76</v>
      </c>
      <c r="N23" s="289"/>
      <c r="O23" s="290"/>
      <c r="P23" s="77">
        <f>+J38+J21+J27+J32+J33</f>
        <v>78.459999999999994</v>
      </c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>
        <f>224.02/15.25</f>
        <v>14.689836065573772</v>
      </c>
      <c r="F24" s="60">
        <v>0</v>
      </c>
      <c r="G24" s="61">
        <f t="shared" si="6"/>
        <v>0</v>
      </c>
      <c r="H24" s="71" t="s">
        <v>140</v>
      </c>
      <c r="I24" s="79" t="s">
        <v>78</v>
      </c>
      <c r="J24" s="80">
        <f>+J20+J21-J23</f>
        <v>4179.9604099999997</v>
      </c>
      <c r="K24" s="81" t="s">
        <v>78</v>
      </c>
      <c r="L24" s="82">
        <f>+L20-L21+L23+L22</f>
        <v>0</v>
      </c>
      <c r="M24" s="294" t="s">
        <v>79</v>
      </c>
      <c r="N24" s="295"/>
      <c r="O24" s="83"/>
      <c r="P24" s="84">
        <f>P15-SUM(P16:P23)</f>
        <v>4381.6000000000004</v>
      </c>
    </row>
    <row r="25" spans="1:18" ht="15.75" customHeight="1" thickBot="1" x14ac:dyDescent="0.35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 t="shared" si="6"/>
        <v>0</v>
      </c>
      <c r="H25" s="71"/>
      <c r="I25" s="296" t="s">
        <v>81</v>
      </c>
      <c r="J25" s="297"/>
      <c r="K25" s="298" t="s">
        <v>82</v>
      </c>
      <c r="L25" s="299"/>
      <c r="M25" s="299"/>
      <c r="N25" s="299"/>
      <c r="O25" s="299"/>
      <c r="P25" s="300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59"/>
      <c r="F26" s="60">
        <v>0</v>
      </c>
      <c r="G26" s="61">
        <f t="shared" si="6"/>
        <v>0</v>
      </c>
      <c r="H26" s="71"/>
      <c r="I26" s="72" t="s">
        <v>68</v>
      </c>
      <c r="J26" s="86">
        <f>+'[3]02'!J30</f>
        <v>2860.0556350000002</v>
      </c>
      <c r="K26" s="87" t="s">
        <v>83</v>
      </c>
      <c r="L26" s="53" t="s">
        <v>84</v>
      </c>
      <c r="M26" s="88" t="s">
        <v>85</v>
      </c>
      <c r="N26" s="88" t="s">
        <v>86</v>
      </c>
      <c r="O26" s="89" t="s">
        <v>87</v>
      </c>
      <c r="P26" s="90" t="s">
        <v>88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 t="shared" si="6"/>
        <v>0</v>
      </c>
      <c r="H27" s="62"/>
      <c r="I27" s="74" t="s">
        <v>69</v>
      </c>
      <c r="J27" s="86"/>
      <c r="K27" s="91" t="s">
        <v>89</v>
      </c>
      <c r="L27" s="92">
        <f>+J42</f>
        <v>0</v>
      </c>
      <c r="M27" s="93"/>
      <c r="N27" s="94"/>
      <c r="O27" s="95"/>
      <c r="P27" s="96" t="str">
        <f>+H42&amp;"   "&amp;"kg"</f>
        <v xml:space="preserve">   kg</v>
      </c>
      <c r="R27" s="48" t="e">
        <f>+#REF!*-1</f>
        <v>#REF!</v>
      </c>
    </row>
    <row r="28" spans="1:18" ht="15.75" customHeight="1" x14ac:dyDescent="0.3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 t="shared" si="6"/>
        <v>0</v>
      </c>
      <c r="H28" s="62"/>
      <c r="I28" s="74" t="s">
        <v>75</v>
      </c>
      <c r="J28" s="86"/>
      <c r="K28" s="91" t="s">
        <v>29</v>
      </c>
      <c r="L28" s="92"/>
      <c r="M28" s="94"/>
      <c r="N28" s="94"/>
      <c r="O28" s="95" t="s">
        <v>91</v>
      </c>
      <c r="P28" s="98"/>
      <c r="R28" s="48">
        <f>+P8*-1</f>
        <v>1.2577384712571984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 t="shared" si="6"/>
        <v>0</v>
      </c>
      <c r="H29" s="62"/>
      <c r="I29" s="99" t="s">
        <v>78</v>
      </c>
      <c r="J29" s="86">
        <f>+J26+J27-J28</f>
        <v>2860.0556350000002</v>
      </c>
      <c r="K29" s="91" t="s">
        <v>30</v>
      </c>
      <c r="L29" s="92"/>
      <c r="M29" s="94"/>
      <c r="N29" s="94"/>
      <c r="O29" s="95" t="s">
        <v>93</v>
      </c>
      <c r="P29" s="100">
        <f>13666.1/980</f>
        <v>13.945</v>
      </c>
      <c r="R29" s="48">
        <f>+P9*-1</f>
        <v>0.15725806451609969</v>
      </c>
    </row>
    <row r="30" spans="1:18" ht="15" customHeight="1" thickBot="1" x14ac:dyDescent="0.35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 t="shared" si="6"/>
        <v>0</v>
      </c>
      <c r="H30" s="62"/>
      <c r="I30" s="296" t="s">
        <v>94</v>
      </c>
      <c r="J30" s="297"/>
      <c r="K30" s="101" t="s">
        <v>31</v>
      </c>
      <c r="L30" s="92"/>
      <c r="M30" s="94"/>
      <c r="N30" s="94"/>
      <c r="O30" s="95" t="s">
        <v>91</v>
      </c>
      <c r="P30" s="100">
        <f>6258.25/500</f>
        <v>12.516500000000001</v>
      </c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4</v>
      </c>
      <c r="H31" s="104"/>
      <c r="I31" s="72" t="s">
        <v>78</v>
      </c>
      <c r="J31" s="75">
        <v>-150</v>
      </c>
      <c r="K31" s="101" t="s">
        <v>32</v>
      </c>
      <c r="L31" s="92"/>
      <c r="M31" s="94"/>
      <c r="N31" s="94"/>
      <c r="O31" s="95" t="s">
        <v>96</v>
      </c>
      <c r="P31" s="100"/>
      <c r="Q31" s="3" t="s">
        <v>99</v>
      </c>
      <c r="R31" s="48">
        <f t="shared" ref="R31" si="7">+P10*-1</f>
        <v>-0.18426229508190772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I32" s="74" t="s">
        <v>98</v>
      </c>
      <c r="J32" s="105"/>
      <c r="K32" s="106" t="s">
        <v>33</v>
      </c>
      <c r="L32" s="92"/>
      <c r="M32" s="94"/>
      <c r="N32" s="94"/>
      <c r="O32" s="95" t="s">
        <v>93</v>
      </c>
      <c r="P32" s="100">
        <f>13635.35/990</f>
        <v>13.773080808080808</v>
      </c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100</v>
      </c>
      <c r="J33" s="105"/>
      <c r="K33" s="107"/>
      <c r="L33" s="108"/>
      <c r="M33" s="94"/>
      <c r="N33" s="94"/>
      <c r="O33" s="95" t="s">
        <v>93</v>
      </c>
      <c r="P33" s="9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+C41</f>
        <v>15.83</v>
      </c>
      <c r="G34" s="121">
        <v>15.99</v>
      </c>
      <c r="H34" s="122">
        <f>+E34*(F34-G34)</f>
        <v>0</v>
      </c>
      <c r="I34" s="74" t="s">
        <v>75</v>
      </c>
      <c r="J34" s="113"/>
      <c r="K34" s="114" t="s">
        <v>106</v>
      </c>
      <c r="L34" s="115">
        <f>+N2</f>
        <v>45717</v>
      </c>
      <c r="M34" s="273" t="s">
        <v>107</v>
      </c>
      <c r="N34" s="274"/>
      <c r="O34" s="274"/>
      <c r="P34" s="275"/>
      <c r="Q34" s="109"/>
    </row>
    <row r="35" spans="1:17" ht="15.75" customHeight="1" thickBot="1" x14ac:dyDescent="0.35">
      <c r="A35" s="126" t="s">
        <v>109</v>
      </c>
      <c r="B35" s="127">
        <v>1855.06</v>
      </c>
      <c r="C35" s="127"/>
      <c r="D35" s="128" t="s">
        <v>110</v>
      </c>
      <c r="E35" s="129"/>
      <c r="F35" s="130">
        <f>+C42</f>
        <v>14.88</v>
      </c>
      <c r="G35" s="131">
        <v>15.08</v>
      </c>
      <c r="H35" s="132">
        <f>+E35*(F35-G35)</f>
        <v>0</v>
      </c>
      <c r="I35" s="123" t="s">
        <v>78</v>
      </c>
      <c r="J35" s="124">
        <f>+J31-J32-J33+J34</f>
        <v>-150</v>
      </c>
      <c r="K35" s="118" t="s">
        <v>58</v>
      </c>
      <c r="L35" s="125">
        <v>2975.4</v>
      </c>
      <c r="M35" s="276"/>
      <c r="N35" s="276"/>
      <c r="O35" s="276"/>
      <c r="P35" s="277"/>
      <c r="Q35" s="109"/>
    </row>
    <row r="36" spans="1:17" ht="15.75" customHeight="1" thickBot="1" x14ac:dyDescent="0.35">
      <c r="A36" s="135" t="s">
        <v>112</v>
      </c>
      <c r="B36" s="136">
        <v>495</v>
      </c>
      <c r="C36" s="136">
        <v>776.11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280" t="s">
        <v>111</v>
      </c>
      <c r="J36" s="280"/>
      <c r="K36" s="133" t="s">
        <v>29</v>
      </c>
      <c r="L36" s="134">
        <v>1406.2</v>
      </c>
      <c r="M36" s="278"/>
      <c r="N36" s="278"/>
      <c r="O36" s="278"/>
      <c r="P36" s="279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29"/>
      <c r="F37" s="130">
        <f>+C44</f>
        <v>15.25</v>
      </c>
      <c r="G37" s="131">
        <v>14.18</v>
      </c>
      <c r="H37" s="132">
        <f>+E37*(F37-G37)</f>
        <v>0</v>
      </c>
      <c r="I37" s="137" t="s">
        <v>68</v>
      </c>
      <c r="J37" s="138">
        <f>+'[1]25'!J41</f>
        <v>104.16</v>
      </c>
      <c r="K37" s="128" t="s">
        <v>113</v>
      </c>
      <c r="L37" s="139"/>
      <c r="M37" s="281" t="s">
        <v>114</v>
      </c>
      <c r="N37" s="281"/>
      <c r="O37" s="140">
        <f>+L34</f>
        <v>45717</v>
      </c>
      <c r="P37" s="140"/>
      <c r="Q37" s="109"/>
    </row>
    <row r="38" spans="1:17" ht="16.2" thickBot="1" x14ac:dyDescent="0.35">
      <c r="A38" s="151" t="s">
        <v>117</v>
      </c>
      <c r="B38" s="152">
        <f>SUM(B35:B37)</f>
        <v>2350.06</v>
      </c>
      <c r="C38" s="153">
        <f>SUM(C35:C37)</f>
        <v>776.11</v>
      </c>
      <c r="D38" s="144" t="s">
        <v>29</v>
      </c>
      <c r="E38" s="154"/>
      <c r="F38" s="155">
        <f>+C45</f>
        <v>7.49</v>
      </c>
      <c r="G38" s="156">
        <v>7.14</v>
      </c>
      <c r="H38" s="157">
        <f>+E38*(F38-G38)</f>
        <v>0</v>
      </c>
      <c r="I38" s="76" t="s">
        <v>69</v>
      </c>
      <c r="J38" s="143"/>
      <c r="K38" s="144" t="s">
        <v>115</v>
      </c>
      <c r="L38" s="145"/>
      <c r="M38" s="146" t="s">
        <v>58</v>
      </c>
      <c r="N38" s="147" t="s">
        <v>116</v>
      </c>
      <c r="O38" s="148">
        <f>+L35</f>
        <v>2975.4</v>
      </c>
      <c r="P38" s="149"/>
      <c r="Q38" s="109"/>
    </row>
    <row r="39" spans="1:17" ht="16.8" thickTop="1" thickBot="1" x14ac:dyDescent="0.35">
      <c r="A39" s="165" t="s">
        <v>119</v>
      </c>
      <c r="B39" s="166">
        <f>SUM(B38:C38)</f>
        <v>3126.17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76" t="s">
        <v>75</v>
      </c>
      <c r="J39" s="158"/>
      <c r="K39" s="159" t="s">
        <v>97</v>
      </c>
      <c r="L39" s="160">
        <f>SUM(L35:L38)</f>
        <v>4381.6000000000004</v>
      </c>
      <c r="M39" s="161" t="s">
        <v>29</v>
      </c>
      <c r="N39" s="162" t="s">
        <v>118</v>
      </c>
      <c r="O39" s="163">
        <f>+L36</f>
        <v>1406.2</v>
      </c>
      <c r="P39" s="164"/>
      <c r="Q39" s="109"/>
    </row>
    <row r="40" spans="1:17" ht="24" thickBot="1" x14ac:dyDescent="0.5">
      <c r="A40" s="178" t="s">
        <v>121</v>
      </c>
      <c r="B40" s="178" t="s">
        <v>122</v>
      </c>
      <c r="C40" s="178" t="s">
        <v>123</v>
      </c>
      <c r="D40" s="178" t="s">
        <v>124</v>
      </c>
      <c r="E40" s="179"/>
      <c r="F40" s="176"/>
      <c r="G40" s="176"/>
      <c r="H40" s="176"/>
      <c r="I40" s="99" t="s">
        <v>78</v>
      </c>
      <c r="J40" s="124">
        <f>+J37+J38-J39</f>
        <v>104.16</v>
      </c>
      <c r="K40" s="173" t="s">
        <v>120</v>
      </c>
      <c r="L40" s="174">
        <f>+P24-L39</f>
        <v>0</v>
      </c>
      <c r="M40" s="282" t="s">
        <v>97</v>
      </c>
      <c r="N40" s="283"/>
      <c r="O40" s="284">
        <f>SUM(O38:P39)</f>
        <v>4381.6000000000004</v>
      </c>
      <c r="P40" s="285"/>
      <c r="Q40" s="109"/>
    </row>
    <row r="41" spans="1:17" ht="15" thickBot="1" x14ac:dyDescent="0.35">
      <c r="A41" s="182" t="s">
        <v>30</v>
      </c>
      <c r="B41" s="183">
        <f>IF(D41&gt;"0",0,(D41/C41))</f>
        <v>73.742261528742887</v>
      </c>
      <c r="C41" s="184">
        <v>15.83</v>
      </c>
      <c r="D41" s="185">
        <v>1167.3399999999999</v>
      </c>
      <c r="E41" s="186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31</v>
      </c>
      <c r="B42" s="183">
        <f>IF(D42&gt;"0",0,(D42/C42))</f>
        <v>216.84274193548384</v>
      </c>
      <c r="C42" s="184">
        <v>14.88</v>
      </c>
      <c r="D42" s="185">
        <v>3226.62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75">
        <v>84</v>
      </c>
      <c r="B43" s="183">
        <f>IF(D43&gt;"0",0,(D43/C43))</f>
        <v>0</v>
      </c>
      <c r="C43" s="184">
        <v>17.89</v>
      </c>
      <c r="D43" s="185"/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+C45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82" t="s">
        <v>131</v>
      </c>
      <c r="B44" s="183">
        <f>IF(D44&gt;"0",0,(D44/C44))</f>
        <v>81.184262295081965</v>
      </c>
      <c r="C44" s="184">
        <v>15.25</v>
      </c>
      <c r="D44" s="185">
        <v>1238.06</v>
      </c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29</v>
      </c>
      <c r="B45" s="183">
        <f>IF(D45&gt;"0",0,(D45/C45))</f>
        <v>291.36448598130841</v>
      </c>
      <c r="C45" s="184">
        <v>7.49</v>
      </c>
      <c r="D45" s="185">
        <v>2182.3200000000002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6.2" thickBot="1" x14ac:dyDescent="0.35">
      <c r="A46" s="180"/>
      <c r="B46" s="216">
        <f>SUM(B41:B45)</f>
        <v>663.13375174061707</v>
      </c>
      <c r="C46" s="216"/>
      <c r="D46" s="217">
        <f>SUM(D41:D45)</f>
        <v>7814.34</v>
      </c>
      <c r="E46" s="217">
        <v>7814.34</v>
      </c>
      <c r="F46" s="212"/>
      <c r="G46" s="213">
        <f>(L35+B38+P22+P23+P21+L37)-SUM(D41:D44)+(P19+P20)</f>
        <v>-7.999999999992724E-2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Top="1" thickBot="1" x14ac:dyDescent="0.35">
      <c r="E47" s="186"/>
      <c r="F47" s="218"/>
      <c r="G47" s="219">
        <f>(C36+L36+L38)-D45</f>
        <v>-1.0000000000218279E-2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5.6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N52" s="237"/>
      <c r="P52" s="3"/>
    </row>
    <row r="53" spans="1:16" ht="15.6" x14ac:dyDescent="0.3">
      <c r="A53" s="238"/>
      <c r="B53" s="239"/>
      <c r="C53" s="239"/>
      <c r="D53" s="240"/>
      <c r="P53" s="3"/>
    </row>
    <row r="54" spans="1:16" ht="15.6" x14ac:dyDescent="0.3">
      <c r="A54" s="238"/>
      <c r="B54" s="241"/>
      <c r="C54" s="241"/>
      <c r="D54" s="242"/>
      <c r="P54" s="3"/>
    </row>
    <row r="55" spans="1:16" ht="15.6" x14ac:dyDescent="0.3">
      <c r="A55" s="238"/>
      <c r="D55" s="229"/>
      <c r="P55" s="3"/>
    </row>
    <row r="56" spans="1:16" ht="15.6" x14ac:dyDescent="0.3">
      <c r="A56" s="244"/>
      <c r="D56" s="229"/>
      <c r="P56" s="3"/>
    </row>
    <row r="57" spans="1:16" ht="15.6" x14ac:dyDescent="0.3">
      <c r="A57" s="246"/>
      <c r="D57" s="229"/>
      <c r="P57" s="3"/>
    </row>
    <row r="58" spans="1:16" ht="15.6" x14ac:dyDescent="0.3">
      <c r="A58" s="238"/>
      <c r="D58" s="229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M61" s="109"/>
      <c r="N61" s="109"/>
      <c r="O61" s="109"/>
      <c r="P61" s="3"/>
    </row>
    <row r="62" spans="1:16" ht="15.6" x14ac:dyDescent="0.3">
      <c r="A62" s="244"/>
      <c r="D62" s="229"/>
      <c r="M62" s="109"/>
      <c r="N62" s="109"/>
      <c r="O62" s="109"/>
      <c r="P62" s="3"/>
    </row>
    <row r="63" spans="1:16" x14ac:dyDescent="0.3">
      <c r="A63" s="238"/>
      <c r="D63" s="109"/>
      <c r="M63" s="109"/>
      <c r="N63" s="109"/>
      <c r="O63" s="109"/>
      <c r="P63" s="3"/>
    </row>
    <row r="64" spans="1:16" x14ac:dyDescent="0.3">
      <c r="A64" s="238"/>
      <c r="M64" s="109"/>
      <c r="N64" s="109"/>
      <c r="O64" s="109"/>
      <c r="P64" s="3"/>
    </row>
    <row r="65" spans="1:19" x14ac:dyDescent="0.3">
      <c r="A65" s="238">
        <v>84</v>
      </c>
      <c r="M65" s="109"/>
      <c r="P65" s="3"/>
    </row>
    <row r="66" spans="1:19" x14ac:dyDescent="0.3">
      <c r="A66" s="244" t="s">
        <v>131</v>
      </c>
      <c r="M66" s="109"/>
      <c r="P66" s="3"/>
    </row>
    <row r="67" spans="1:19" x14ac:dyDescent="0.3">
      <c r="A67" s="85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M70" s="109"/>
      <c r="N70" s="109"/>
      <c r="O70" s="109"/>
      <c r="P70" s="109"/>
      <c r="Q70" s="109"/>
    </row>
    <row r="71" spans="1:19" x14ac:dyDescent="0.3">
      <c r="A71" s="244" t="s">
        <v>131</v>
      </c>
      <c r="M71" s="109"/>
      <c r="N71" s="109"/>
      <c r="O71" s="109"/>
      <c r="P71" s="109"/>
      <c r="Q71" s="109"/>
    </row>
    <row r="72" spans="1:19" x14ac:dyDescent="0.3">
      <c r="A72" s="85"/>
      <c r="M72" s="109"/>
      <c r="N72" s="109"/>
      <c r="O72" s="109"/>
      <c r="P72" s="109"/>
      <c r="Q72" s="109"/>
    </row>
    <row r="73" spans="1:19" x14ac:dyDescent="0.3">
      <c r="A73" s="244" t="s">
        <v>29</v>
      </c>
      <c r="M73" s="109"/>
      <c r="N73" s="109"/>
      <c r="O73" s="109"/>
      <c r="P73" s="109"/>
      <c r="Q73" s="109"/>
    </row>
    <row r="74" spans="1:19" x14ac:dyDescent="0.3">
      <c r="A74" s="244" t="s">
        <v>29</v>
      </c>
      <c r="M74" s="109"/>
      <c r="N74" s="109"/>
      <c r="O74" s="109"/>
      <c r="P74" s="109"/>
      <c r="Q74" s="200"/>
    </row>
    <row r="75" spans="1:19" x14ac:dyDescent="0.3">
      <c r="A75" s="85"/>
      <c r="M75" s="109"/>
      <c r="N75" s="109"/>
      <c r="O75" s="109"/>
      <c r="P75" s="109"/>
      <c r="Q75" s="200"/>
    </row>
    <row r="76" spans="1:19" x14ac:dyDescent="0.3">
      <c r="A76" s="244" t="s">
        <v>29</v>
      </c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M77" s="109"/>
      <c r="N77" s="109"/>
      <c r="O77" s="109"/>
      <c r="P77" s="109"/>
      <c r="Q77" s="200"/>
    </row>
    <row r="78" spans="1:19" x14ac:dyDescent="0.3">
      <c r="A78" s="85"/>
      <c r="M78" s="109"/>
      <c r="N78" s="109"/>
      <c r="O78" s="109"/>
      <c r="P78" s="109"/>
      <c r="Q78" s="200"/>
    </row>
    <row r="79" spans="1:19" x14ac:dyDescent="0.3">
      <c r="A79" s="85"/>
      <c r="M79" s="109"/>
      <c r="N79" s="109"/>
      <c r="O79" s="109"/>
      <c r="P79" s="109"/>
      <c r="Q79" s="200"/>
    </row>
    <row r="80" spans="1:19" x14ac:dyDescent="0.3">
      <c r="A80" s="85"/>
      <c r="M80" s="109"/>
      <c r="N80" s="109"/>
      <c r="O80" s="109"/>
      <c r="P80" s="109"/>
      <c r="Q80" s="200"/>
    </row>
    <row r="81" spans="1:18" x14ac:dyDescent="0.3">
      <c r="A81" s="85"/>
      <c r="M81" s="109"/>
      <c r="N81" s="109"/>
      <c r="O81" s="109"/>
      <c r="P81" s="109"/>
      <c r="Q81" s="200"/>
    </row>
    <row r="82" spans="1:18" x14ac:dyDescent="0.3">
      <c r="A82" s="85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J96" s="3"/>
      <c r="K96" s="3"/>
      <c r="L96" s="3"/>
      <c r="M96" s="109"/>
      <c r="N96" s="257"/>
      <c r="O96" s="257"/>
      <c r="P96" s="109"/>
      <c r="R96" s="258"/>
    </row>
    <row r="97" spans="10:16" s="70" customFormat="1" x14ac:dyDescent="0.3">
      <c r="J97" s="3"/>
      <c r="K97" s="3"/>
      <c r="L97" s="3"/>
      <c r="M97" s="109"/>
      <c r="N97" s="257"/>
      <c r="O97" s="257"/>
      <c r="P97" s="109"/>
    </row>
    <row r="98" spans="10:16" s="70" customFormat="1" x14ac:dyDescent="0.3">
      <c r="J98" s="3"/>
      <c r="K98" s="3"/>
      <c r="L98" s="3"/>
      <c r="M98" s="109"/>
      <c r="N98" s="257"/>
      <c r="O98" s="257"/>
      <c r="P98" s="109"/>
    </row>
    <row r="99" spans="10:16" s="70" customFormat="1" ht="15" thickBot="1" x14ac:dyDescent="0.35">
      <c r="J99" s="3"/>
      <c r="K99" s="3"/>
      <c r="L99" s="3"/>
      <c r="M99" s="109"/>
      <c r="N99" s="259"/>
      <c r="O99" s="259"/>
      <c r="P99" s="109"/>
    </row>
    <row r="100" spans="10:16" s="70" customFormat="1" x14ac:dyDescent="0.3">
      <c r="J100" s="3"/>
      <c r="K100" s="3"/>
      <c r="L100" s="3"/>
      <c r="M100" s="109"/>
      <c r="N100" s="260"/>
      <c r="O100" s="260"/>
      <c r="P100" s="109"/>
    </row>
    <row r="101" spans="10:16" x14ac:dyDescent="0.3">
      <c r="M101" s="109"/>
      <c r="N101" s="257"/>
      <c r="O101" s="257"/>
      <c r="P101" s="109"/>
    </row>
    <row r="102" spans="10:16" x14ac:dyDescent="0.3">
      <c r="J102" s="70"/>
      <c r="K102" s="70"/>
      <c r="L102" s="70"/>
      <c r="M102" s="109"/>
      <c r="N102" s="257"/>
      <c r="O102" s="257"/>
      <c r="P102" s="109"/>
    </row>
    <row r="103" spans="10:16" x14ac:dyDescent="0.3">
      <c r="J103" s="70"/>
      <c r="K103" s="70"/>
      <c r="L103" s="70"/>
      <c r="M103" s="109"/>
      <c r="N103" s="257"/>
      <c r="O103" s="257"/>
      <c r="P103" s="109"/>
    </row>
    <row r="104" spans="10:16" x14ac:dyDescent="0.3">
      <c r="J104" s="70"/>
      <c r="K104" s="70"/>
      <c r="L104" s="70"/>
      <c r="M104" s="109"/>
      <c r="N104" s="257"/>
      <c r="P104" s="109"/>
    </row>
    <row r="105" spans="10:16" x14ac:dyDescent="0.3">
      <c r="J105" s="70"/>
      <c r="K105" s="70"/>
      <c r="L105" s="70"/>
      <c r="M105" s="109"/>
      <c r="N105" s="257"/>
      <c r="P105" s="109"/>
    </row>
    <row r="106" spans="10:16" x14ac:dyDescent="0.3">
      <c r="J106" s="70"/>
      <c r="K106" s="70"/>
      <c r="L106" s="70"/>
      <c r="M106" s="109"/>
      <c r="N106" s="257"/>
      <c r="P106" s="109"/>
    </row>
    <row r="107" spans="10:16" x14ac:dyDescent="0.3">
      <c r="J107" s="70"/>
      <c r="K107" s="70"/>
      <c r="L107" s="70"/>
      <c r="M107" s="109"/>
      <c r="N107" s="260"/>
      <c r="O107" s="260"/>
      <c r="P107" s="109"/>
    </row>
    <row r="108" spans="10:16" x14ac:dyDescent="0.3">
      <c r="J108" s="70"/>
      <c r="K108" s="70"/>
      <c r="L108" s="70"/>
      <c r="M108" s="109"/>
      <c r="N108" s="257"/>
      <c r="P108" s="109"/>
    </row>
    <row r="109" spans="10:16" x14ac:dyDescent="0.3">
      <c r="J109" s="70"/>
      <c r="K109" s="70"/>
      <c r="L109" s="70"/>
      <c r="M109" s="109"/>
      <c r="N109" s="257"/>
      <c r="P109" s="109"/>
    </row>
    <row r="110" spans="10:16" x14ac:dyDescent="0.3">
      <c r="J110" s="70"/>
      <c r="K110" s="70"/>
      <c r="L110" s="70"/>
      <c r="M110" s="109"/>
      <c r="N110" s="257"/>
      <c r="P110" s="109"/>
    </row>
    <row r="111" spans="10:16" x14ac:dyDescent="0.3">
      <c r="J111" s="70"/>
      <c r="K111" s="70"/>
      <c r="L111" s="70"/>
      <c r="M111" s="109"/>
      <c r="N111" s="257"/>
      <c r="P111" s="109"/>
    </row>
    <row r="112" spans="10:16" x14ac:dyDescent="0.3">
      <c r="J112" s="70"/>
      <c r="K112" s="70"/>
      <c r="L112" s="70"/>
      <c r="M112" s="109"/>
      <c r="N112" s="257"/>
      <c r="P112" s="109"/>
    </row>
    <row r="113" spans="7:16" ht="15" thickBot="1" x14ac:dyDescent="0.35">
      <c r="J113" s="70"/>
      <c r="K113" s="70"/>
      <c r="L113" s="70"/>
      <c r="M113" s="109"/>
      <c r="N113" s="259"/>
      <c r="O113" s="261"/>
      <c r="P113" s="109"/>
    </row>
    <row r="114" spans="7:16" x14ac:dyDescent="0.3">
      <c r="J114" s="70"/>
      <c r="K114" s="70"/>
      <c r="L114" s="70"/>
      <c r="M114" s="109"/>
      <c r="N114" s="257"/>
      <c r="P114" s="109"/>
    </row>
    <row r="115" spans="7:16" x14ac:dyDescent="0.3">
      <c r="J115" s="70"/>
      <c r="K115" s="70"/>
      <c r="L115" s="70"/>
      <c r="M115" s="109"/>
      <c r="N115" s="257"/>
    </row>
    <row r="116" spans="7:16" x14ac:dyDescent="0.3"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I14:J14"/>
    <mergeCell ref="M14:N14"/>
    <mergeCell ref="A12:H12"/>
    <mergeCell ref="I13:L13"/>
    <mergeCell ref="M13:P13"/>
    <mergeCell ref="A14:B14"/>
    <mergeCell ref="I15:J15"/>
    <mergeCell ref="M15:N15"/>
    <mergeCell ref="A15:B15"/>
    <mergeCell ref="I16:J16"/>
    <mergeCell ref="M16:N16"/>
    <mergeCell ref="A16:B16"/>
    <mergeCell ref="I17:L17"/>
    <mergeCell ref="M17:N17"/>
    <mergeCell ref="A17:B17"/>
    <mergeCell ref="I18:J18"/>
    <mergeCell ref="K18:L18"/>
    <mergeCell ref="M18:O18"/>
    <mergeCell ref="A18:B18"/>
    <mergeCell ref="I19:J19"/>
    <mergeCell ref="K19:L19"/>
    <mergeCell ref="M19:O19"/>
    <mergeCell ref="A19:B19"/>
    <mergeCell ref="M20:O20"/>
    <mergeCell ref="A20:B20"/>
    <mergeCell ref="M21:O21"/>
    <mergeCell ref="A21:B21"/>
    <mergeCell ref="M22:O22"/>
    <mergeCell ref="A33:C33"/>
    <mergeCell ref="A22:B22"/>
    <mergeCell ref="M23:O23"/>
    <mergeCell ref="A23:B23"/>
    <mergeCell ref="M24:N24"/>
    <mergeCell ref="A24:B24"/>
    <mergeCell ref="I25:J25"/>
    <mergeCell ref="K25:P25"/>
    <mergeCell ref="A25:B25"/>
    <mergeCell ref="A26:B26"/>
    <mergeCell ref="I30:J30"/>
    <mergeCell ref="A31:B31"/>
    <mergeCell ref="A32:G32"/>
    <mergeCell ref="G41:K41"/>
    <mergeCell ref="M34:P34"/>
    <mergeCell ref="M35:P36"/>
    <mergeCell ref="I36:J36"/>
    <mergeCell ref="M37:N37"/>
    <mergeCell ref="M40:N40"/>
    <mergeCell ref="O40:P4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FA64-FDC2-4B41-939B-0E92E8D34F9D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45726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69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+'09-03-2025'!J7</f>
        <v>1842.2401638461154</v>
      </c>
      <c r="C7" s="22">
        <f>K26+K27</f>
        <v>1421.8479068615309</v>
      </c>
      <c r="D7" s="23"/>
      <c r="E7" s="24">
        <f>+B7+C7+D7</f>
        <v>3264.0880707076462</v>
      </c>
      <c r="F7" s="25">
        <f>B46-G7</f>
        <v>297.22563417890518</v>
      </c>
      <c r="G7" s="22"/>
      <c r="H7" s="26"/>
      <c r="I7" s="21">
        <f t="shared" ref="I7:I10" si="0">+F7+G7+H7</f>
        <v>297.22563417890518</v>
      </c>
      <c r="J7" s="21">
        <f t="shared" ref="J7:J10" si="1">+E7-I7</f>
        <v>2966.862436528741</v>
      </c>
      <c r="K7" s="27">
        <f>+'09-03-2025'!L7</f>
        <v>1842.2401638461154</v>
      </c>
      <c r="L7" s="28">
        <v>2966.862436528741</v>
      </c>
      <c r="M7" s="24">
        <f t="shared" ref="M7:M10" si="2">+F7</f>
        <v>297.22563417890518</v>
      </c>
      <c r="N7" s="24">
        <f>+C46</f>
        <v>7.49</v>
      </c>
      <c r="O7" s="29">
        <f t="shared" ref="O7:O10" si="3">+M7*N7</f>
        <v>2226.2199999999998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+'09-03-2025'!J8</f>
        <v>618.77447883764989</v>
      </c>
      <c r="C8" s="22">
        <f>K28</f>
        <v>0</v>
      </c>
      <c r="D8" s="33"/>
      <c r="E8" s="24">
        <f>+B8+C8+D8</f>
        <v>618.77447883764989</v>
      </c>
      <c r="F8" s="25">
        <f>+B42-G8</f>
        <v>101.58622867972204</v>
      </c>
      <c r="G8" s="22"/>
      <c r="H8" s="26"/>
      <c r="I8" s="21">
        <f t="shared" si="0"/>
        <v>101.58622867972204</v>
      </c>
      <c r="J8" s="21">
        <f t="shared" si="1"/>
        <v>517.18825015792788</v>
      </c>
      <c r="K8" s="27">
        <f>+'09-03-2025'!L8</f>
        <v>610</v>
      </c>
      <c r="L8" s="28">
        <v>510</v>
      </c>
      <c r="M8" s="24">
        <f t="shared" si="2"/>
        <v>101.58622867972204</v>
      </c>
      <c r="N8" s="24">
        <f>+C42</f>
        <v>15.83</v>
      </c>
      <c r="O8" s="29">
        <f t="shared" si="3"/>
        <v>1608.11</v>
      </c>
      <c r="P8" s="30">
        <f t="shared" si="4"/>
        <v>-7.1882501579278824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+'09-03-2025'!J9</f>
        <v>1195.0248655913979</v>
      </c>
      <c r="C9" s="22">
        <f>K29</f>
        <v>0</v>
      </c>
      <c r="D9" s="33"/>
      <c r="E9" s="24">
        <f>+B9+C9+D9</f>
        <v>1195.0248655913979</v>
      </c>
      <c r="F9" s="25">
        <f>+B43-G9</f>
        <v>177.86693548387095</v>
      </c>
      <c r="G9" s="22"/>
      <c r="H9" s="26"/>
      <c r="I9" s="21">
        <f t="shared" si="0"/>
        <v>177.86693548387095</v>
      </c>
      <c r="J9" s="21">
        <f t="shared" si="1"/>
        <v>1017.1579301075269</v>
      </c>
      <c r="K9" s="27">
        <f>+'09-03-2025'!L9</f>
        <v>1190</v>
      </c>
      <c r="L9" s="28">
        <v>1010</v>
      </c>
      <c r="M9" s="24">
        <f t="shared" si="2"/>
        <v>177.86693548387095</v>
      </c>
      <c r="N9" s="24">
        <f>+C43</f>
        <v>14.88</v>
      </c>
      <c r="O9" s="29">
        <f t="shared" si="3"/>
        <v>2646.66</v>
      </c>
      <c r="P9" s="30">
        <f t="shared" si="4"/>
        <v>-7.1579301075269086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+'09-03-2025'!J10</f>
        <v>1843.5547540983605</v>
      </c>
      <c r="C10" s="40">
        <f>K31</f>
        <v>0</v>
      </c>
      <c r="D10" s="41"/>
      <c r="E10" s="24">
        <f>+B10+C10+D10</f>
        <v>1843.5547540983605</v>
      </c>
      <c r="F10" s="43">
        <f>+B45-G10</f>
        <v>241.52655737704919</v>
      </c>
      <c r="G10" s="40"/>
      <c r="H10" s="26"/>
      <c r="I10" s="44">
        <f t="shared" si="0"/>
        <v>241.52655737704919</v>
      </c>
      <c r="J10" s="44">
        <f t="shared" si="1"/>
        <v>1602.0281967213114</v>
      </c>
      <c r="K10" s="27">
        <f>+'09-03-2025'!L10</f>
        <v>1845</v>
      </c>
      <c r="L10" s="28">
        <v>1605</v>
      </c>
      <c r="M10" s="42">
        <f t="shared" si="2"/>
        <v>241.52655737704919</v>
      </c>
      <c r="N10" s="42">
        <f>+C45</f>
        <v>15.25</v>
      </c>
      <c r="O10" s="45">
        <f t="shared" si="3"/>
        <v>3683.28</v>
      </c>
      <c r="P10" s="30">
        <f t="shared" si="4"/>
        <v>2.9718032786886397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5499.5942623735236</v>
      </c>
      <c r="C11" s="21">
        <f t="shared" si="5"/>
        <v>1421.8479068615309</v>
      </c>
      <c r="D11" s="21">
        <f t="shared" si="5"/>
        <v>0</v>
      </c>
      <c r="E11" s="21">
        <f t="shared" si="5"/>
        <v>6921.4421692350552</v>
      </c>
      <c r="F11" s="21">
        <f t="shared" si="5"/>
        <v>818.20535571954747</v>
      </c>
      <c r="G11" s="21">
        <f t="shared" si="5"/>
        <v>0</v>
      </c>
      <c r="H11" s="21">
        <f t="shared" si="5"/>
        <v>0</v>
      </c>
      <c r="I11" s="21">
        <f t="shared" si="5"/>
        <v>818.20535571954747</v>
      </c>
      <c r="J11" s="21">
        <f t="shared" si="5"/>
        <v>6103.2368135155075</v>
      </c>
      <c r="K11" s="27">
        <f t="shared" si="5"/>
        <v>5487.2401638461151</v>
      </c>
      <c r="L11" s="21">
        <f t="shared" si="5"/>
        <v>6091.8624365287415</v>
      </c>
      <c r="M11" s="21">
        <f t="shared" si="5"/>
        <v>818.20535571954747</v>
      </c>
      <c r="N11" s="21"/>
      <c r="O11" s="21">
        <f>SUM(O7:O10)</f>
        <v>10164.27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818.20535571954747</v>
      </c>
      <c r="O14" s="65">
        <f>+O11</f>
        <v>10164.27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2724.9700000000003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468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 t="s">
        <v>154</v>
      </c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0.3044000000008964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 t="s">
        <v>155</v>
      </c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585.19000000000005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735.19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4686.6904099999992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1421.8479068615309</v>
      </c>
      <c r="L26" s="93" t="s">
        <v>157</v>
      </c>
      <c r="M26" s="94" t="s">
        <v>158</v>
      </c>
      <c r="N26" s="95" t="s">
        <v>146</v>
      </c>
      <c r="O26" s="96" t="str">
        <f>+H42&amp;"   "&amp;"kg"</f>
        <v>2870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7.1882501579278824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7.1579301075269086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+'08-03-2025'!I34</f>
        <v>-315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150</v>
      </c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-2.9718032786886397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45726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-465</v>
      </c>
      <c r="J34" s="118" t="s">
        <v>58</v>
      </c>
      <c r="K34" s="125">
        <v>4466.2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2020.97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1758.2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704</v>
      </c>
      <c r="C36" s="136">
        <v>468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45726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4466.2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2724.9700000000003</v>
      </c>
      <c r="C38" s="153">
        <f>SUM(C35:C37)</f>
        <v>468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6224.4</v>
      </c>
      <c r="L38" s="161" t="s">
        <v>29</v>
      </c>
      <c r="M38" s="162" t="s">
        <v>118</v>
      </c>
      <c r="N38" s="163">
        <f>+K35</f>
        <v>1758.2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3192.9700000000003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6224.4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101.58622867972204</v>
      </c>
      <c r="C42" s="184">
        <v>15.83</v>
      </c>
      <c r="D42" s="185">
        <v>1608.11</v>
      </c>
      <c r="E42" s="186"/>
      <c r="F42" s="183"/>
      <c r="G42" s="187" t="s">
        <v>126</v>
      </c>
      <c r="H42" s="188" t="s">
        <v>156</v>
      </c>
      <c r="I42" s="189">
        <v>2.0185</v>
      </c>
      <c r="J42" s="190">
        <f>+H42/I42</f>
        <v>1421.8479068615309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177.86693548387095</v>
      </c>
      <c r="C43" s="184">
        <v>14.88</v>
      </c>
      <c r="D43" s="185">
        <v>2646.66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241.52655737704919</v>
      </c>
      <c r="C45" s="184">
        <v>15.25</v>
      </c>
      <c r="D45" s="185">
        <v>3683.28</v>
      </c>
      <c r="E45" s="186"/>
      <c r="F45" s="183"/>
      <c r="G45" s="206" t="s">
        <v>132</v>
      </c>
      <c r="H45" s="207">
        <f>+J45/I45</f>
        <v>2.3011574453765054</v>
      </c>
      <c r="I45" s="208">
        <f>+I43</f>
        <v>3.7854000000000001</v>
      </c>
      <c r="J45" s="209">
        <f>+K45/H42</f>
        <v>8.7108013937282234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297.22563417890518</v>
      </c>
      <c r="C46" s="184">
        <v>7.49</v>
      </c>
      <c r="D46" s="185">
        <v>2226.2199999999998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818.20535571954747</v>
      </c>
      <c r="C47" s="216"/>
      <c r="D47" s="217">
        <f>SUM(D42:D46)</f>
        <v>10164.269999999999</v>
      </c>
      <c r="E47" s="186"/>
      <c r="F47" s="183"/>
      <c r="G47" s="263">
        <f>(C36+K35+K37)-D46</f>
        <v>-1.999999999998181E-2</v>
      </c>
      <c r="H47" s="220" t="s">
        <v>90</v>
      </c>
      <c r="I47" s="221" t="s">
        <v>137</v>
      </c>
      <c r="J47" s="222">
        <v>2.0185</v>
      </c>
      <c r="K47" s="223">
        <f>+J45-J43</f>
        <v>1.2208013937282232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5545-A9EB-4EB1-9521-5D2C5F4A8561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45727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70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+'10-03-2025'!J7</f>
        <v>2966.862436528741</v>
      </c>
      <c r="C7" s="22">
        <f>K26+K27</f>
        <v>0</v>
      </c>
      <c r="D7" s="23"/>
      <c r="E7" s="24">
        <f>+B7+C7+D7</f>
        <v>2966.862436528741</v>
      </c>
      <c r="F7" s="25">
        <f>B46-G7</f>
        <v>267.19492656875832</v>
      </c>
      <c r="G7" s="22"/>
      <c r="H7" s="26"/>
      <c r="I7" s="21">
        <f t="shared" ref="I7:I10" si="0">+F7+G7+H7</f>
        <v>267.19492656875832</v>
      </c>
      <c r="J7" s="21">
        <f t="shared" ref="J7:J10" si="1">+E7-I7</f>
        <v>2699.6675099599825</v>
      </c>
      <c r="K7" s="27">
        <f>+'10-03-2025'!L7</f>
        <v>2966.862436528741</v>
      </c>
      <c r="L7" s="28">
        <v>2699.6675099599825</v>
      </c>
      <c r="M7" s="24">
        <f t="shared" ref="M7:M10" si="2">+F7</f>
        <v>267.19492656875832</v>
      </c>
      <c r="N7" s="24">
        <f>+C46</f>
        <v>7.49</v>
      </c>
      <c r="O7" s="29">
        <f t="shared" ref="O7:O10" si="3">+M7*N7</f>
        <v>2001.29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+'10-03-2025'!J8</f>
        <v>517.18825015792788</v>
      </c>
      <c r="C8" s="22">
        <f>K28</f>
        <v>980</v>
      </c>
      <c r="D8" s="33"/>
      <c r="E8" s="24">
        <f>+B8+C8+D8</f>
        <v>1497.188250157928</v>
      </c>
      <c r="F8" s="25">
        <f>+B42-G8</f>
        <v>72.768793430195828</v>
      </c>
      <c r="G8" s="22"/>
      <c r="H8" s="26"/>
      <c r="I8" s="21">
        <f t="shared" si="0"/>
        <v>72.768793430195828</v>
      </c>
      <c r="J8" s="21">
        <f t="shared" si="1"/>
        <v>1424.4194567277323</v>
      </c>
      <c r="K8" s="27">
        <f>+'10-03-2025'!L8</f>
        <v>510</v>
      </c>
      <c r="L8" s="28">
        <v>1419</v>
      </c>
      <c r="M8" s="24">
        <f t="shared" si="2"/>
        <v>72.768793430195828</v>
      </c>
      <c r="N8" s="24">
        <f>+C42</f>
        <v>15.83</v>
      </c>
      <c r="O8" s="29">
        <f t="shared" si="3"/>
        <v>1151.93</v>
      </c>
      <c r="P8" s="30">
        <f t="shared" si="4"/>
        <v>-5.4194567277322676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+'10-03-2025'!J9</f>
        <v>1017.1579301075269</v>
      </c>
      <c r="C9" s="22">
        <f>K29</f>
        <v>0</v>
      </c>
      <c r="D9" s="33"/>
      <c r="E9" s="24">
        <f>+B9+C9+D9</f>
        <v>1017.1579301075269</v>
      </c>
      <c r="F9" s="25">
        <f>+B43-G9</f>
        <v>163.90053763440861</v>
      </c>
      <c r="G9" s="22"/>
      <c r="H9" s="26"/>
      <c r="I9" s="21">
        <f t="shared" si="0"/>
        <v>163.90053763440861</v>
      </c>
      <c r="J9" s="21">
        <f t="shared" si="1"/>
        <v>853.25739247311833</v>
      </c>
      <c r="K9" s="27">
        <f>+'10-03-2025'!L9</f>
        <v>1010</v>
      </c>
      <c r="L9" s="28">
        <v>845</v>
      </c>
      <c r="M9" s="24">
        <f t="shared" si="2"/>
        <v>163.90053763440861</v>
      </c>
      <c r="N9" s="24">
        <f>+C43</f>
        <v>14.88</v>
      </c>
      <c r="O9" s="29">
        <f t="shared" si="3"/>
        <v>2438.84</v>
      </c>
      <c r="P9" s="30">
        <f t="shared" si="4"/>
        <v>-8.2573924731183297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+'10-03-2025'!J10</f>
        <v>1602.0281967213114</v>
      </c>
      <c r="C10" s="40">
        <f>K31</f>
        <v>0</v>
      </c>
      <c r="D10" s="41"/>
      <c r="E10" s="24">
        <f>+B10+C10+D10</f>
        <v>1602.0281967213114</v>
      </c>
      <c r="F10" s="43">
        <f>+B45-G10</f>
        <v>51.474754098360656</v>
      </c>
      <c r="G10" s="40"/>
      <c r="H10" s="26"/>
      <c r="I10" s="44">
        <f t="shared" si="0"/>
        <v>51.474754098360656</v>
      </c>
      <c r="J10" s="44">
        <f t="shared" si="1"/>
        <v>1550.5534426229508</v>
      </c>
      <c r="K10" s="27">
        <f>+'10-03-2025'!L10</f>
        <v>1605</v>
      </c>
      <c r="L10" s="28">
        <v>1550</v>
      </c>
      <c r="M10" s="42">
        <f t="shared" si="2"/>
        <v>51.474754098360656</v>
      </c>
      <c r="N10" s="42">
        <f>+C45</f>
        <v>15.25</v>
      </c>
      <c r="O10" s="45">
        <f t="shared" si="3"/>
        <v>784.99</v>
      </c>
      <c r="P10" s="30">
        <f t="shared" si="4"/>
        <v>-0.55344262295079716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6103.2368135155075</v>
      </c>
      <c r="C11" s="21">
        <f t="shared" si="5"/>
        <v>980</v>
      </c>
      <c r="D11" s="21">
        <f t="shared" si="5"/>
        <v>0</v>
      </c>
      <c r="E11" s="21">
        <f t="shared" si="5"/>
        <v>7083.2368135155075</v>
      </c>
      <c r="F11" s="21">
        <f t="shared" si="5"/>
        <v>555.33901173172342</v>
      </c>
      <c r="G11" s="21">
        <f t="shared" si="5"/>
        <v>0</v>
      </c>
      <c r="H11" s="21">
        <f t="shared" si="5"/>
        <v>0</v>
      </c>
      <c r="I11" s="21">
        <f t="shared" si="5"/>
        <v>555.33901173172342</v>
      </c>
      <c r="J11" s="21">
        <f t="shared" si="5"/>
        <v>6527.8978017837844</v>
      </c>
      <c r="K11" s="27">
        <f t="shared" si="5"/>
        <v>6091.8624365287415</v>
      </c>
      <c r="L11" s="21">
        <f t="shared" si="5"/>
        <v>6513.6675099599825</v>
      </c>
      <c r="M11" s="21">
        <f t="shared" si="5"/>
        <v>555.33901173172342</v>
      </c>
      <c r="N11" s="21"/>
      <c r="O11" s="21">
        <f>SUM(O7:O10)</f>
        <v>6377.05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555.33901173172342</v>
      </c>
      <c r="O14" s="65">
        <f>+O11</f>
        <v>6377.05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159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1284.25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422.34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0.15999999999985448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 t="s">
        <v>162</v>
      </c>
      <c r="M18" s="289"/>
      <c r="N18" s="290"/>
      <c r="O18" s="69">
        <v>3037.5</v>
      </c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50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>
        <v>980</v>
      </c>
      <c r="L28" s="94" t="s">
        <v>161</v>
      </c>
      <c r="M28" s="94" t="s">
        <v>160</v>
      </c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5.4194567277322676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8.2573924731183297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+'10-03-2025'!I34</f>
        <v>-465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0.55344262295079716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45727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-515</v>
      </c>
      <c r="J34" s="118" t="s">
        <v>58</v>
      </c>
      <c r="K34" s="125">
        <v>0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1174.25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1578.8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110</v>
      </c>
      <c r="C36" s="136">
        <v>422.34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45727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0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1284.25</v>
      </c>
      <c r="C38" s="153">
        <f>SUM(C35:C37)</f>
        <v>422.34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1578.8</v>
      </c>
      <c r="L38" s="161" t="s">
        <v>29</v>
      </c>
      <c r="M38" s="162" t="s">
        <v>118</v>
      </c>
      <c r="N38" s="163">
        <f>+K35</f>
        <v>1578.8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1706.59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1578.8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72.768793430195828</v>
      </c>
      <c r="C42" s="184">
        <v>15.83</v>
      </c>
      <c r="D42" s="185">
        <v>1151.93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163.90053763440861</v>
      </c>
      <c r="C43" s="184">
        <v>14.88</v>
      </c>
      <c r="D43" s="185">
        <v>2438.84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51.474754098360656</v>
      </c>
      <c r="C45" s="184">
        <v>15.25</v>
      </c>
      <c r="D45" s="185">
        <v>784.99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267.19492656875832</v>
      </c>
      <c r="C46" s="184">
        <v>7.49</v>
      </c>
      <c r="D46" s="185">
        <v>2001.29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555.33901173172342</v>
      </c>
      <c r="C47" s="216"/>
      <c r="D47" s="217">
        <f>SUM(D42:D46)</f>
        <v>6377.05</v>
      </c>
      <c r="E47" s="186"/>
      <c r="F47" s="183"/>
      <c r="G47" s="263">
        <f>(C36+K35+K37)-D46</f>
        <v>-0.15000000000009095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FAAF-463D-43B5-AA99-E8E64A726A85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45728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71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+'11-03-2025'!J7</f>
        <v>2699.6675099599825</v>
      </c>
      <c r="C7" s="22">
        <f>K26+K27</f>
        <v>0</v>
      </c>
      <c r="D7" s="23"/>
      <c r="E7" s="24">
        <f>+B7+C7+D7</f>
        <v>2699.6675099599825</v>
      </c>
      <c r="F7" s="25">
        <f>B46-G7</f>
        <v>277.40186915887847</v>
      </c>
      <c r="G7" s="22"/>
      <c r="H7" s="26"/>
      <c r="I7" s="21">
        <f t="shared" ref="I7:I10" si="0">+F7+G7+H7</f>
        <v>277.40186915887847</v>
      </c>
      <c r="J7" s="21">
        <f t="shared" ref="J7:J10" si="1">+E7-I7</f>
        <v>2422.2656408011039</v>
      </c>
      <c r="K7" s="27">
        <f>+'11-03-2025'!L7</f>
        <v>2699.6675099599825</v>
      </c>
      <c r="L7" s="28">
        <v>2422.2656408011039</v>
      </c>
      <c r="M7" s="24">
        <f t="shared" ref="M7:M10" si="2">+F7</f>
        <v>277.40186915887847</v>
      </c>
      <c r="N7" s="24">
        <f>+C46</f>
        <v>7.49</v>
      </c>
      <c r="O7" s="29">
        <f t="shared" ref="O7:O10" si="3">+M7*N7</f>
        <v>2077.7399999999998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+'11-03-2025'!J8</f>
        <v>1424.4194567277323</v>
      </c>
      <c r="C8" s="22">
        <f>K28</f>
        <v>0</v>
      </c>
      <c r="D8" s="33"/>
      <c r="E8" s="24">
        <f>+B8+C8+D8</f>
        <v>1424.4194567277323</v>
      </c>
      <c r="F8" s="25">
        <f>+B42-G8</f>
        <v>60.210360075805433</v>
      </c>
      <c r="G8" s="22"/>
      <c r="H8" s="26"/>
      <c r="I8" s="21">
        <f t="shared" si="0"/>
        <v>60.210360075805433</v>
      </c>
      <c r="J8" s="21">
        <f t="shared" si="1"/>
        <v>1364.2090966519268</v>
      </c>
      <c r="K8" s="27">
        <f>+'11-03-2025'!L8</f>
        <v>1419</v>
      </c>
      <c r="L8" s="28">
        <v>1356</v>
      </c>
      <c r="M8" s="24">
        <f t="shared" si="2"/>
        <v>60.210360075805433</v>
      </c>
      <c r="N8" s="24">
        <f>+C42</f>
        <v>15.83</v>
      </c>
      <c r="O8" s="29">
        <f t="shared" si="3"/>
        <v>953.13</v>
      </c>
      <c r="P8" s="30">
        <f t="shared" si="4"/>
        <v>-8.2090966519267567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+'11-03-2025'!J9</f>
        <v>853.25739247311833</v>
      </c>
      <c r="C9" s="22">
        <f>K29</f>
        <v>0</v>
      </c>
      <c r="D9" s="33"/>
      <c r="E9" s="24">
        <f>+B9+C9+D9</f>
        <v>853.25739247311833</v>
      </c>
      <c r="F9" s="25">
        <f>+B43-G9</f>
        <v>168.62298387096774</v>
      </c>
      <c r="G9" s="22"/>
      <c r="H9" s="26"/>
      <c r="I9" s="21">
        <f t="shared" si="0"/>
        <v>168.62298387096774</v>
      </c>
      <c r="J9" s="21">
        <f t="shared" si="1"/>
        <v>684.63440860215064</v>
      </c>
      <c r="K9" s="27">
        <f>+'11-03-2025'!L9</f>
        <v>845</v>
      </c>
      <c r="L9" s="28">
        <v>675</v>
      </c>
      <c r="M9" s="24">
        <f t="shared" si="2"/>
        <v>168.62298387096774</v>
      </c>
      <c r="N9" s="24">
        <f>+C43</f>
        <v>14.88</v>
      </c>
      <c r="O9" s="29">
        <f t="shared" si="3"/>
        <v>2509.11</v>
      </c>
      <c r="P9" s="30">
        <f t="shared" si="4"/>
        <v>-9.6344086021506428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+'11-03-2025'!J10</f>
        <v>1550.5534426229508</v>
      </c>
      <c r="C10" s="40">
        <f>K31</f>
        <v>0</v>
      </c>
      <c r="D10" s="41"/>
      <c r="E10" s="24">
        <f>+B10+C10+D10</f>
        <v>1550.5534426229508</v>
      </c>
      <c r="F10" s="43">
        <f>+B45-G10</f>
        <v>75.116721311475402</v>
      </c>
      <c r="G10" s="40"/>
      <c r="H10" s="26"/>
      <c r="I10" s="44">
        <f t="shared" si="0"/>
        <v>75.116721311475402</v>
      </c>
      <c r="J10" s="44">
        <f t="shared" si="1"/>
        <v>1475.4367213114754</v>
      </c>
      <c r="K10" s="27">
        <f>+'11-03-2025'!L10</f>
        <v>1550</v>
      </c>
      <c r="L10" s="28">
        <v>1478</v>
      </c>
      <c r="M10" s="42">
        <f t="shared" si="2"/>
        <v>75.116721311475402</v>
      </c>
      <c r="N10" s="42">
        <f>+C45</f>
        <v>15.25</v>
      </c>
      <c r="O10" s="45">
        <f t="shared" si="3"/>
        <v>1145.53</v>
      </c>
      <c r="P10" s="30">
        <f t="shared" si="4"/>
        <v>2.5632786885246333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6527.8978017837844</v>
      </c>
      <c r="C11" s="21">
        <f t="shared" si="5"/>
        <v>0</v>
      </c>
      <c r="D11" s="21">
        <f t="shared" si="5"/>
        <v>0</v>
      </c>
      <c r="E11" s="21">
        <f t="shared" si="5"/>
        <v>6527.8978017837844</v>
      </c>
      <c r="F11" s="21">
        <f t="shared" si="5"/>
        <v>581.35193441712704</v>
      </c>
      <c r="G11" s="21">
        <f t="shared" si="5"/>
        <v>0</v>
      </c>
      <c r="H11" s="21">
        <f t="shared" si="5"/>
        <v>0</v>
      </c>
      <c r="I11" s="21">
        <f t="shared" si="5"/>
        <v>581.35193441712704</v>
      </c>
      <c r="J11" s="21">
        <f t="shared" si="5"/>
        <v>5946.5458673666571</v>
      </c>
      <c r="K11" s="27">
        <f t="shared" si="5"/>
        <v>6513.6675099599825</v>
      </c>
      <c r="L11" s="21">
        <f t="shared" si="5"/>
        <v>5931.2656408011044</v>
      </c>
      <c r="M11" s="21">
        <f t="shared" si="5"/>
        <v>581.35193441712704</v>
      </c>
      <c r="N11" s="21"/>
      <c r="O11" s="21">
        <f>SUM(O7:O10)</f>
        <v>6685.5099999999993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581.35193441712704</v>
      </c>
      <c r="O14" s="65">
        <f>+O11</f>
        <v>6685.5099999999993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163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1148.99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395.1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1.9199999999984811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 t="s">
        <v>162</v>
      </c>
      <c r="M18" s="289"/>
      <c r="N18" s="290"/>
      <c r="O18" s="69">
        <f>5951-'11-03-2025'!O18</f>
        <v>2913.5</v>
      </c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219.5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269.5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4321.0004099999996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8.2090966519267567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9.6344086021506428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+'10-03-2025'!I34</f>
        <v>-465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-2.5632786885246333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>
        <f>200+500</f>
        <v>700</v>
      </c>
      <c r="J33" s="114" t="s">
        <v>106</v>
      </c>
      <c r="K33" s="115">
        <f>+N2</f>
        <v>45728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185</v>
      </c>
      <c r="J34" s="118" t="s">
        <v>58</v>
      </c>
      <c r="K34" s="125">
        <v>0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f>1477-700</f>
        <v>777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1681.7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371.99</v>
      </c>
      <c r="C36" s="136">
        <v>395.1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>
        <v>270.80000000000064</v>
      </c>
      <c r="L36" s="281" t="s">
        <v>114</v>
      </c>
      <c r="M36" s="281"/>
      <c r="N36" s="140">
        <f>+K33</f>
        <v>45728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0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1148.99</v>
      </c>
      <c r="C38" s="153">
        <f>SUM(C35:C37)</f>
        <v>395.1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1952.5000000000007</v>
      </c>
      <c r="L38" s="161" t="s">
        <v>29</v>
      </c>
      <c r="M38" s="162" t="s">
        <v>118</v>
      </c>
      <c r="N38" s="163">
        <f>+K35</f>
        <v>1681.7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1544.0900000000001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1681.7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60.210360075805433</v>
      </c>
      <c r="C42" s="184">
        <v>15.83</v>
      </c>
      <c r="D42" s="185">
        <v>953.13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168.62298387096774</v>
      </c>
      <c r="C43" s="184">
        <v>14.88</v>
      </c>
      <c r="D43" s="185">
        <v>2509.11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75.116721311475402</v>
      </c>
      <c r="C45" s="184">
        <v>15.25</v>
      </c>
      <c r="D45" s="185">
        <v>1145.53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277.40186915887847</v>
      </c>
      <c r="C46" s="184">
        <v>7.49</v>
      </c>
      <c r="D46" s="185">
        <v>2077.7399999999998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581.35193441712704</v>
      </c>
      <c r="C47" s="216"/>
      <c r="D47" s="217">
        <f>SUM(D42:D46)</f>
        <v>6685.51</v>
      </c>
      <c r="E47" s="186"/>
      <c r="F47" s="183"/>
      <c r="G47" s="263">
        <f>(C36+K35+K37)-D46</f>
        <v>-0.93999999999959982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2644-B675-4981-B80C-078960A850D1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45729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72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+'12-03-2025'!J7</f>
        <v>2422.2656408011039</v>
      </c>
      <c r="C7" s="22">
        <f>K26+K27</f>
        <v>0</v>
      </c>
      <c r="D7" s="23"/>
      <c r="E7" s="24">
        <f>+B7+C7+D7</f>
        <v>2422.2656408011039</v>
      </c>
      <c r="F7" s="25">
        <f>B46-G7</f>
        <v>357.51001335113483</v>
      </c>
      <c r="G7" s="22"/>
      <c r="H7" s="26"/>
      <c r="I7" s="21">
        <f t="shared" ref="I7:I10" si="0">+F7+G7+H7</f>
        <v>357.51001335113483</v>
      </c>
      <c r="J7" s="21">
        <f t="shared" ref="J7:J10" si="1">+E7-I7</f>
        <v>2064.7556274499693</v>
      </c>
      <c r="K7" s="27">
        <f>+'12-03-2025'!L7</f>
        <v>2422.2656408011039</v>
      </c>
      <c r="L7" s="28">
        <v>2064.7556274499693</v>
      </c>
      <c r="M7" s="24">
        <f t="shared" ref="M7:M10" si="2">+F7</f>
        <v>357.51001335113483</v>
      </c>
      <c r="N7" s="24">
        <f>+C46</f>
        <v>7.49</v>
      </c>
      <c r="O7" s="29">
        <f t="shared" ref="O7:O10" si="3">+M7*N7</f>
        <v>2677.75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+'12-03-2025'!J8</f>
        <v>1364.2090966519268</v>
      </c>
      <c r="C8" s="22">
        <f>K28</f>
        <v>0</v>
      </c>
      <c r="D8" s="33"/>
      <c r="E8" s="24">
        <f>+B8+C8+D8</f>
        <v>1364.2090966519268</v>
      </c>
      <c r="F8" s="25">
        <f>+B42-G8</f>
        <v>137.50726468730258</v>
      </c>
      <c r="G8" s="22"/>
      <c r="H8" s="26"/>
      <c r="I8" s="21">
        <f t="shared" si="0"/>
        <v>137.50726468730258</v>
      </c>
      <c r="J8" s="21">
        <f t="shared" si="1"/>
        <v>1226.7018319646243</v>
      </c>
      <c r="K8" s="27">
        <f>+'12-03-2025'!L8</f>
        <v>1356</v>
      </c>
      <c r="L8" s="28">
        <v>1220</v>
      </c>
      <c r="M8" s="24">
        <f t="shared" si="2"/>
        <v>137.50726468730258</v>
      </c>
      <c r="N8" s="24">
        <f>+C42</f>
        <v>15.83</v>
      </c>
      <c r="O8" s="29">
        <f t="shared" si="3"/>
        <v>2176.7399999999998</v>
      </c>
      <c r="P8" s="30">
        <f t="shared" si="4"/>
        <v>-6.7018319646242617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+'12-03-2025'!J9</f>
        <v>684.63440860215064</v>
      </c>
      <c r="C9" s="22">
        <f>K29</f>
        <v>0</v>
      </c>
      <c r="D9" s="33"/>
      <c r="E9" s="24">
        <f>+B9+C9+D9</f>
        <v>684.63440860215064</v>
      </c>
      <c r="F9" s="25">
        <f>+B43-G9</f>
        <v>151.4543010752688</v>
      </c>
      <c r="G9" s="22"/>
      <c r="H9" s="26"/>
      <c r="I9" s="21">
        <f t="shared" si="0"/>
        <v>151.4543010752688</v>
      </c>
      <c r="J9" s="21">
        <f t="shared" si="1"/>
        <v>533.18010752688178</v>
      </c>
      <c r="K9" s="27">
        <f>+'12-03-2025'!L9</f>
        <v>675</v>
      </c>
      <c r="L9" s="28">
        <v>525</v>
      </c>
      <c r="M9" s="24">
        <f t="shared" si="2"/>
        <v>151.4543010752688</v>
      </c>
      <c r="N9" s="24">
        <f>+C43</f>
        <v>14.88</v>
      </c>
      <c r="O9" s="29">
        <f t="shared" si="3"/>
        <v>2253.64</v>
      </c>
      <c r="P9" s="30">
        <f t="shared" si="4"/>
        <v>-8.180107526881784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+'12-03-2025'!J10</f>
        <v>1475.4367213114754</v>
      </c>
      <c r="C10" s="40">
        <f>K31</f>
        <v>0</v>
      </c>
      <c r="D10" s="41"/>
      <c r="E10" s="24">
        <f>+B10+C10+D10</f>
        <v>1475.4367213114754</v>
      </c>
      <c r="F10" s="43">
        <f>+B45-G10</f>
        <v>60.070819672131151</v>
      </c>
      <c r="G10" s="40"/>
      <c r="H10" s="26"/>
      <c r="I10" s="44">
        <f t="shared" si="0"/>
        <v>60.070819672131151</v>
      </c>
      <c r="J10" s="44">
        <f t="shared" si="1"/>
        <v>1415.3659016393442</v>
      </c>
      <c r="K10" s="27">
        <f>+'12-03-2025'!L10</f>
        <v>1478</v>
      </c>
      <c r="L10" s="28">
        <v>1417</v>
      </c>
      <c r="M10" s="42">
        <f t="shared" si="2"/>
        <v>60.070819672131151</v>
      </c>
      <c r="N10" s="42">
        <f>+C45</f>
        <v>15.25</v>
      </c>
      <c r="O10" s="45">
        <f t="shared" si="3"/>
        <v>916.08</v>
      </c>
      <c r="P10" s="30">
        <f t="shared" si="4"/>
        <v>1.6340983606557984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5946.5458673666571</v>
      </c>
      <c r="C11" s="21">
        <f t="shared" si="5"/>
        <v>0</v>
      </c>
      <c r="D11" s="21">
        <f t="shared" si="5"/>
        <v>0</v>
      </c>
      <c r="E11" s="21">
        <f t="shared" si="5"/>
        <v>5946.5458673666571</v>
      </c>
      <c r="F11" s="21">
        <f t="shared" si="5"/>
        <v>706.54239878583735</v>
      </c>
      <c r="G11" s="21">
        <f t="shared" si="5"/>
        <v>0</v>
      </c>
      <c r="H11" s="21">
        <f t="shared" si="5"/>
        <v>0</v>
      </c>
      <c r="I11" s="21">
        <f t="shared" si="5"/>
        <v>706.54239878583735</v>
      </c>
      <c r="J11" s="21">
        <f t="shared" si="5"/>
        <v>5240.0034685808196</v>
      </c>
      <c r="K11" s="27">
        <f t="shared" si="5"/>
        <v>5931.2656408011044</v>
      </c>
      <c r="L11" s="21">
        <f t="shared" si="5"/>
        <v>5226.7556274499693</v>
      </c>
      <c r="M11" s="21">
        <f t="shared" si="5"/>
        <v>706.54239878583735</v>
      </c>
      <c r="N11" s="21"/>
      <c r="O11" s="21">
        <f>SUM(O7:O10)</f>
        <v>8024.2099999999991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706.54239878583735</v>
      </c>
      <c r="O14" s="65">
        <f>+O11</f>
        <v>8024.2099999999991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164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1116.17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590.97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0.25980799999979354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>
        <v>369.51</v>
      </c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 t="s">
        <v>165</v>
      </c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6.7018319646242617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8.180107526881784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+'12-03-2025'!I34</f>
        <v>185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-1.6340983606557984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45729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185</v>
      </c>
      <c r="J34" s="118" t="s">
        <v>58</v>
      </c>
      <c r="K34" s="125">
        <v>3856.6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797.49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2086.6999999999998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318.68</v>
      </c>
      <c r="C36" s="136">
        <v>590.97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45729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3856.6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1116.17</v>
      </c>
      <c r="C38" s="153">
        <f>SUM(C35:C37)</f>
        <v>590.97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5943.2999999999993</v>
      </c>
      <c r="L38" s="161" t="s">
        <v>29</v>
      </c>
      <c r="M38" s="162" t="s">
        <v>118</v>
      </c>
      <c r="N38" s="163">
        <f>+K35</f>
        <v>2086.6999999999998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1707.14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5943.2999999999993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137.50726468730258</v>
      </c>
      <c r="C42" s="184">
        <v>15.83</v>
      </c>
      <c r="D42" s="185">
        <v>2176.7399999999998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151.4543010752688</v>
      </c>
      <c r="C43" s="184">
        <v>14.88</v>
      </c>
      <c r="D43" s="185">
        <v>2253.64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60.070819672131151</v>
      </c>
      <c r="C45" s="184">
        <v>15.25</v>
      </c>
      <c r="D45" s="185">
        <v>916.08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357.51001335113483</v>
      </c>
      <c r="C46" s="184">
        <v>7.49</v>
      </c>
      <c r="D46" s="185">
        <v>2677.75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706.54239878583735</v>
      </c>
      <c r="C47" s="216"/>
      <c r="D47" s="217">
        <f>SUM(D42:D46)</f>
        <v>8024.2099999999991</v>
      </c>
      <c r="E47" s="186"/>
      <c r="F47" s="183"/>
      <c r="G47" s="263">
        <f>(C36+K35+K37)-D46</f>
        <v>-7.999999999992724E-2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7E-60E3-4998-AD49-78090E98C859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45730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73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+'13-03-2025'!J7</f>
        <v>2064.7556274499693</v>
      </c>
      <c r="C7" s="22">
        <f>K26+K27</f>
        <v>0</v>
      </c>
      <c r="D7" s="23"/>
      <c r="E7" s="24">
        <f>+B7+C7+D7</f>
        <v>2064.7556274499693</v>
      </c>
      <c r="F7" s="25">
        <f>B46-G7</f>
        <v>294.17623497997329</v>
      </c>
      <c r="G7" s="22"/>
      <c r="H7" s="26"/>
      <c r="I7" s="21">
        <f t="shared" ref="I7:I10" si="0">+F7+G7+H7</f>
        <v>294.17623497997329</v>
      </c>
      <c r="J7" s="21">
        <f t="shared" ref="J7:J10" si="1">+E7-I7</f>
        <v>1770.579392469996</v>
      </c>
      <c r="K7" s="27">
        <f>+'13-03-2025'!L7</f>
        <v>2064.7556274499693</v>
      </c>
      <c r="L7" s="28">
        <v>1770.579392469996</v>
      </c>
      <c r="M7" s="24">
        <f t="shared" ref="M7:M10" si="2">+F7</f>
        <v>294.17623497997329</v>
      </c>
      <c r="N7" s="24">
        <f>+C46</f>
        <v>7.49</v>
      </c>
      <c r="O7" s="29">
        <f t="shared" ref="O7:O10" si="3">+M7*N7</f>
        <v>2203.38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+'13-03-2025'!J8</f>
        <v>1226.7018319646243</v>
      </c>
      <c r="C8" s="22">
        <f>K28</f>
        <v>0</v>
      </c>
      <c r="D8" s="33"/>
      <c r="E8" s="24">
        <f>+B8+C8+D8</f>
        <v>1226.7018319646243</v>
      </c>
      <c r="F8" s="25">
        <f>+B42-G8</f>
        <v>82.711307643714463</v>
      </c>
      <c r="G8" s="22"/>
      <c r="H8" s="26"/>
      <c r="I8" s="21">
        <f t="shared" si="0"/>
        <v>82.711307643714463</v>
      </c>
      <c r="J8" s="21">
        <f t="shared" si="1"/>
        <v>1143.9905243209098</v>
      </c>
      <c r="K8" s="27">
        <f>+'13-03-2025'!L8</f>
        <v>1220</v>
      </c>
      <c r="L8" s="28">
        <v>1135</v>
      </c>
      <c r="M8" s="24">
        <f t="shared" si="2"/>
        <v>82.711307643714463</v>
      </c>
      <c r="N8" s="24">
        <f>+C42</f>
        <v>15.83</v>
      </c>
      <c r="O8" s="29">
        <f t="shared" si="3"/>
        <v>1309.32</v>
      </c>
      <c r="P8" s="30">
        <f t="shared" si="4"/>
        <v>-8.9905243209097989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+'13-03-2025'!J9</f>
        <v>533.18010752688178</v>
      </c>
      <c r="C9" s="22">
        <f>K29</f>
        <v>1050</v>
      </c>
      <c r="D9" s="33"/>
      <c r="E9" s="24">
        <f>+B9+C9+D9</f>
        <v>1583.1801075268818</v>
      </c>
      <c r="F9" s="25">
        <f>+B43-G9</f>
        <v>218.96303763440861</v>
      </c>
      <c r="G9" s="22"/>
      <c r="H9" s="26"/>
      <c r="I9" s="21">
        <f t="shared" si="0"/>
        <v>218.96303763440861</v>
      </c>
      <c r="J9" s="21">
        <f t="shared" si="1"/>
        <v>1364.2170698924731</v>
      </c>
      <c r="K9" s="27">
        <f>+'13-03-2025'!L9</f>
        <v>525</v>
      </c>
      <c r="L9" s="28">
        <v>1355</v>
      </c>
      <c r="M9" s="24">
        <f t="shared" si="2"/>
        <v>218.96303763440861</v>
      </c>
      <c r="N9" s="24">
        <f>+C43</f>
        <v>14.88</v>
      </c>
      <c r="O9" s="29">
        <f t="shared" si="3"/>
        <v>3258.17</v>
      </c>
      <c r="P9" s="30">
        <f t="shared" si="4"/>
        <v>-9.2170698924730914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+'13-03-2025'!J10</f>
        <v>1415.3659016393442</v>
      </c>
      <c r="C10" s="40">
        <f>K31</f>
        <v>0</v>
      </c>
      <c r="D10" s="41"/>
      <c r="E10" s="24">
        <f>+B10+C10+D10</f>
        <v>1415.3659016393442</v>
      </c>
      <c r="F10" s="43">
        <f>+B45-G10</f>
        <v>101.27016393442622</v>
      </c>
      <c r="G10" s="40"/>
      <c r="H10" s="26"/>
      <c r="I10" s="44">
        <f t="shared" si="0"/>
        <v>101.27016393442622</v>
      </c>
      <c r="J10" s="44">
        <f t="shared" si="1"/>
        <v>1314.0957377049181</v>
      </c>
      <c r="K10" s="27">
        <f>+'13-03-2025'!L10</f>
        <v>1417</v>
      </c>
      <c r="L10" s="28">
        <v>1315</v>
      </c>
      <c r="M10" s="42">
        <f t="shared" si="2"/>
        <v>101.27016393442622</v>
      </c>
      <c r="N10" s="42">
        <f>+C45</f>
        <v>15.25</v>
      </c>
      <c r="O10" s="45">
        <f t="shared" si="3"/>
        <v>1544.37</v>
      </c>
      <c r="P10" s="30">
        <f t="shared" si="4"/>
        <v>0.90426229508193501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5240.0034685808196</v>
      </c>
      <c r="C11" s="21">
        <f t="shared" si="5"/>
        <v>1050</v>
      </c>
      <c r="D11" s="21">
        <f t="shared" si="5"/>
        <v>0</v>
      </c>
      <c r="E11" s="21">
        <f t="shared" si="5"/>
        <v>6290.0034685808196</v>
      </c>
      <c r="F11" s="21">
        <f t="shared" si="5"/>
        <v>697.12074419252258</v>
      </c>
      <c r="G11" s="21">
        <f t="shared" si="5"/>
        <v>0</v>
      </c>
      <c r="H11" s="21">
        <f t="shared" si="5"/>
        <v>0</v>
      </c>
      <c r="I11" s="21">
        <f t="shared" si="5"/>
        <v>697.12074419252258</v>
      </c>
      <c r="J11" s="21">
        <f t="shared" si="5"/>
        <v>5592.882724388297</v>
      </c>
      <c r="K11" s="27">
        <f t="shared" si="5"/>
        <v>5226.7556274499693</v>
      </c>
      <c r="L11" s="21">
        <f t="shared" si="5"/>
        <v>5575.5793924699956</v>
      </c>
      <c r="M11" s="21">
        <f t="shared" si="5"/>
        <v>697.12074419252258</v>
      </c>
      <c r="N11" s="21"/>
      <c r="O11" s="21">
        <f>SUM(O7:O10)</f>
        <v>8315.24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697.12074419252258</v>
      </c>
      <c r="O14" s="65">
        <f>+O11</f>
        <v>8315.24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166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1127.3400000000001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599.63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0.36999999999989086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211.85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>
        <v>1075.6500000000001</v>
      </c>
      <c r="L22" s="288" t="s">
        <v>76</v>
      </c>
      <c r="M22" s="289"/>
      <c r="N22" s="290"/>
      <c r="O22" s="77">
        <f>+I37+I20+I26+I31+I32</f>
        <v>311.85000000000002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4313.35041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 t="s">
        <v>169</v>
      </c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 t="s">
        <v>170</v>
      </c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8.9905243209097989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>
        <v>1050</v>
      </c>
      <c r="L29" s="94" t="s">
        <v>167</v>
      </c>
      <c r="M29" s="94" t="s">
        <v>168</v>
      </c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9.2170698924730914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+'12-03-2025'!I34</f>
        <v>185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100</v>
      </c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-0.90426229508193501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45730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85</v>
      </c>
      <c r="J34" s="118" t="s">
        <v>58</v>
      </c>
      <c r="K34" s="125">
        <v>3592.9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886.84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1603.5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240.5</v>
      </c>
      <c r="C36" s="136">
        <v>599.63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45730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3592.9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1127.3400000000001</v>
      </c>
      <c r="C38" s="153">
        <f>SUM(C35:C37)</f>
        <v>599.63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5196.3999999999996</v>
      </c>
      <c r="L38" s="161" t="s">
        <v>29</v>
      </c>
      <c r="M38" s="162" t="s">
        <v>118</v>
      </c>
      <c r="N38" s="163">
        <f>+K35</f>
        <v>1603.5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1726.9700000000003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5196.3999999999996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82.711307643714463</v>
      </c>
      <c r="C42" s="184">
        <v>15.83</v>
      </c>
      <c r="D42" s="185">
        <v>1309.32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218.96303763440861</v>
      </c>
      <c r="C43" s="184">
        <v>14.88</v>
      </c>
      <c r="D43" s="185">
        <v>3258.17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101.27016393442622</v>
      </c>
      <c r="C45" s="184">
        <v>15.25</v>
      </c>
      <c r="D45" s="185">
        <v>1544.37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294.17623497997329</v>
      </c>
      <c r="C46" s="184">
        <v>7.49</v>
      </c>
      <c r="D46" s="185">
        <v>2203.38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697.12074419252258</v>
      </c>
      <c r="C47" s="216"/>
      <c r="D47" s="217">
        <f>SUM(D42:D46)</f>
        <v>8315.24</v>
      </c>
      <c r="E47" s="186"/>
      <c r="F47" s="183"/>
      <c r="G47" s="263">
        <f>(C36+K35+K37)-D46</f>
        <v>-0.25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8C5-BEBF-4D96-93E2-4A0E9D295F53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45731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74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+'14-03-2025'!J7</f>
        <v>1770.579392469996</v>
      </c>
      <c r="C7" s="22">
        <f>K26+K27</f>
        <v>0</v>
      </c>
      <c r="D7" s="23"/>
      <c r="E7" s="24">
        <f>+B7+C7+D7</f>
        <v>1770.579392469996</v>
      </c>
      <c r="F7" s="25">
        <f>B46-G7</f>
        <v>347.25367156208273</v>
      </c>
      <c r="G7" s="22"/>
      <c r="H7" s="26"/>
      <c r="I7" s="21">
        <f t="shared" ref="I7:I10" si="0">+F7+G7+H7</f>
        <v>347.25367156208273</v>
      </c>
      <c r="J7" s="21">
        <f t="shared" ref="J7:J10" si="1">+E7-I7</f>
        <v>1423.3257209079134</v>
      </c>
      <c r="K7" s="27">
        <f>+'14-03-2025'!L7</f>
        <v>1770.579392469996</v>
      </c>
      <c r="L7" s="28">
        <v>1423.3257209079134</v>
      </c>
      <c r="M7" s="24">
        <f t="shared" ref="M7:M10" si="2">+F7</f>
        <v>347.25367156208273</v>
      </c>
      <c r="N7" s="24">
        <f>+C46</f>
        <v>7.49</v>
      </c>
      <c r="O7" s="29">
        <f t="shared" ref="O7:O10" si="3">+M7*N7</f>
        <v>2600.9299999999998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+'14-03-2025'!J8</f>
        <v>1143.9905243209098</v>
      </c>
      <c r="C8" s="22">
        <f>K28</f>
        <v>0</v>
      </c>
      <c r="D8" s="33"/>
      <c r="E8" s="24">
        <f>+B8+C8+D8</f>
        <v>1143.9905243209098</v>
      </c>
      <c r="F8" s="25">
        <f>+B42-G8</f>
        <v>90.827542640555905</v>
      </c>
      <c r="G8" s="22"/>
      <c r="H8" s="26"/>
      <c r="I8" s="21">
        <f t="shared" si="0"/>
        <v>90.827542640555905</v>
      </c>
      <c r="J8" s="21">
        <f t="shared" si="1"/>
        <v>1053.1629816803538</v>
      </c>
      <c r="K8" s="27">
        <f>+'14-03-2025'!L8</f>
        <v>1135</v>
      </c>
      <c r="L8" s="28">
        <v>1045</v>
      </c>
      <c r="M8" s="24">
        <f t="shared" si="2"/>
        <v>90.827542640555905</v>
      </c>
      <c r="N8" s="24">
        <f>+C42</f>
        <v>15.83</v>
      </c>
      <c r="O8" s="29">
        <f t="shared" si="3"/>
        <v>1437.8</v>
      </c>
      <c r="P8" s="30">
        <f t="shared" si="4"/>
        <v>-8.1629816803538233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+'14-03-2025'!J9</f>
        <v>1364.2170698924731</v>
      </c>
      <c r="C9" s="22">
        <f>K29</f>
        <v>0</v>
      </c>
      <c r="D9" s="33"/>
      <c r="E9" s="24">
        <f>+B9+C9+D9</f>
        <v>1364.2170698924731</v>
      </c>
      <c r="F9" s="25">
        <f>+B43-G9</f>
        <v>142.1081989247312</v>
      </c>
      <c r="G9" s="22"/>
      <c r="H9" s="26"/>
      <c r="I9" s="21">
        <f t="shared" si="0"/>
        <v>142.1081989247312</v>
      </c>
      <c r="J9" s="21">
        <f t="shared" si="1"/>
        <v>1222.108870967742</v>
      </c>
      <c r="K9" s="27">
        <f>+'14-03-2025'!L9</f>
        <v>1355</v>
      </c>
      <c r="L9" s="28">
        <v>1215</v>
      </c>
      <c r="M9" s="24">
        <f t="shared" si="2"/>
        <v>142.1081989247312</v>
      </c>
      <c r="N9" s="24">
        <f>+C43</f>
        <v>14.88</v>
      </c>
      <c r="O9" s="29">
        <f t="shared" si="3"/>
        <v>2114.5700000000002</v>
      </c>
      <c r="P9" s="30">
        <f t="shared" si="4"/>
        <v>-7.1088709677419502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+'14-03-2025'!J10</f>
        <v>1314.0957377049181</v>
      </c>
      <c r="C10" s="40">
        <f>K31</f>
        <v>0</v>
      </c>
      <c r="D10" s="41"/>
      <c r="E10" s="24">
        <f>+B10+C10+D10</f>
        <v>1314.0957377049181</v>
      </c>
      <c r="F10" s="43">
        <f>+B45-G10</f>
        <v>52.329836065573765</v>
      </c>
      <c r="G10" s="40"/>
      <c r="H10" s="26"/>
      <c r="I10" s="44">
        <f t="shared" si="0"/>
        <v>52.329836065573765</v>
      </c>
      <c r="J10" s="44">
        <f t="shared" si="1"/>
        <v>1261.7659016393443</v>
      </c>
      <c r="K10" s="27">
        <f>+'14-03-2025'!L10</f>
        <v>1315</v>
      </c>
      <c r="L10" s="28">
        <v>1262</v>
      </c>
      <c r="M10" s="42">
        <f t="shared" si="2"/>
        <v>52.329836065573765</v>
      </c>
      <c r="N10" s="42">
        <f>+C45</f>
        <v>15.25</v>
      </c>
      <c r="O10" s="45">
        <f t="shared" si="3"/>
        <v>798.03</v>
      </c>
      <c r="P10" s="30">
        <f t="shared" si="4"/>
        <v>0.23409836065570744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5592.882724388297</v>
      </c>
      <c r="C11" s="21">
        <f t="shared" si="5"/>
        <v>0</v>
      </c>
      <c r="D11" s="21">
        <f t="shared" si="5"/>
        <v>0</v>
      </c>
      <c r="E11" s="21">
        <f t="shared" si="5"/>
        <v>5592.882724388297</v>
      </c>
      <c r="F11" s="21">
        <f t="shared" si="5"/>
        <v>632.51924919294356</v>
      </c>
      <c r="G11" s="21">
        <f t="shared" si="5"/>
        <v>0</v>
      </c>
      <c r="H11" s="21">
        <f t="shared" si="5"/>
        <v>0</v>
      </c>
      <c r="I11" s="21">
        <f t="shared" si="5"/>
        <v>632.51924919294356</v>
      </c>
      <c r="J11" s="21">
        <f t="shared" si="5"/>
        <v>4960.3634751953532</v>
      </c>
      <c r="K11" s="27">
        <f t="shared" si="5"/>
        <v>5575.5793924699956</v>
      </c>
      <c r="L11" s="21">
        <f t="shared" si="5"/>
        <v>4945.3257209079129</v>
      </c>
      <c r="M11" s="21">
        <f t="shared" si="5"/>
        <v>632.51924919294356</v>
      </c>
      <c r="N11" s="21"/>
      <c r="O11" s="21">
        <f>SUM(O7:O10)</f>
        <v>6951.329999999999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632.51924919294356</v>
      </c>
      <c r="O14" s="65">
        <f>+O11</f>
        <v>6951.329999999999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171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1186.56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902.86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0.29999999999836291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190.01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190.01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4291.5104099999999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8.1629816803538233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7.1088709677419502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+'12-03-2025'!I34</f>
        <v>185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-0.23409836065570744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45731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185</v>
      </c>
      <c r="J34" s="118" t="s">
        <v>58</v>
      </c>
      <c r="K34" s="125">
        <v>2969.7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594.76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1697.9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591.79999999999995</v>
      </c>
      <c r="C36" s="136">
        <v>902.86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45731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2969.7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1186.56</v>
      </c>
      <c r="C38" s="153">
        <f>SUM(C35:C37)</f>
        <v>902.86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4667.6000000000004</v>
      </c>
      <c r="L38" s="161" t="s">
        <v>29</v>
      </c>
      <c r="M38" s="162" t="s">
        <v>118</v>
      </c>
      <c r="N38" s="163">
        <f>+K35</f>
        <v>1697.9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2089.42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4667.6000000000004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90.827542640555905</v>
      </c>
      <c r="C42" s="184">
        <v>15.83</v>
      </c>
      <c r="D42" s="185">
        <v>1437.8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142.1081989247312</v>
      </c>
      <c r="C43" s="184">
        <v>14.88</v>
      </c>
      <c r="D43" s="185">
        <v>2114.5700000000002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52.329836065573765</v>
      </c>
      <c r="C45" s="184">
        <v>15.25</v>
      </c>
      <c r="D45" s="185">
        <v>798.03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347.25367156208273</v>
      </c>
      <c r="C46" s="184">
        <v>7.49</v>
      </c>
      <c r="D46" s="185">
        <v>2600.9299999999998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632.51924919294356</v>
      </c>
      <c r="C47" s="216"/>
      <c r="D47" s="217">
        <f>SUM(D42:D46)</f>
        <v>6951.33</v>
      </c>
      <c r="E47" s="186"/>
      <c r="F47" s="183"/>
      <c r="G47" s="263">
        <f>(C36+K35+K37)-D46</f>
        <v>-0.16999999999961801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2AEE-419E-44CA-9F55-D08BA3916757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45732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75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+'15-03-2025'!J7</f>
        <v>1423.3257209079134</v>
      </c>
      <c r="C7" s="22">
        <f>K26+K27</f>
        <v>941.2930393856825</v>
      </c>
      <c r="D7" s="23"/>
      <c r="E7" s="24">
        <f>+B7+C7+D7</f>
        <v>2364.6187602935961</v>
      </c>
      <c r="F7" s="25">
        <f>B46-G7</f>
        <v>216.64218958611482</v>
      </c>
      <c r="G7" s="22"/>
      <c r="H7" s="26"/>
      <c r="I7" s="21">
        <f t="shared" ref="I7:I10" si="0">+F7+G7+H7</f>
        <v>216.64218958611482</v>
      </c>
      <c r="J7" s="21">
        <f t="shared" ref="J7:J10" si="1">+E7-I7</f>
        <v>2147.9765707074812</v>
      </c>
      <c r="K7" s="27">
        <f>+'15-03-2025'!L7</f>
        <v>1423.3257209079134</v>
      </c>
      <c r="L7" s="28">
        <v>2147.9765707074812</v>
      </c>
      <c r="M7" s="24">
        <f t="shared" ref="M7:M10" si="2">+F7</f>
        <v>216.64218958611482</v>
      </c>
      <c r="N7" s="24">
        <f>+C46</f>
        <v>7.49</v>
      </c>
      <c r="O7" s="29">
        <f t="shared" ref="O7:O10" si="3">+M7*N7</f>
        <v>1622.65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+'15-03-2025'!J8</f>
        <v>1053.1629816803538</v>
      </c>
      <c r="C8" s="22">
        <f>K28</f>
        <v>0</v>
      </c>
      <c r="D8" s="33"/>
      <c r="E8" s="24">
        <f>+B8+C8+D8</f>
        <v>1053.1629816803538</v>
      </c>
      <c r="F8" s="25">
        <f>+B42-G8</f>
        <v>65.303221730890712</v>
      </c>
      <c r="G8" s="22"/>
      <c r="H8" s="26"/>
      <c r="I8" s="21">
        <f t="shared" si="0"/>
        <v>65.303221730890712</v>
      </c>
      <c r="J8" s="21">
        <f t="shared" si="1"/>
        <v>987.85975994946307</v>
      </c>
      <c r="K8" s="27">
        <f>+'15-03-2025'!L8</f>
        <v>1045</v>
      </c>
      <c r="L8" s="28">
        <v>980</v>
      </c>
      <c r="M8" s="24">
        <f t="shared" si="2"/>
        <v>65.303221730890712</v>
      </c>
      <c r="N8" s="24">
        <f>+C42</f>
        <v>15.83</v>
      </c>
      <c r="O8" s="29">
        <f t="shared" si="3"/>
        <v>1033.75</v>
      </c>
      <c r="P8" s="30">
        <f t="shared" si="4"/>
        <v>-7.8597599494630686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+'15-03-2025'!J9</f>
        <v>1222.108870967742</v>
      </c>
      <c r="C9" s="22">
        <f>K29</f>
        <v>0</v>
      </c>
      <c r="D9" s="33"/>
      <c r="E9" s="24">
        <f>+B9+C9+D9</f>
        <v>1222.108870967742</v>
      </c>
      <c r="F9" s="25">
        <f>+B43-G9</f>
        <v>92.790322580645153</v>
      </c>
      <c r="G9" s="22"/>
      <c r="H9" s="26"/>
      <c r="I9" s="21">
        <f t="shared" si="0"/>
        <v>92.790322580645153</v>
      </c>
      <c r="J9" s="21">
        <f t="shared" si="1"/>
        <v>1129.3185483870968</v>
      </c>
      <c r="K9" s="27">
        <f>+'15-03-2025'!L9</f>
        <v>1215</v>
      </c>
      <c r="L9" s="28">
        <v>1120</v>
      </c>
      <c r="M9" s="24">
        <f t="shared" si="2"/>
        <v>92.790322580645153</v>
      </c>
      <c r="N9" s="24">
        <f>+C43</f>
        <v>14.88</v>
      </c>
      <c r="O9" s="29">
        <f t="shared" si="3"/>
        <v>1380.72</v>
      </c>
      <c r="P9" s="30">
        <f t="shared" si="4"/>
        <v>-9.3185483870968255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+'15-03-2025'!J10</f>
        <v>1261.7659016393443</v>
      </c>
      <c r="C10" s="40">
        <f>K31</f>
        <v>0</v>
      </c>
      <c r="D10" s="41"/>
      <c r="E10" s="24">
        <f>+B10+C10+D10</f>
        <v>1261.7659016393443</v>
      </c>
      <c r="F10" s="43">
        <f>+B45-G10</f>
        <v>27.925901639344264</v>
      </c>
      <c r="G10" s="40"/>
      <c r="H10" s="26"/>
      <c r="I10" s="44">
        <f t="shared" si="0"/>
        <v>27.925901639344264</v>
      </c>
      <c r="J10" s="44">
        <f t="shared" si="1"/>
        <v>1233.8399999999999</v>
      </c>
      <c r="K10" s="27">
        <f>+'15-03-2025'!L10</f>
        <v>1262</v>
      </c>
      <c r="L10" s="28">
        <v>1235</v>
      </c>
      <c r="M10" s="42">
        <f t="shared" si="2"/>
        <v>27.925901639344264</v>
      </c>
      <c r="N10" s="42">
        <f>+C45</f>
        <v>15.25</v>
      </c>
      <c r="O10" s="45">
        <f t="shared" si="3"/>
        <v>425.87</v>
      </c>
      <c r="P10" s="30">
        <f t="shared" si="4"/>
        <v>1.1600000000000819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4960.3634751953532</v>
      </c>
      <c r="C11" s="21">
        <f t="shared" si="5"/>
        <v>941.2930393856825</v>
      </c>
      <c r="D11" s="21">
        <f t="shared" si="5"/>
        <v>0</v>
      </c>
      <c r="E11" s="21">
        <f t="shared" si="5"/>
        <v>5901.6565145810364</v>
      </c>
      <c r="F11" s="21">
        <f t="shared" si="5"/>
        <v>402.66163553699494</v>
      </c>
      <c r="G11" s="21">
        <f t="shared" si="5"/>
        <v>0</v>
      </c>
      <c r="H11" s="21">
        <f t="shared" si="5"/>
        <v>0</v>
      </c>
      <c r="I11" s="21">
        <f t="shared" si="5"/>
        <v>402.66163553699494</v>
      </c>
      <c r="J11" s="21">
        <f t="shared" si="5"/>
        <v>5498.9948790440412</v>
      </c>
      <c r="K11" s="27">
        <f t="shared" si="5"/>
        <v>4945.3257209079129</v>
      </c>
      <c r="L11" s="21">
        <f t="shared" si="5"/>
        <v>5482.9765707074812</v>
      </c>
      <c r="M11" s="21">
        <f t="shared" si="5"/>
        <v>402.66163553699494</v>
      </c>
      <c r="N11" s="21"/>
      <c r="O11" s="21">
        <f>SUM(O7:O10)</f>
        <v>4462.99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402.66163553699494</v>
      </c>
      <c r="O14" s="65">
        <f>+O11</f>
        <v>4462.99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174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631.17999999999995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451.14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0.21000000000003638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54.86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54.86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4156.3604099999993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941.2930393856825</v>
      </c>
      <c r="L26" s="93" t="s">
        <v>173</v>
      </c>
      <c r="M26" s="94" t="s">
        <v>158</v>
      </c>
      <c r="N26" s="95" t="s">
        <v>146</v>
      </c>
      <c r="O26" s="96" t="str">
        <f>+H42&amp;"   "&amp;"kg"</f>
        <v>1900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7.8597599494630686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9.3185483870968255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+'12-03-2025'!I34</f>
        <v>185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-1.1600000000000819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45732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185</v>
      </c>
      <c r="J34" s="118" t="s">
        <v>58</v>
      </c>
      <c r="K34" s="125">
        <v>2150.1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530.17999999999995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1171.5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101</v>
      </c>
      <c r="C36" s="136">
        <v>451.14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45732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2150.1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631.17999999999995</v>
      </c>
      <c r="C38" s="153">
        <f>SUM(C35:C37)</f>
        <v>451.14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3321.6</v>
      </c>
      <c r="L38" s="161" t="s">
        <v>29</v>
      </c>
      <c r="M38" s="162" t="s">
        <v>118</v>
      </c>
      <c r="N38" s="163">
        <f>+K35</f>
        <v>1171.5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1082.32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3321.6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65.303221730890712</v>
      </c>
      <c r="C42" s="184">
        <v>15.83</v>
      </c>
      <c r="D42" s="185">
        <v>1033.75</v>
      </c>
      <c r="E42" s="186"/>
      <c r="F42" s="183"/>
      <c r="G42" s="187" t="s">
        <v>126</v>
      </c>
      <c r="H42" s="188" t="s">
        <v>172</v>
      </c>
      <c r="I42" s="189">
        <v>2.0185</v>
      </c>
      <c r="J42" s="190">
        <f>+H42/I42</f>
        <v>941.2930393856825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92.790322580645153</v>
      </c>
      <c r="C43" s="184">
        <v>14.88</v>
      </c>
      <c r="D43" s="185">
        <v>1380.72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27.925901639344264</v>
      </c>
      <c r="C45" s="184">
        <v>15.25</v>
      </c>
      <c r="D45" s="185">
        <v>425.87</v>
      </c>
      <c r="E45" s="186"/>
      <c r="F45" s="183"/>
      <c r="G45" s="206" t="s">
        <v>132</v>
      </c>
      <c r="H45" s="207">
        <f>+J45/I45</f>
        <v>3.475958878016089</v>
      </c>
      <c r="I45" s="208">
        <f>+I43</f>
        <v>3.7854000000000001</v>
      </c>
      <c r="J45" s="209">
        <f>+K45/H42</f>
        <v>13.157894736842104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216.64218958611482</v>
      </c>
      <c r="C46" s="184">
        <v>7.49</v>
      </c>
      <c r="D46" s="185">
        <v>1622.65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402.66163553699494</v>
      </c>
      <c r="C47" s="216"/>
      <c r="D47" s="217">
        <f>SUM(D42:D46)</f>
        <v>4462.99</v>
      </c>
      <c r="E47" s="186"/>
      <c r="F47" s="183"/>
      <c r="G47" s="263">
        <f>(C36+K35+K37)-D46</f>
        <v>-1.0000000000218279E-2</v>
      </c>
      <c r="H47" s="220" t="s">
        <v>90</v>
      </c>
      <c r="I47" s="221" t="s">
        <v>137</v>
      </c>
      <c r="J47" s="222">
        <v>2.0185</v>
      </c>
      <c r="K47" s="223">
        <f>+J45-J43</f>
        <v>5.6678947368421042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0DA0-73D9-4C95-A7E8-3340BC205762}">
  <sheetPr>
    <pageSetUpPr fitToPage="1"/>
  </sheetPr>
  <dimension ref="A1:W141"/>
  <sheetViews>
    <sheetView zoomScale="90" zoomScaleNormal="90" workbookViewId="0">
      <selection activeCell="A12" sqref="A12:G12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45733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76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+'16-03-2025'!J7</f>
        <v>2147.9765707074812</v>
      </c>
      <c r="C7" s="22">
        <f>K26+K27</f>
        <v>0</v>
      </c>
      <c r="D7" s="23"/>
      <c r="E7" s="24">
        <f>+B7+C7+D7</f>
        <v>2147.9765707074812</v>
      </c>
      <c r="F7" s="25">
        <f>B46-G7</f>
        <v>261.63818424566091</v>
      </c>
      <c r="G7" s="22"/>
      <c r="H7" s="26"/>
      <c r="I7" s="21">
        <f t="shared" ref="I7:I10" si="0">+F7+G7+H7</f>
        <v>261.63818424566091</v>
      </c>
      <c r="J7" s="21">
        <f t="shared" ref="J7:J10" si="1">+E7-I7</f>
        <v>1886.3383864618204</v>
      </c>
      <c r="K7" s="27">
        <f>+'16-03-2025'!L7</f>
        <v>2147.9765707074812</v>
      </c>
      <c r="L7" s="28">
        <v>1886.3383864618204</v>
      </c>
      <c r="M7" s="24">
        <f t="shared" ref="M7:M10" si="2">+F7</f>
        <v>261.63818424566091</v>
      </c>
      <c r="N7" s="24">
        <f>+C46</f>
        <v>7.49</v>
      </c>
      <c r="O7" s="29">
        <f t="shared" ref="O7:O10" si="3">+M7*N7</f>
        <v>1959.6700000000003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+'16-03-2025'!J8</f>
        <v>987.85975994946307</v>
      </c>
      <c r="C8" s="22">
        <f>K28</f>
        <v>0</v>
      </c>
      <c r="D8" s="33"/>
      <c r="E8" s="24">
        <f>+B8+C8+D8</f>
        <v>987.85975994946307</v>
      </c>
      <c r="F8" s="25">
        <f>+B42-G8</f>
        <v>87.849652558433363</v>
      </c>
      <c r="G8" s="22"/>
      <c r="H8" s="26"/>
      <c r="I8" s="21">
        <f t="shared" si="0"/>
        <v>87.849652558433363</v>
      </c>
      <c r="J8" s="21">
        <f t="shared" si="1"/>
        <v>900.01010739102969</v>
      </c>
      <c r="K8" s="27">
        <f>+'16-03-2025'!L8</f>
        <v>980</v>
      </c>
      <c r="L8" s="28">
        <v>895</v>
      </c>
      <c r="M8" s="24">
        <f t="shared" si="2"/>
        <v>87.849652558433363</v>
      </c>
      <c r="N8" s="24">
        <f>+C42</f>
        <v>15.83</v>
      </c>
      <c r="O8" s="29">
        <f t="shared" si="3"/>
        <v>1390.66</v>
      </c>
      <c r="P8" s="30">
        <f t="shared" si="4"/>
        <v>-5.0101073910296918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+'16-03-2025'!J9</f>
        <v>1129.3185483870968</v>
      </c>
      <c r="C9" s="22">
        <f>K29</f>
        <v>0</v>
      </c>
      <c r="D9" s="33"/>
      <c r="E9" s="24">
        <f>+B9+C9+D9</f>
        <v>1129.3185483870968</v>
      </c>
      <c r="F9" s="25">
        <f>+B43-G9</f>
        <v>148.02083333333334</v>
      </c>
      <c r="G9" s="22"/>
      <c r="H9" s="26"/>
      <c r="I9" s="21">
        <f t="shared" si="0"/>
        <v>148.02083333333334</v>
      </c>
      <c r="J9" s="21">
        <f t="shared" si="1"/>
        <v>981.29771505376345</v>
      </c>
      <c r="K9" s="27">
        <f>+'16-03-2025'!L9</f>
        <v>1120</v>
      </c>
      <c r="L9" s="28">
        <v>975</v>
      </c>
      <c r="M9" s="24">
        <f t="shared" si="2"/>
        <v>148.02083333333334</v>
      </c>
      <c r="N9" s="24">
        <f>+C43</f>
        <v>14.88</v>
      </c>
      <c r="O9" s="29">
        <f t="shared" si="3"/>
        <v>2202.5500000000002</v>
      </c>
      <c r="P9" s="30">
        <f t="shared" si="4"/>
        <v>-6.2977150537634543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+'16-03-2025'!J10</f>
        <v>1233.8399999999999</v>
      </c>
      <c r="C10" s="40">
        <f>K31</f>
        <v>0</v>
      </c>
      <c r="D10" s="41"/>
      <c r="E10" s="24">
        <f>+B10+C10+D10</f>
        <v>1233.8399999999999</v>
      </c>
      <c r="F10" s="43">
        <f>+B45-G10</f>
        <v>119.89770491803279</v>
      </c>
      <c r="G10" s="40"/>
      <c r="H10" s="26"/>
      <c r="I10" s="44">
        <f t="shared" si="0"/>
        <v>119.89770491803279</v>
      </c>
      <c r="J10" s="44">
        <f t="shared" si="1"/>
        <v>1113.9422950819671</v>
      </c>
      <c r="K10" s="27">
        <f>+'16-03-2025'!L10</f>
        <v>1235</v>
      </c>
      <c r="L10" s="28">
        <v>1115</v>
      </c>
      <c r="M10" s="42">
        <f t="shared" si="2"/>
        <v>119.89770491803279</v>
      </c>
      <c r="N10" s="42">
        <f>+C45</f>
        <v>15.25</v>
      </c>
      <c r="O10" s="45">
        <f t="shared" si="3"/>
        <v>1828.44</v>
      </c>
      <c r="P10" s="30">
        <f t="shared" si="4"/>
        <v>1.0577049180328686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5498.9948790440412</v>
      </c>
      <c r="C11" s="21">
        <f t="shared" si="5"/>
        <v>0</v>
      </c>
      <c r="D11" s="21">
        <f t="shared" si="5"/>
        <v>0</v>
      </c>
      <c r="E11" s="21">
        <f t="shared" si="5"/>
        <v>5498.9948790440412</v>
      </c>
      <c r="F11" s="21">
        <f t="shared" si="5"/>
        <v>617.40637505546044</v>
      </c>
      <c r="G11" s="21">
        <f t="shared" si="5"/>
        <v>0</v>
      </c>
      <c r="H11" s="21">
        <f t="shared" si="5"/>
        <v>0</v>
      </c>
      <c r="I11" s="21">
        <f t="shared" si="5"/>
        <v>617.40637505546044</v>
      </c>
      <c r="J11" s="21">
        <f t="shared" si="5"/>
        <v>4881.5885039885807</v>
      </c>
      <c r="K11" s="27">
        <f t="shared" si="5"/>
        <v>5482.9765707074812</v>
      </c>
      <c r="L11" s="21">
        <f t="shared" si="5"/>
        <v>4871.3383864618208</v>
      </c>
      <c r="M11" s="21">
        <f t="shared" si="5"/>
        <v>617.40637505546044</v>
      </c>
      <c r="N11" s="21"/>
      <c r="O11" s="21">
        <f>SUM(O7:O10)</f>
        <v>7381.3200000000015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617.40637505546044</v>
      </c>
      <c r="O14" s="65">
        <f>+O11</f>
        <v>7381.3200000000015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1639.4699999999998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283.87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0.12120000000231812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363.09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563.08999999999992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 t="s">
        <v>175</v>
      </c>
      <c r="H23" s="79" t="s">
        <v>78</v>
      </c>
      <c r="I23" s="80">
        <f>+I19+I20-I22</f>
        <v>4464.5904099999998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5.0101073910296918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6.2977150537634543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+'12-03-2025'!I34</f>
        <v>185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200</v>
      </c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-1.0577049180328686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45733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-15</v>
      </c>
      <c r="J34" s="118" t="s">
        <v>58</v>
      </c>
      <c r="K34" s="125">
        <v>3211.2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1047.83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1675.7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591.64</v>
      </c>
      <c r="C36" s="136">
        <v>283.87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45733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3211.2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1639.4699999999998</v>
      </c>
      <c r="C38" s="153">
        <f>SUM(C35:C37)</f>
        <v>283.87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4886.8999999999996</v>
      </c>
      <c r="L38" s="161" t="s">
        <v>29</v>
      </c>
      <c r="M38" s="162" t="s">
        <v>118</v>
      </c>
      <c r="N38" s="163">
        <f>+K35</f>
        <v>1675.7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1923.3399999999997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4886.8999999999996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87.849652558433363</v>
      </c>
      <c r="C42" s="184">
        <v>15.83</v>
      </c>
      <c r="D42" s="185">
        <v>1390.66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148.02083333333334</v>
      </c>
      <c r="C43" s="184">
        <v>14.88</v>
      </c>
      <c r="D43" s="185">
        <v>2202.5500000000002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119.89770491803279</v>
      </c>
      <c r="C45" s="184">
        <v>15.25</v>
      </c>
      <c r="D45" s="185">
        <v>1828.44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261.63818424566091</v>
      </c>
      <c r="C46" s="184">
        <v>7.49</v>
      </c>
      <c r="D46" s="185">
        <v>1959.67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617.40637505546033</v>
      </c>
      <c r="C47" s="216"/>
      <c r="D47" s="217">
        <f>SUM(D42:D46)</f>
        <v>7381.32</v>
      </c>
      <c r="E47" s="186"/>
      <c r="F47" s="183"/>
      <c r="G47" s="263">
        <f>(C36+K35+K37)-D46</f>
        <v>-9.9999999999909051E-2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EB0B-09F6-4627-AFE3-8EAEA058CA4C}">
  <sheetPr>
    <pageSetUpPr fitToPage="1"/>
  </sheetPr>
  <dimension ref="A1:W141"/>
  <sheetViews>
    <sheetView topLeftCell="A4"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45734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77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+'17-03-2025'!J7</f>
        <v>1886.3383864618204</v>
      </c>
      <c r="C7" s="22">
        <f>K26+K27</f>
        <v>0</v>
      </c>
      <c r="D7" s="23"/>
      <c r="E7" s="24">
        <f>+B7+C7+D7</f>
        <v>1886.3383864618204</v>
      </c>
      <c r="F7" s="25">
        <f>B46-G7</f>
        <v>275.69826435246995</v>
      </c>
      <c r="G7" s="22"/>
      <c r="H7" s="26"/>
      <c r="I7" s="21">
        <f t="shared" ref="I7:I10" si="0">+F7+G7+H7</f>
        <v>275.69826435246995</v>
      </c>
      <c r="J7" s="21">
        <f t="shared" ref="J7:J10" si="1">+E7-I7</f>
        <v>1610.6401221093504</v>
      </c>
      <c r="K7" s="27">
        <f>+'17-03-2025'!L7</f>
        <v>1886.3383864618204</v>
      </c>
      <c r="L7" s="28">
        <v>1610.6401221093504</v>
      </c>
      <c r="M7" s="24">
        <f t="shared" ref="M7:M10" si="2">+F7</f>
        <v>275.69826435246995</v>
      </c>
      <c r="N7" s="24">
        <f>+C46</f>
        <v>7.49</v>
      </c>
      <c r="O7" s="29">
        <f t="shared" ref="O7:O10" si="3">+M7*N7</f>
        <v>2064.98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+'17-03-2025'!J8</f>
        <v>900.01010739102969</v>
      </c>
      <c r="C8" s="22">
        <f>K28</f>
        <v>0</v>
      </c>
      <c r="D8" s="33"/>
      <c r="E8" s="24">
        <f>+B8+C8+D8</f>
        <v>900.01010739102969</v>
      </c>
      <c r="F8" s="25">
        <f>+B42-G8</f>
        <v>104.80669614655716</v>
      </c>
      <c r="G8" s="22"/>
      <c r="H8" s="26"/>
      <c r="I8" s="21">
        <f t="shared" si="0"/>
        <v>104.80669614655716</v>
      </c>
      <c r="J8" s="21">
        <f t="shared" si="1"/>
        <v>795.20341124447259</v>
      </c>
      <c r="K8" s="27">
        <f>+'17-03-2025'!L8</f>
        <v>895</v>
      </c>
      <c r="L8" s="28">
        <v>790</v>
      </c>
      <c r="M8" s="24">
        <f t="shared" si="2"/>
        <v>104.80669614655716</v>
      </c>
      <c r="N8" s="24">
        <f>+C42</f>
        <v>15.83</v>
      </c>
      <c r="O8" s="29">
        <f t="shared" si="3"/>
        <v>1659.09</v>
      </c>
      <c r="P8" s="30">
        <f t="shared" si="4"/>
        <v>-5.2034112444725906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+'17-03-2025'!J9</f>
        <v>981.29771505376345</v>
      </c>
      <c r="C9" s="22">
        <f>K29</f>
        <v>0</v>
      </c>
      <c r="D9" s="33"/>
      <c r="E9" s="24">
        <f>+B9+C9+D9</f>
        <v>981.29771505376345</v>
      </c>
      <c r="F9" s="25">
        <f>+B43-G9</f>
        <v>159.18548387096772</v>
      </c>
      <c r="G9" s="22"/>
      <c r="H9" s="26"/>
      <c r="I9" s="21">
        <f t="shared" si="0"/>
        <v>159.18548387096772</v>
      </c>
      <c r="J9" s="21">
        <f t="shared" si="1"/>
        <v>822.11223118279577</v>
      </c>
      <c r="K9" s="27">
        <f>+'17-03-2025'!L9</f>
        <v>975</v>
      </c>
      <c r="L9" s="28">
        <v>810</v>
      </c>
      <c r="M9" s="24">
        <f t="shared" si="2"/>
        <v>159.18548387096772</v>
      </c>
      <c r="N9" s="24">
        <f>+C43</f>
        <v>14.88</v>
      </c>
      <c r="O9" s="29">
        <f t="shared" si="3"/>
        <v>2368.6799999999998</v>
      </c>
      <c r="P9" s="30">
        <f t="shared" si="4"/>
        <v>-12.112231182795767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+'17-03-2025'!J10</f>
        <v>1113.9422950819671</v>
      </c>
      <c r="C10" s="40">
        <f>K31</f>
        <v>0</v>
      </c>
      <c r="D10" s="41"/>
      <c r="E10" s="24">
        <f>+B10+C10+D10</f>
        <v>1113.9422950819671</v>
      </c>
      <c r="F10" s="43">
        <f>+B45-G10</f>
        <v>97.190819672131155</v>
      </c>
      <c r="G10" s="40"/>
      <c r="H10" s="26"/>
      <c r="I10" s="44">
        <f t="shared" si="0"/>
        <v>97.190819672131155</v>
      </c>
      <c r="J10" s="44">
        <f t="shared" si="1"/>
        <v>1016.751475409836</v>
      </c>
      <c r="K10" s="27">
        <f>+'17-03-2025'!L10</f>
        <v>1115</v>
      </c>
      <c r="L10" s="28">
        <v>1017</v>
      </c>
      <c r="M10" s="42">
        <f t="shared" si="2"/>
        <v>97.190819672131155</v>
      </c>
      <c r="N10" s="42">
        <f>+C45</f>
        <v>15.25</v>
      </c>
      <c r="O10" s="45">
        <f t="shared" si="3"/>
        <v>1482.16</v>
      </c>
      <c r="P10" s="30">
        <f t="shared" si="4"/>
        <v>0.24852459016403827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4881.5885039885807</v>
      </c>
      <c r="C11" s="21">
        <f t="shared" si="5"/>
        <v>0</v>
      </c>
      <c r="D11" s="21">
        <f t="shared" si="5"/>
        <v>0</v>
      </c>
      <c r="E11" s="21">
        <f t="shared" si="5"/>
        <v>4881.5885039885807</v>
      </c>
      <c r="F11" s="21">
        <f t="shared" si="5"/>
        <v>636.88126404212596</v>
      </c>
      <c r="G11" s="21">
        <f t="shared" si="5"/>
        <v>0</v>
      </c>
      <c r="H11" s="21">
        <f t="shared" si="5"/>
        <v>0</v>
      </c>
      <c r="I11" s="21">
        <f t="shared" si="5"/>
        <v>636.88126404212596</v>
      </c>
      <c r="J11" s="21">
        <f t="shared" si="5"/>
        <v>4244.7072399464541</v>
      </c>
      <c r="K11" s="27">
        <f t="shared" si="5"/>
        <v>4871.3383864618208</v>
      </c>
      <c r="L11" s="21">
        <f t="shared" si="5"/>
        <v>4227.6401221093502</v>
      </c>
      <c r="M11" s="21">
        <f t="shared" si="5"/>
        <v>636.88126404212596</v>
      </c>
      <c r="N11" s="21"/>
      <c r="O11" s="21">
        <f>SUM(O7:O10)</f>
        <v>7574.91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636.88126404212596</v>
      </c>
      <c r="O14" s="65">
        <f>+O11</f>
        <v>7574.91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176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2047.56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523.52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0.32999999999992724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 t="s">
        <v>177</v>
      </c>
      <c r="M18" s="360"/>
      <c r="N18" s="361"/>
      <c r="O18" s="69">
        <v>3193.3</v>
      </c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13198.35/980</f>
        <v>13.467704081632654</v>
      </c>
      <c r="P28" s="97">
        <f>+N8-O28</f>
        <v>2.3622959183673462</v>
      </c>
      <c r="R28" s="48">
        <f>+P8*-1</f>
        <v>5.2034112444725906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12.112231182795767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+'17-03-2025'!I34</f>
        <v>-15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-0.24852459016403827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45734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-15</v>
      </c>
      <c r="J34" s="118" t="s">
        <v>58</v>
      </c>
      <c r="K34" s="125">
        <v>264.89999999999998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937.7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1541.3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1109.8599999999999</v>
      </c>
      <c r="C36" s="136">
        <v>523.52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45734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264.89999999999998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2047.56</v>
      </c>
      <c r="C38" s="153">
        <f>SUM(C35:C37)</f>
        <v>523.52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1806.1999999999998</v>
      </c>
      <c r="L38" s="161" t="s">
        <v>29</v>
      </c>
      <c r="M38" s="162" t="s">
        <v>118</v>
      </c>
      <c r="N38" s="163">
        <f>+K35</f>
        <v>1541.3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2571.08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1806.1999999999998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104.80669614655716</v>
      </c>
      <c r="C42" s="184">
        <v>15.83</v>
      </c>
      <c r="D42" s="185">
        <v>1659.09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159.18548387096772</v>
      </c>
      <c r="C43" s="184">
        <v>14.88</v>
      </c>
      <c r="D43" s="185">
        <v>2368.6799999999998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97.190819672131155</v>
      </c>
      <c r="C45" s="184">
        <v>15.25</v>
      </c>
      <c r="D45" s="185">
        <v>1482.16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275.69826435246995</v>
      </c>
      <c r="C46" s="184">
        <v>7.49</v>
      </c>
      <c r="D46" s="185">
        <v>2064.98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636.88126404212608</v>
      </c>
      <c r="C47" s="216"/>
      <c r="D47" s="217">
        <f>SUM(D42:D46)</f>
        <v>7574.91</v>
      </c>
      <c r="E47" s="186"/>
      <c r="F47" s="183"/>
      <c r="G47" s="263">
        <f>(C36+K35+K37)-D46</f>
        <v>-0.16000000000030923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34E-7368-4140-9B1A-9663A6597A08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45735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78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+'18-03-2025'!J7</f>
        <v>1610.6401221093504</v>
      </c>
      <c r="C7" s="22">
        <f>K26+K27</f>
        <v>0</v>
      </c>
      <c r="D7" s="23"/>
      <c r="E7" s="24">
        <f>+B7+C7+D7</f>
        <v>1610.6401221093504</v>
      </c>
      <c r="F7" s="25">
        <f>B46-G7</f>
        <v>164.12683578104136</v>
      </c>
      <c r="G7" s="22"/>
      <c r="H7" s="26"/>
      <c r="I7" s="21">
        <f t="shared" ref="I7:I10" si="0">+F7+G7+H7</f>
        <v>164.12683578104136</v>
      </c>
      <c r="J7" s="21">
        <f t="shared" ref="J7:J10" si="1">+E7-I7</f>
        <v>1446.5132863283091</v>
      </c>
      <c r="K7" s="27">
        <f>+'18-03-2025'!L7</f>
        <v>1610.6401221093504</v>
      </c>
      <c r="L7" s="28">
        <v>1446.5132863283091</v>
      </c>
      <c r="M7" s="24">
        <f t="shared" ref="M7:M10" si="2">+F7</f>
        <v>164.12683578104136</v>
      </c>
      <c r="N7" s="24">
        <f>+C46</f>
        <v>7.49</v>
      </c>
      <c r="O7" s="29">
        <f t="shared" ref="O7:O10" si="3">+M7*N7</f>
        <v>1229.31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+'18-03-2025'!J8</f>
        <v>795.20341124447259</v>
      </c>
      <c r="C8" s="22">
        <f>K28</f>
        <v>500</v>
      </c>
      <c r="D8" s="33"/>
      <c r="E8" s="24">
        <f>+B8+C8+D8</f>
        <v>1295.2034112444726</v>
      </c>
      <c r="F8" s="25">
        <f>+B42-G8</f>
        <v>82.745396825396824</v>
      </c>
      <c r="G8" s="22"/>
      <c r="H8" s="26"/>
      <c r="I8" s="21">
        <f t="shared" si="0"/>
        <v>82.745396825396824</v>
      </c>
      <c r="J8" s="21">
        <f t="shared" si="1"/>
        <v>1212.4580144190759</v>
      </c>
      <c r="K8" s="27">
        <f>+'18-03-2025'!L8</f>
        <v>790</v>
      </c>
      <c r="L8" s="28">
        <v>1205</v>
      </c>
      <c r="M8" s="24">
        <f t="shared" si="2"/>
        <v>82.745396825396824</v>
      </c>
      <c r="N8" s="24">
        <f>+C42</f>
        <v>15.75</v>
      </c>
      <c r="O8" s="29">
        <f t="shared" si="3"/>
        <v>1303.24</v>
      </c>
      <c r="P8" s="30">
        <f t="shared" si="4"/>
        <v>-7.4580144190758801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+'18-03-2025'!J9</f>
        <v>822.11223118279577</v>
      </c>
      <c r="C9" s="22">
        <f>K29</f>
        <v>500</v>
      </c>
      <c r="D9" s="33"/>
      <c r="E9" s="24">
        <f>+B9+C9+D9</f>
        <v>1322.1122311827958</v>
      </c>
      <c r="F9" s="25">
        <f>+B43-G9</f>
        <v>177.94305084745761</v>
      </c>
      <c r="G9" s="22"/>
      <c r="H9" s="26"/>
      <c r="I9" s="21">
        <f t="shared" si="0"/>
        <v>177.94305084745761</v>
      </c>
      <c r="J9" s="21">
        <f t="shared" si="1"/>
        <v>1144.1691803353381</v>
      </c>
      <c r="K9" s="27">
        <f>+'18-03-2025'!L9</f>
        <v>810</v>
      </c>
      <c r="L9" s="28">
        <v>1135</v>
      </c>
      <c r="M9" s="24">
        <f t="shared" si="2"/>
        <v>177.94305084745761</v>
      </c>
      <c r="N9" s="24">
        <f>+C43</f>
        <v>14.75</v>
      </c>
      <c r="O9" s="29">
        <f t="shared" si="3"/>
        <v>2624.66</v>
      </c>
      <c r="P9" s="30">
        <f t="shared" si="4"/>
        <v>-9.1691803353380692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+'18-03-2025'!J10</f>
        <v>1016.751475409836</v>
      </c>
      <c r="C10" s="40">
        <f>K31</f>
        <v>500</v>
      </c>
      <c r="D10" s="41"/>
      <c r="E10" s="24">
        <f>+B10+C10+D10</f>
        <v>1516.7514754098361</v>
      </c>
      <c r="F10" s="43">
        <f>+B45-G10</f>
        <v>76.013253810470502</v>
      </c>
      <c r="G10" s="40"/>
      <c r="H10" s="26"/>
      <c r="I10" s="44">
        <f t="shared" si="0"/>
        <v>76.013253810470502</v>
      </c>
      <c r="J10" s="44">
        <f t="shared" si="1"/>
        <v>1440.7382215993655</v>
      </c>
      <c r="K10" s="27">
        <f>+'18-03-2025'!L10</f>
        <v>1017</v>
      </c>
      <c r="L10" s="28">
        <v>1442</v>
      </c>
      <c r="M10" s="42">
        <f t="shared" si="2"/>
        <v>76.013253810470502</v>
      </c>
      <c r="N10" s="42">
        <f>+C45</f>
        <v>15.09</v>
      </c>
      <c r="O10" s="45">
        <f t="shared" si="3"/>
        <v>1147.04</v>
      </c>
      <c r="P10" s="30">
        <f t="shared" si="4"/>
        <v>1.2617784006345119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4244.7072399464541</v>
      </c>
      <c r="C11" s="21">
        <f t="shared" si="5"/>
        <v>1500</v>
      </c>
      <c r="D11" s="21">
        <f t="shared" si="5"/>
        <v>0</v>
      </c>
      <c r="E11" s="21">
        <f t="shared" si="5"/>
        <v>5744.7072399464541</v>
      </c>
      <c r="F11" s="21">
        <f t="shared" si="5"/>
        <v>500.82853726436633</v>
      </c>
      <c r="G11" s="21">
        <f t="shared" si="5"/>
        <v>0</v>
      </c>
      <c r="H11" s="21">
        <f t="shared" si="5"/>
        <v>0</v>
      </c>
      <c r="I11" s="21">
        <f t="shared" si="5"/>
        <v>500.82853726436633</v>
      </c>
      <c r="J11" s="21">
        <f t="shared" si="5"/>
        <v>5243.8787026820883</v>
      </c>
      <c r="K11" s="27">
        <f t="shared" si="5"/>
        <v>4227.6401221093502</v>
      </c>
      <c r="L11" s="21">
        <f t="shared" si="5"/>
        <v>5228.5132863283088</v>
      </c>
      <c r="M11" s="21">
        <f t="shared" si="5"/>
        <v>500.82853726436633</v>
      </c>
      <c r="N11" s="21"/>
      <c r="O11" s="21">
        <f>SUM(O7:O10)</f>
        <v>6304.25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500.82853726436633</v>
      </c>
      <c r="O14" s="65">
        <f>+O11</f>
        <v>6304.25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178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1665.24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497.15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0.16000000000076398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377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427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4478.5004099999996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>
        <v>500</v>
      </c>
      <c r="L28" s="94" t="s">
        <v>179</v>
      </c>
      <c r="M28" s="94" t="s">
        <v>180</v>
      </c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7.4580144190758801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>
        <v>500</v>
      </c>
      <c r="L29" s="94" t="s">
        <v>179</v>
      </c>
      <c r="M29" s="94" t="s">
        <v>180</v>
      </c>
      <c r="N29" s="95" t="s">
        <v>91</v>
      </c>
      <c r="O29" s="100">
        <f>6006.08/500</f>
        <v>12.01216</v>
      </c>
      <c r="P29" s="97">
        <f>+N9-O29</f>
        <v>2.7378400000000003</v>
      </c>
      <c r="R29" s="48">
        <f>+P9*-1</f>
        <v>9.1691803353380692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+'17-03-2025'!I34</f>
        <v>-15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>
        <v>500</v>
      </c>
      <c r="L31" s="94" t="s">
        <v>181</v>
      </c>
      <c r="M31" s="94" t="s">
        <v>180</v>
      </c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6">+P10*-1</f>
        <v>-1.2617784006345119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45735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-65</v>
      </c>
      <c r="J34" s="118" t="s">
        <v>58</v>
      </c>
      <c r="K34" s="125">
        <v>2978.6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1015.53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732.1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649.71</v>
      </c>
      <c r="C36" s="136">
        <v>497.15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45735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2978.6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1665.24</v>
      </c>
      <c r="C38" s="153">
        <f>SUM(C35:C37)</f>
        <v>497.15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3710.7</v>
      </c>
      <c r="L38" s="161" t="s">
        <v>29</v>
      </c>
      <c r="M38" s="162" t="s">
        <v>118</v>
      </c>
      <c r="N38" s="163">
        <f>+K35</f>
        <v>732.1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2162.39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3710.7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82.745396825396824</v>
      </c>
      <c r="C42" s="184">
        <v>15.75</v>
      </c>
      <c r="D42" s="185">
        <v>1303.24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177.94305084745761</v>
      </c>
      <c r="C43" s="184">
        <v>14.75</v>
      </c>
      <c r="D43" s="185">
        <v>2624.66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76.013253810470502</v>
      </c>
      <c r="C45" s="184">
        <v>15.09</v>
      </c>
      <c r="D45" s="185">
        <v>1147.04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164.12683578104136</v>
      </c>
      <c r="C46" s="184">
        <v>7.49</v>
      </c>
      <c r="D46" s="185">
        <v>1229.31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500.82853726436622</v>
      </c>
      <c r="C47" s="216"/>
      <c r="D47" s="217">
        <f>SUM(D42:D46)</f>
        <v>6304.25</v>
      </c>
      <c r="E47" s="186"/>
      <c r="F47" s="183"/>
      <c r="G47" s="263">
        <f>(C36+K35+K37)-D46</f>
        <v>-5.999999999994543E-2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733E-4F10-4F30-9B0C-AB6F2ED8EF67}">
  <sheetPr>
    <pageSetUpPr fitToPage="1"/>
  </sheetPr>
  <dimension ref="A1:W141"/>
  <sheetViews>
    <sheetView zoomScale="90" zoomScaleNormal="90" workbookViewId="0">
      <selection activeCell="P18" sqref="P18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45718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61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+'01-03-2025'!J7</f>
        <v>2757.6900256550894</v>
      </c>
      <c r="C7" s="22">
        <f>K26+K27</f>
        <v>0</v>
      </c>
      <c r="D7" s="23"/>
      <c r="E7" s="24">
        <f>+B7+C7+D7</f>
        <v>2757.6900256550894</v>
      </c>
      <c r="F7" s="25">
        <f>B46-G7</f>
        <v>260.13084112149534</v>
      </c>
      <c r="G7" s="22"/>
      <c r="H7" s="26"/>
      <c r="I7" s="21">
        <f t="shared" ref="I7:I10" si="0">+F7+G7+H7</f>
        <v>260.13084112149534</v>
      </c>
      <c r="J7" s="21">
        <f t="shared" ref="J7:J10" si="1">+E7-I7</f>
        <v>2497.5591845335939</v>
      </c>
      <c r="K7" s="27">
        <f>+'01-03-2025'!L7</f>
        <v>2757.6900256550894</v>
      </c>
      <c r="L7" s="28">
        <v>2497.5591845335939</v>
      </c>
      <c r="M7" s="24">
        <f t="shared" ref="M7:M10" si="2">+F7</f>
        <v>260.13084112149534</v>
      </c>
      <c r="N7" s="24">
        <f>+C46</f>
        <v>7.49</v>
      </c>
      <c r="O7" s="29">
        <f t="shared" ref="O7:O10" si="3">+M7*N7</f>
        <v>1948.38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+'01-03-2025'!J8</f>
        <v>1381.2577384712572</v>
      </c>
      <c r="C8" s="22">
        <f>K28</f>
        <v>0</v>
      </c>
      <c r="D8" s="33"/>
      <c r="E8" s="24">
        <f>+B8+C8+D8</f>
        <v>1381.2577384712572</v>
      </c>
      <c r="F8" s="25">
        <f>+B42-G8</f>
        <v>70.632975363234351</v>
      </c>
      <c r="G8" s="22"/>
      <c r="H8" s="26"/>
      <c r="I8" s="21">
        <f t="shared" si="0"/>
        <v>70.632975363234351</v>
      </c>
      <c r="J8" s="21">
        <f t="shared" si="1"/>
        <v>1310.6247631080228</v>
      </c>
      <c r="K8" s="27">
        <f>+'01-03-2025'!L8</f>
        <v>1380</v>
      </c>
      <c r="L8" s="28">
        <v>1310</v>
      </c>
      <c r="M8" s="24">
        <f t="shared" si="2"/>
        <v>70.632975363234351</v>
      </c>
      <c r="N8" s="24">
        <f>+C42</f>
        <v>15.83</v>
      </c>
      <c r="O8" s="29">
        <f t="shared" si="3"/>
        <v>1118.1199999999999</v>
      </c>
      <c r="P8" s="30">
        <f t="shared" si="4"/>
        <v>-0.62476310802276203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+'01-03-2025'!J9</f>
        <v>808.1572580645161</v>
      </c>
      <c r="C9" s="22">
        <f>K29</f>
        <v>0</v>
      </c>
      <c r="D9" s="33"/>
      <c r="E9" s="24">
        <f>+B9+C9+D9</f>
        <v>808.1572580645161</v>
      </c>
      <c r="F9" s="25">
        <f>+B43-G9</f>
        <v>121.97379032258064</v>
      </c>
      <c r="G9" s="22"/>
      <c r="H9" s="26"/>
      <c r="I9" s="21">
        <f t="shared" si="0"/>
        <v>121.97379032258064</v>
      </c>
      <c r="J9" s="21">
        <f t="shared" si="1"/>
        <v>686.18346774193549</v>
      </c>
      <c r="K9" s="27">
        <f>+'01-03-2025'!L9</f>
        <v>808</v>
      </c>
      <c r="L9" s="28">
        <v>685</v>
      </c>
      <c r="M9" s="24">
        <f t="shared" si="2"/>
        <v>121.97379032258064</v>
      </c>
      <c r="N9" s="24">
        <f>+C43</f>
        <v>14.88</v>
      </c>
      <c r="O9" s="29">
        <f t="shared" si="3"/>
        <v>1814.97</v>
      </c>
      <c r="P9" s="30">
        <f t="shared" si="4"/>
        <v>-1.1834677419354875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+'01-03-2025'!J10</f>
        <v>1398.8157377049181</v>
      </c>
      <c r="C10" s="40">
        <f>K31</f>
        <v>0</v>
      </c>
      <c r="D10" s="41"/>
      <c r="E10" s="24">
        <f>+B10+C10+D10</f>
        <v>1398.8157377049181</v>
      </c>
      <c r="F10" s="43">
        <f>+B45-G10</f>
        <v>41.180327868852459</v>
      </c>
      <c r="G10" s="40"/>
      <c r="H10" s="26"/>
      <c r="I10" s="44">
        <f t="shared" si="0"/>
        <v>41.180327868852459</v>
      </c>
      <c r="J10" s="44">
        <f t="shared" si="1"/>
        <v>1357.6354098360657</v>
      </c>
      <c r="K10" s="27">
        <f>+'01-03-2025'!L10</f>
        <v>1399</v>
      </c>
      <c r="L10" s="28">
        <v>1358</v>
      </c>
      <c r="M10" s="42">
        <f t="shared" si="2"/>
        <v>41.180327868852459</v>
      </c>
      <c r="N10" s="42">
        <f>+C45</f>
        <v>15.25</v>
      </c>
      <c r="O10" s="45">
        <f t="shared" si="3"/>
        <v>628</v>
      </c>
      <c r="P10" s="30">
        <f t="shared" si="4"/>
        <v>0.36459016393428101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6345.920759895781</v>
      </c>
      <c r="C11" s="21">
        <f t="shared" si="5"/>
        <v>0</v>
      </c>
      <c r="D11" s="21">
        <f t="shared" si="5"/>
        <v>0</v>
      </c>
      <c r="E11" s="21">
        <f t="shared" si="5"/>
        <v>6345.920759895781</v>
      </c>
      <c r="F11" s="21">
        <f t="shared" si="5"/>
        <v>493.91793467616276</v>
      </c>
      <c r="G11" s="21">
        <f t="shared" si="5"/>
        <v>0</v>
      </c>
      <c r="H11" s="21">
        <f t="shared" si="5"/>
        <v>0</v>
      </c>
      <c r="I11" s="21">
        <f t="shared" si="5"/>
        <v>493.91793467616276</v>
      </c>
      <c r="J11" s="21">
        <f t="shared" si="5"/>
        <v>5852.0028252196171</v>
      </c>
      <c r="K11" s="27">
        <f t="shared" si="5"/>
        <v>6344.6900256550889</v>
      </c>
      <c r="L11" s="21">
        <f t="shared" si="5"/>
        <v>5850.5591845335939</v>
      </c>
      <c r="M11" s="21">
        <f t="shared" si="5"/>
        <v>493.91793467616276</v>
      </c>
      <c r="N11" s="21"/>
      <c r="O11" s="21">
        <f>SUM(O7:O10)</f>
        <v>5509.47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493.91793467616276</v>
      </c>
      <c r="O14" s="65">
        <f>+O11</f>
        <v>5509.47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1547.58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453.3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9.0000000000145519E-2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0.62476310802276203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6258.25/500</f>
        <v>12.516500000000001</v>
      </c>
      <c r="P29" s="97">
        <f>+N9-O29</f>
        <v>2.3635000000000002</v>
      </c>
      <c r="R29" s="48">
        <f>+P9*-1</f>
        <v>1.1834677419354875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v>-150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93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-0.36459016393428101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45718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-150</v>
      </c>
      <c r="J34" s="118" t="s">
        <v>58</v>
      </c>
      <c r="K34" s="125">
        <v>2013.5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1277.8699999999999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1495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269.70999999999998</v>
      </c>
      <c r="C36" s="136">
        <v>453.3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+'[1]25'!J41</f>
        <v>104.16</v>
      </c>
      <c r="J36" s="128" t="s">
        <v>113</v>
      </c>
      <c r="K36" s="139"/>
      <c r="L36" s="281" t="s">
        <v>114</v>
      </c>
      <c r="M36" s="281"/>
      <c r="N36" s="140">
        <f>+K33</f>
        <v>45718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2013.5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1547.58</v>
      </c>
      <c r="C38" s="153">
        <f>SUM(C35:C37)</f>
        <v>453.3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3508.5</v>
      </c>
      <c r="L38" s="161" t="s">
        <v>29</v>
      </c>
      <c r="M38" s="162" t="s">
        <v>118</v>
      </c>
      <c r="N38" s="163">
        <f>+K35</f>
        <v>1495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2000.8799999999999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104.16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3508.5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70.632975363234351</v>
      </c>
      <c r="C42" s="184">
        <v>15.83</v>
      </c>
      <c r="D42" s="185">
        <v>1118.1199999999999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121.97379032258064</v>
      </c>
      <c r="C43" s="184">
        <v>14.88</v>
      </c>
      <c r="D43" s="185">
        <v>1814.97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41.180327868852459</v>
      </c>
      <c r="C45" s="184">
        <v>15.25</v>
      </c>
      <c r="D45" s="185">
        <v>628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260.13084112149534</v>
      </c>
      <c r="C46" s="184">
        <v>7.49</v>
      </c>
      <c r="D46" s="185">
        <v>1948.38</v>
      </c>
      <c r="E46" s="186"/>
      <c r="F46" s="212"/>
      <c r="G46" s="213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493.91793467616276</v>
      </c>
      <c r="C47" s="216"/>
      <c r="D47" s="217">
        <f>SUM(D42:D46)</f>
        <v>5509.47</v>
      </c>
      <c r="E47" s="186"/>
      <c r="F47" s="218"/>
      <c r="G47" s="219">
        <f>(C36+K35+K37)-D46</f>
        <v>-8.0000000000154614E-2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2CD0-A458-4736-BD1B-853F3F4E8A04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45736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79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+'19-03-2025'!J7</f>
        <v>1446.5132863283091</v>
      </c>
      <c r="C7" s="22">
        <f>K26+K27</f>
        <v>1436.7104285360417</v>
      </c>
      <c r="D7" s="23"/>
      <c r="E7" s="24">
        <f>+B7+C7+D7</f>
        <v>2883.2237148643508</v>
      </c>
      <c r="F7" s="25">
        <f>B46-G7</f>
        <v>254.79839786381842</v>
      </c>
      <c r="G7" s="22"/>
      <c r="H7" s="26"/>
      <c r="I7" s="21">
        <f t="shared" ref="I7:I10" si="0">+F7+G7+H7</f>
        <v>254.79839786381842</v>
      </c>
      <c r="J7" s="21">
        <f t="shared" ref="J7:J10" si="1">+E7-I7</f>
        <v>2628.4253170005322</v>
      </c>
      <c r="K7" s="27">
        <f>+'19-03-2025'!L7</f>
        <v>1446.5132863283091</v>
      </c>
      <c r="L7" s="28">
        <v>2628.4253170005322</v>
      </c>
      <c r="M7" s="24">
        <f t="shared" ref="M7:M10" si="2">+F7</f>
        <v>254.79839786381842</v>
      </c>
      <c r="N7" s="24">
        <f>+C46</f>
        <v>7.49</v>
      </c>
      <c r="O7" s="29">
        <f t="shared" ref="O7:O10" si="3">+M7*N7</f>
        <v>1908.44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+'19-03-2025'!J8</f>
        <v>1212.4580144190759</v>
      </c>
      <c r="C8" s="22">
        <f>K28</f>
        <v>0</v>
      </c>
      <c r="D8" s="33"/>
      <c r="E8" s="24">
        <f>+B8+C8+D8</f>
        <v>1212.4580144190759</v>
      </c>
      <c r="F8" s="25">
        <f>+B42-G8</f>
        <v>75.657777777777767</v>
      </c>
      <c r="G8" s="22"/>
      <c r="H8" s="26"/>
      <c r="I8" s="21">
        <f t="shared" si="0"/>
        <v>75.657777777777767</v>
      </c>
      <c r="J8" s="21">
        <f t="shared" si="1"/>
        <v>1136.8002366412982</v>
      </c>
      <c r="K8" s="27">
        <f>+'19-03-2025'!L8</f>
        <v>1205</v>
      </c>
      <c r="L8" s="28">
        <v>1130</v>
      </c>
      <c r="M8" s="24">
        <f t="shared" si="2"/>
        <v>75.657777777777767</v>
      </c>
      <c r="N8" s="24">
        <f>+C42</f>
        <v>15.75</v>
      </c>
      <c r="O8" s="29">
        <f t="shared" si="3"/>
        <v>1191.6099999999999</v>
      </c>
      <c r="P8" s="30">
        <f t="shared" si="4"/>
        <v>-6.8002366412981701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+'19-03-2025'!J9</f>
        <v>1144.1691803353381</v>
      </c>
      <c r="C9" s="22">
        <f>K29</f>
        <v>0</v>
      </c>
      <c r="D9" s="33"/>
      <c r="E9" s="24">
        <f>+B9+C9+D9</f>
        <v>1144.1691803353381</v>
      </c>
      <c r="F9" s="25">
        <f>+B43-G9</f>
        <v>154.26508474576269</v>
      </c>
      <c r="G9" s="22"/>
      <c r="H9" s="26"/>
      <c r="I9" s="21">
        <f t="shared" si="0"/>
        <v>154.26508474576269</v>
      </c>
      <c r="J9" s="21">
        <f t="shared" si="1"/>
        <v>989.90409558957538</v>
      </c>
      <c r="K9" s="27">
        <f>+'19-03-2025'!L9</f>
        <v>1135</v>
      </c>
      <c r="L9" s="28">
        <v>980</v>
      </c>
      <c r="M9" s="24">
        <f t="shared" si="2"/>
        <v>154.26508474576269</v>
      </c>
      <c r="N9" s="24">
        <f>+C43</f>
        <v>14.75</v>
      </c>
      <c r="O9" s="29">
        <f t="shared" si="3"/>
        <v>2275.41</v>
      </c>
      <c r="P9" s="30">
        <f t="shared" si="4"/>
        <v>-9.9040955895753768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+'19-03-2025'!J10</f>
        <v>1440.7382215993655</v>
      </c>
      <c r="C10" s="40">
        <f>K31</f>
        <v>0</v>
      </c>
      <c r="D10" s="41"/>
      <c r="E10" s="24">
        <f>+B10+C10+D10</f>
        <v>1440.7382215993655</v>
      </c>
      <c r="F10" s="43">
        <f>+B45-G10</f>
        <v>46.952948972829688</v>
      </c>
      <c r="G10" s="40"/>
      <c r="H10" s="26"/>
      <c r="I10" s="44">
        <f t="shared" si="0"/>
        <v>46.952948972829688</v>
      </c>
      <c r="J10" s="44">
        <f t="shared" si="1"/>
        <v>1393.7852726265357</v>
      </c>
      <c r="K10" s="27">
        <f>+'19-03-2025'!L10</f>
        <v>1442</v>
      </c>
      <c r="L10" s="28">
        <v>1395</v>
      </c>
      <c r="M10" s="42">
        <f t="shared" si="2"/>
        <v>46.952948972829688</v>
      </c>
      <c r="N10" s="42">
        <f>+C45</f>
        <v>15.09</v>
      </c>
      <c r="O10" s="45">
        <f t="shared" si="3"/>
        <v>708.52</v>
      </c>
      <c r="P10" s="30">
        <f t="shared" si="4"/>
        <v>1.2147273734642567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5243.8787026820883</v>
      </c>
      <c r="C11" s="21">
        <f t="shared" si="5"/>
        <v>1436.7104285360417</v>
      </c>
      <c r="D11" s="21">
        <f t="shared" si="5"/>
        <v>0</v>
      </c>
      <c r="E11" s="21">
        <f t="shared" si="5"/>
        <v>6680.5891312181302</v>
      </c>
      <c r="F11" s="21">
        <f t="shared" si="5"/>
        <v>531.67420936018857</v>
      </c>
      <c r="G11" s="21">
        <f t="shared" si="5"/>
        <v>0</v>
      </c>
      <c r="H11" s="21">
        <f t="shared" si="5"/>
        <v>0</v>
      </c>
      <c r="I11" s="21">
        <f t="shared" si="5"/>
        <v>531.67420936018857</v>
      </c>
      <c r="J11" s="21">
        <f t="shared" si="5"/>
        <v>6148.9149218579414</v>
      </c>
      <c r="K11" s="27">
        <f t="shared" si="5"/>
        <v>5228.5132863283088</v>
      </c>
      <c r="L11" s="21">
        <f t="shared" si="5"/>
        <v>6133.4253170005322</v>
      </c>
      <c r="M11" s="21">
        <f t="shared" si="5"/>
        <v>531.67420936018857</v>
      </c>
      <c r="N11" s="21"/>
      <c r="O11" s="21">
        <f>SUM(O7:O10)</f>
        <v>6083.98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531.67420936018857</v>
      </c>
      <c r="O14" s="65">
        <f>+O11</f>
        <v>6083.98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182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1398.06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587.29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0.32999999999947249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1436.7104285360417</v>
      </c>
      <c r="L26" s="94" t="s">
        <v>184</v>
      </c>
      <c r="M26" s="94" t="s">
        <v>158</v>
      </c>
      <c r="N26" s="95" t="s">
        <v>146</v>
      </c>
      <c r="O26" s="96" t="str">
        <f>+H42&amp;"   "&amp;"kg"</f>
        <v>2900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6.8002366412981701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6006.08/500</f>
        <v>12.01216</v>
      </c>
      <c r="P29" s="97">
        <f>+N9-O29</f>
        <v>2.7378400000000003</v>
      </c>
      <c r="R29" s="48">
        <f>+P9*-1</f>
        <v>9.9040955895753768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+'17-03-2025'!I34</f>
        <v>-15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6">+P10*-1</f>
        <v>-1.2147273734642567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45736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-15</v>
      </c>
      <c r="J34" s="118" t="s">
        <v>58</v>
      </c>
      <c r="K34" s="125">
        <v>2773.3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788.51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1321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609.54999999999995</v>
      </c>
      <c r="C36" s="136">
        <v>587.29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45736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2773.3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1398.06</v>
      </c>
      <c r="C38" s="153">
        <f>SUM(C35:C37)</f>
        <v>587.29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4094.3</v>
      </c>
      <c r="L38" s="161" t="s">
        <v>29</v>
      </c>
      <c r="M38" s="162" t="s">
        <v>118</v>
      </c>
      <c r="N38" s="163">
        <f>+K35</f>
        <v>1321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1985.35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4094.3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75.657777777777767</v>
      </c>
      <c r="C42" s="184">
        <v>15.75</v>
      </c>
      <c r="D42" s="185">
        <v>1191.6099999999999</v>
      </c>
      <c r="E42" s="186"/>
      <c r="F42" s="183"/>
      <c r="G42" s="187" t="s">
        <v>126</v>
      </c>
      <c r="H42" s="188" t="s">
        <v>183</v>
      </c>
      <c r="I42" s="189">
        <v>2.0185</v>
      </c>
      <c r="J42" s="190">
        <f>+H42/I42</f>
        <v>1436.7104285360417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154.26508474576269</v>
      </c>
      <c r="C43" s="184">
        <v>14.75</v>
      </c>
      <c r="D43" s="185">
        <v>2275.41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46.952948972829688</v>
      </c>
      <c r="C45" s="184">
        <v>15.09</v>
      </c>
      <c r="D45" s="185">
        <v>708.52</v>
      </c>
      <c r="E45" s="186"/>
      <c r="F45" s="183"/>
      <c r="G45" s="206" t="s">
        <v>132</v>
      </c>
      <c r="H45" s="207">
        <f>+J45/I45</f>
        <v>2.2773523683553694</v>
      </c>
      <c r="I45" s="208">
        <f>+I43</f>
        <v>3.7854000000000001</v>
      </c>
      <c r="J45" s="209">
        <f>+K45/H42</f>
        <v>8.6206896551724146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254.79839786381842</v>
      </c>
      <c r="C46" s="184">
        <v>7.49</v>
      </c>
      <c r="D46" s="185">
        <v>1908.44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531.67420936018857</v>
      </c>
      <c r="C47" s="216"/>
      <c r="D47" s="217">
        <f>SUM(D42:D46)</f>
        <v>6083.98</v>
      </c>
      <c r="E47" s="186"/>
      <c r="F47" s="183"/>
      <c r="G47" s="263">
        <f>(C36+K35+K37)-D46</f>
        <v>-0.15000000000009095</v>
      </c>
      <c r="H47" s="220" t="s">
        <v>90</v>
      </c>
      <c r="I47" s="221" t="s">
        <v>137</v>
      </c>
      <c r="J47" s="222">
        <v>2.0185</v>
      </c>
      <c r="K47" s="223">
        <f>+J45-J43</f>
        <v>1.1306896551724144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CF1E-1261-47AB-B324-71B5B7E01EB7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45737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80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+'20-03-2025'!J7</f>
        <v>2628.4253170005322</v>
      </c>
      <c r="C7" s="22">
        <f>K26+K27</f>
        <v>0</v>
      </c>
      <c r="D7" s="23"/>
      <c r="E7" s="24">
        <f>+B7+C7+D7</f>
        <v>2628.4253170005322</v>
      </c>
      <c r="F7" s="25">
        <f>B46-G7</f>
        <v>147.99065420560748</v>
      </c>
      <c r="G7" s="22"/>
      <c r="H7" s="26"/>
      <c r="I7" s="21">
        <f t="shared" ref="I7:I10" si="0">+F7+G7+H7</f>
        <v>147.99065420560748</v>
      </c>
      <c r="J7" s="21">
        <f t="shared" ref="J7:J10" si="1">+E7-I7</f>
        <v>2480.4346627949249</v>
      </c>
      <c r="K7" s="27">
        <f>+'20-03-2025'!L7</f>
        <v>2628.4253170005322</v>
      </c>
      <c r="L7" s="28">
        <v>2480.4346627949249</v>
      </c>
      <c r="M7" s="24">
        <f t="shared" ref="M7:M10" si="2">+F7</f>
        <v>147.99065420560748</v>
      </c>
      <c r="N7" s="24">
        <f>+C46</f>
        <v>7.49</v>
      </c>
      <c r="O7" s="29">
        <f t="shared" ref="O7:O10" si="3">+M7*N7</f>
        <v>1108.45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+'20-03-2025'!J8</f>
        <v>1136.8002366412982</v>
      </c>
      <c r="C8" s="22">
        <f>K28</f>
        <v>0</v>
      </c>
      <c r="D8" s="33"/>
      <c r="E8" s="24">
        <f>+B8+C8+D8</f>
        <v>1136.8002366412982</v>
      </c>
      <c r="F8" s="25">
        <f>+B42-G8</f>
        <v>86.916190476190479</v>
      </c>
      <c r="G8" s="22"/>
      <c r="H8" s="26"/>
      <c r="I8" s="21">
        <f t="shared" si="0"/>
        <v>86.916190476190479</v>
      </c>
      <c r="J8" s="21">
        <f t="shared" si="1"/>
        <v>1049.8840461651077</v>
      </c>
      <c r="K8" s="27">
        <f>+'20-03-2025'!L8</f>
        <v>1130</v>
      </c>
      <c r="L8" s="28">
        <v>1040</v>
      </c>
      <c r="M8" s="24">
        <f t="shared" si="2"/>
        <v>86.916190476190479</v>
      </c>
      <c r="N8" s="24">
        <f>+C42</f>
        <v>15.75</v>
      </c>
      <c r="O8" s="29">
        <f t="shared" si="3"/>
        <v>1368.93</v>
      </c>
      <c r="P8" s="30">
        <f t="shared" si="4"/>
        <v>-9.8840461651077476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+'20-03-2025'!J9</f>
        <v>989.90409558957538</v>
      </c>
      <c r="C9" s="22">
        <f>K29</f>
        <v>0</v>
      </c>
      <c r="D9" s="33"/>
      <c r="E9" s="24">
        <f>+B9+C9+D9</f>
        <v>989.90409558957538</v>
      </c>
      <c r="F9" s="25">
        <f>+B43-G9</f>
        <v>134.27457627118645</v>
      </c>
      <c r="G9" s="22"/>
      <c r="H9" s="26"/>
      <c r="I9" s="21">
        <f t="shared" si="0"/>
        <v>134.27457627118645</v>
      </c>
      <c r="J9" s="21">
        <f t="shared" si="1"/>
        <v>855.62951931838893</v>
      </c>
      <c r="K9" s="27">
        <f>+'20-03-2025'!L9</f>
        <v>980</v>
      </c>
      <c r="L9" s="28">
        <v>850</v>
      </c>
      <c r="M9" s="24">
        <f t="shared" si="2"/>
        <v>134.27457627118645</v>
      </c>
      <c r="N9" s="24">
        <f>+C43</f>
        <v>14.75</v>
      </c>
      <c r="O9" s="29">
        <f t="shared" si="3"/>
        <v>1980.5500000000002</v>
      </c>
      <c r="P9" s="30">
        <f t="shared" si="4"/>
        <v>-5.6295193183889296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+'20-03-2025'!J10</f>
        <v>1393.7852726265357</v>
      </c>
      <c r="C10" s="40">
        <f>K31</f>
        <v>0</v>
      </c>
      <c r="D10" s="41"/>
      <c r="E10" s="24">
        <f>+B10+C10+D10</f>
        <v>1393.7852726265357</v>
      </c>
      <c r="F10" s="43">
        <f>+B45-G10</f>
        <v>161.75878064943672</v>
      </c>
      <c r="G10" s="40"/>
      <c r="H10" s="26"/>
      <c r="I10" s="44">
        <f t="shared" si="0"/>
        <v>161.75878064943672</v>
      </c>
      <c r="J10" s="44">
        <f t="shared" si="1"/>
        <v>1232.0264919770991</v>
      </c>
      <c r="K10" s="27">
        <f>+'20-03-2025'!L10</f>
        <v>1395</v>
      </c>
      <c r="L10" s="28">
        <v>1235</v>
      </c>
      <c r="M10" s="42">
        <f t="shared" si="2"/>
        <v>161.75878064943672</v>
      </c>
      <c r="N10" s="42">
        <f>+C45</f>
        <v>15.09</v>
      </c>
      <c r="O10" s="45">
        <f t="shared" si="3"/>
        <v>2440.94</v>
      </c>
      <c r="P10" s="30">
        <f t="shared" si="4"/>
        <v>2.9735080229008872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6148.9149218579414</v>
      </c>
      <c r="C11" s="21">
        <f t="shared" si="5"/>
        <v>0</v>
      </c>
      <c r="D11" s="21">
        <f t="shared" si="5"/>
        <v>0</v>
      </c>
      <c r="E11" s="21">
        <f t="shared" si="5"/>
        <v>6148.9149218579414</v>
      </c>
      <c r="F11" s="21">
        <f t="shared" si="5"/>
        <v>530.9402016024211</v>
      </c>
      <c r="G11" s="21">
        <f t="shared" si="5"/>
        <v>0</v>
      </c>
      <c r="H11" s="21">
        <f t="shared" si="5"/>
        <v>0</v>
      </c>
      <c r="I11" s="21">
        <f t="shared" si="5"/>
        <v>530.9402016024211</v>
      </c>
      <c r="J11" s="21">
        <f t="shared" si="5"/>
        <v>5617.97472025552</v>
      </c>
      <c r="K11" s="27">
        <f t="shared" si="5"/>
        <v>6133.4253170005322</v>
      </c>
      <c r="L11" s="21">
        <f t="shared" si="5"/>
        <v>5605.4346627949253</v>
      </c>
      <c r="M11" s="21">
        <f t="shared" si="5"/>
        <v>530.9402016024211</v>
      </c>
      <c r="N11" s="21"/>
      <c r="O11" s="21">
        <f>SUM(O7:O10)</f>
        <v>6898.8700000000008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530.9402016024211</v>
      </c>
      <c r="O14" s="65">
        <f>+O11</f>
        <v>6898.8700000000008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1461.1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262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0.11303000000043539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>
        <v>1435.56</v>
      </c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 t="s">
        <v>185</v>
      </c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4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9.8840461651077476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6006.08/500</f>
        <v>12.01216</v>
      </c>
      <c r="P29" s="97">
        <f>+N9-O29</f>
        <v>2.7378400000000003</v>
      </c>
      <c r="R29" s="48">
        <f>+P9*-1</f>
        <v>5.6295193183889296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+'17-03-2025'!I34</f>
        <v>-15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6">+P10*-1</f>
        <v>-2.9735080229008872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45737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-15</v>
      </c>
      <c r="J34" s="118" t="s">
        <v>58</v>
      </c>
      <c r="K34" s="125">
        <v>2893.7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1144.5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846.4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316.60000000000002</v>
      </c>
      <c r="C36" s="136">
        <v>262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45737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2893.7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1461.1</v>
      </c>
      <c r="C38" s="153">
        <f>SUM(C35:C37)</f>
        <v>262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3740.1</v>
      </c>
      <c r="L38" s="161" t="s">
        <v>29</v>
      </c>
      <c r="M38" s="162" t="s">
        <v>118</v>
      </c>
      <c r="N38" s="163">
        <f>+K35</f>
        <v>846.4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1723.1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3740.1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86.916190476190479</v>
      </c>
      <c r="C42" s="184">
        <v>15.75</v>
      </c>
      <c r="D42" s="185">
        <v>1368.93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134.27457627118645</v>
      </c>
      <c r="C43" s="184">
        <v>14.75</v>
      </c>
      <c r="D43" s="185">
        <v>1980.55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161.75878064943672</v>
      </c>
      <c r="C45" s="184">
        <v>15.09</v>
      </c>
      <c r="D45" s="185">
        <v>2440.94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147.99065420560748</v>
      </c>
      <c r="C46" s="184">
        <v>7.49</v>
      </c>
      <c r="D46" s="185">
        <v>1108.45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530.9402016024211</v>
      </c>
      <c r="C47" s="216"/>
      <c r="D47" s="217">
        <f>SUM(D42:D46)</f>
        <v>6898.87</v>
      </c>
      <c r="E47" s="186"/>
      <c r="F47" s="183"/>
      <c r="G47" s="263">
        <f>(C36+K35+K37)-D46</f>
        <v>-4.9999999999954525E-2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D4E7-8B06-40FC-BCF2-5BC62C45A373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45738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81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+'21-03-2025'!J7</f>
        <v>2480.4346627949249</v>
      </c>
      <c r="C7" s="22">
        <f>K26+K27</f>
        <v>0</v>
      </c>
      <c r="D7" s="23"/>
      <c r="E7" s="24">
        <f>+B7+C7+D7</f>
        <v>2480.4346627949249</v>
      </c>
      <c r="F7" s="25">
        <f>B46-G7</f>
        <v>286.27102803738319</v>
      </c>
      <c r="G7" s="22"/>
      <c r="H7" s="26"/>
      <c r="I7" s="21">
        <f t="shared" ref="I7:I10" si="0">+F7+G7+H7</f>
        <v>286.27102803738319</v>
      </c>
      <c r="J7" s="21">
        <f t="shared" ref="J7:J10" si="1">+E7-I7</f>
        <v>2194.1636347575418</v>
      </c>
      <c r="K7" s="27">
        <f>+'21-03-2025'!L7</f>
        <v>2480.4346627949249</v>
      </c>
      <c r="L7" s="28">
        <v>2194.1636347575418</v>
      </c>
      <c r="M7" s="24">
        <f t="shared" ref="M7:M10" si="2">+F7</f>
        <v>286.27102803738319</v>
      </c>
      <c r="N7" s="24">
        <f>+C46</f>
        <v>7.49</v>
      </c>
      <c r="O7" s="29">
        <f t="shared" ref="O7:O10" si="3">+M7*N7</f>
        <v>2144.17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+'21-03-2025'!J8</f>
        <v>1049.8840461651077</v>
      </c>
      <c r="C8" s="22">
        <f>K28</f>
        <v>0</v>
      </c>
      <c r="D8" s="33"/>
      <c r="E8" s="24">
        <f>+B8+C8+D8</f>
        <v>1049.8840461651077</v>
      </c>
      <c r="F8" s="25">
        <f>+B42-G8</f>
        <v>89.77968253968254</v>
      </c>
      <c r="G8" s="22"/>
      <c r="H8" s="26"/>
      <c r="I8" s="21">
        <f t="shared" si="0"/>
        <v>89.77968253968254</v>
      </c>
      <c r="J8" s="21">
        <f t="shared" si="1"/>
        <v>960.10436362542521</v>
      </c>
      <c r="K8" s="27">
        <f>+'21-03-2025'!L8</f>
        <v>1040</v>
      </c>
      <c r="L8" s="28">
        <v>955</v>
      </c>
      <c r="M8" s="24">
        <f t="shared" si="2"/>
        <v>89.77968253968254</v>
      </c>
      <c r="N8" s="24">
        <f>+C42</f>
        <v>15.75</v>
      </c>
      <c r="O8" s="29">
        <f t="shared" si="3"/>
        <v>1414.03</v>
      </c>
      <c r="P8" s="30">
        <f t="shared" si="4"/>
        <v>-5.1043636254252078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+'21-03-2025'!J9</f>
        <v>855.62951931838893</v>
      </c>
      <c r="C9" s="22">
        <f>K29</f>
        <v>0</v>
      </c>
      <c r="D9" s="33"/>
      <c r="E9" s="24">
        <f>+B9+C9+D9</f>
        <v>855.62951931838893</v>
      </c>
      <c r="F9" s="25">
        <f>+B43-G9</f>
        <v>123.02847457627119</v>
      </c>
      <c r="G9" s="22"/>
      <c r="H9" s="26"/>
      <c r="I9" s="21">
        <f t="shared" si="0"/>
        <v>123.02847457627119</v>
      </c>
      <c r="J9" s="21">
        <f t="shared" si="1"/>
        <v>732.60104474211778</v>
      </c>
      <c r="K9" s="27">
        <f>+'21-03-2025'!L9</f>
        <v>850</v>
      </c>
      <c r="L9" s="28">
        <v>720</v>
      </c>
      <c r="M9" s="24">
        <f t="shared" si="2"/>
        <v>123.02847457627119</v>
      </c>
      <c r="N9" s="24">
        <f>+C43</f>
        <v>14.75</v>
      </c>
      <c r="O9" s="29">
        <f t="shared" si="3"/>
        <v>1814.67</v>
      </c>
      <c r="P9" s="30">
        <f t="shared" si="4"/>
        <v>-12.601044742117779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+'21-03-2025'!J10</f>
        <v>1232.0264919770991</v>
      </c>
      <c r="C10" s="40">
        <f>K31</f>
        <v>0</v>
      </c>
      <c r="D10" s="41"/>
      <c r="E10" s="24">
        <f>+B10+C10+D10</f>
        <v>1232.0264919770991</v>
      </c>
      <c r="F10" s="43">
        <f>+B45-G10</f>
        <v>43.656063618290254</v>
      </c>
      <c r="G10" s="40"/>
      <c r="H10" s="26"/>
      <c r="I10" s="44">
        <f t="shared" si="0"/>
        <v>43.656063618290254</v>
      </c>
      <c r="J10" s="44">
        <f t="shared" si="1"/>
        <v>1188.3704283588088</v>
      </c>
      <c r="K10" s="27">
        <f>+'21-03-2025'!L10</f>
        <v>1235</v>
      </c>
      <c r="L10" s="28">
        <v>1190</v>
      </c>
      <c r="M10" s="42">
        <f t="shared" si="2"/>
        <v>43.656063618290254</v>
      </c>
      <c r="N10" s="42">
        <f>+C45</f>
        <v>15.09</v>
      </c>
      <c r="O10" s="45">
        <f t="shared" si="3"/>
        <v>658.77</v>
      </c>
      <c r="P10" s="30">
        <f t="shared" si="4"/>
        <v>1.6295716411912053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5617.97472025552</v>
      </c>
      <c r="C11" s="21">
        <f t="shared" si="5"/>
        <v>0</v>
      </c>
      <c r="D11" s="21">
        <f t="shared" si="5"/>
        <v>0</v>
      </c>
      <c r="E11" s="21">
        <f t="shared" si="5"/>
        <v>5617.97472025552</v>
      </c>
      <c r="F11" s="21">
        <f t="shared" si="5"/>
        <v>542.7352487716272</v>
      </c>
      <c r="G11" s="21">
        <f t="shared" si="5"/>
        <v>0</v>
      </c>
      <c r="H11" s="21">
        <f t="shared" si="5"/>
        <v>0</v>
      </c>
      <c r="I11" s="21">
        <f t="shared" si="5"/>
        <v>542.7352487716272</v>
      </c>
      <c r="J11" s="21">
        <f t="shared" si="5"/>
        <v>5075.2394714838938</v>
      </c>
      <c r="K11" s="27">
        <f t="shared" si="5"/>
        <v>5605.4346627949253</v>
      </c>
      <c r="L11" s="21">
        <f t="shared" si="5"/>
        <v>5059.1636347575422</v>
      </c>
      <c r="M11" s="21">
        <f t="shared" si="5"/>
        <v>542.7352487716272</v>
      </c>
      <c r="N11" s="21"/>
      <c r="O11" s="21">
        <f>SUM(O7:O10)</f>
        <v>6031.6399999999994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542.7352487716272</v>
      </c>
      <c r="O14" s="65">
        <f>+O11</f>
        <v>6031.6399999999994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1392.97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444.24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0.19999999999936335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298.93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348.93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4400.4304099999999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4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5.1043636254252078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6006.08/500</f>
        <v>12.01216</v>
      </c>
      <c r="P29" s="97">
        <f>+N9-O29</f>
        <v>2.7378400000000003</v>
      </c>
      <c r="R29" s="48">
        <f>+P9*-1</f>
        <v>12.601044742117779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+'21-03-2025'!I34</f>
        <v>-15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/>
      <c r="L31" s="94"/>
      <c r="M31" s="94"/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6">+P10*-1</f>
        <v>-1.6295716411912053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45738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-65</v>
      </c>
      <c r="J34" s="118" t="s">
        <v>58</v>
      </c>
      <c r="K34" s="125">
        <v>2145.4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941.42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1699.9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451.55</v>
      </c>
      <c r="C36" s="136">
        <v>444.24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45738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2145.4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1392.97</v>
      </c>
      <c r="C38" s="153">
        <f>SUM(C35:C37)</f>
        <v>444.24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3845.3</v>
      </c>
      <c r="L38" s="161" t="s">
        <v>29</v>
      </c>
      <c r="M38" s="162" t="s">
        <v>118</v>
      </c>
      <c r="N38" s="163">
        <f>+K35</f>
        <v>1699.9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1837.21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3845.3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89.77968253968254</v>
      </c>
      <c r="C42" s="184">
        <v>15.75</v>
      </c>
      <c r="D42" s="185">
        <v>1414.03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123.02847457627119</v>
      </c>
      <c r="C43" s="184">
        <v>14.75</v>
      </c>
      <c r="D43" s="185">
        <v>1814.67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43.656063618290254</v>
      </c>
      <c r="C45" s="184">
        <v>15.09</v>
      </c>
      <c r="D45" s="185">
        <v>658.77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286.27102803738319</v>
      </c>
      <c r="C46" s="184">
        <v>7.49</v>
      </c>
      <c r="D46" s="185">
        <v>2144.17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542.7352487716272</v>
      </c>
      <c r="C47" s="216"/>
      <c r="D47" s="217">
        <f>SUM(D42:D46)</f>
        <v>6031.6399999999994</v>
      </c>
      <c r="E47" s="186"/>
      <c r="F47" s="183"/>
      <c r="G47" s="263">
        <f>(C36+K35+K37)-D46</f>
        <v>-2.9999999999745341E-2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5515-461F-4CA0-B3BF-6F70647DC9C3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45739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82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+'22-03-2025'!J7</f>
        <v>2194.1636347575418</v>
      </c>
      <c r="C7" s="22">
        <f>K26+K27</f>
        <v>0</v>
      </c>
      <c r="D7" s="23"/>
      <c r="E7" s="24">
        <f>+B7+C7+D7</f>
        <v>2194.1636347575418</v>
      </c>
      <c r="F7" s="25">
        <f>B46-G7</f>
        <v>229.62750333778371</v>
      </c>
      <c r="G7" s="22"/>
      <c r="H7" s="26"/>
      <c r="I7" s="21">
        <f t="shared" ref="I7:I10" si="0">+F7+G7+H7</f>
        <v>229.62750333778371</v>
      </c>
      <c r="J7" s="21">
        <f t="shared" ref="J7:J10" si="1">+E7-I7</f>
        <v>1964.536131419758</v>
      </c>
      <c r="K7" s="27">
        <f>+'22-03-2025'!L7</f>
        <v>2194.1636347575418</v>
      </c>
      <c r="L7" s="28">
        <v>1964.536131419758</v>
      </c>
      <c r="M7" s="24">
        <f t="shared" ref="M7:M10" si="2">+F7</f>
        <v>229.62750333778371</v>
      </c>
      <c r="N7" s="24">
        <f>+C46</f>
        <v>7.49</v>
      </c>
      <c r="O7" s="29">
        <f t="shared" ref="O7:O10" si="3">+M7*N7</f>
        <v>1719.91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+'22-03-2025'!J8</f>
        <v>960.10436362542521</v>
      </c>
      <c r="C8" s="22">
        <f>K28</f>
        <v>0</v>
      </c>
      <c r="D8" s="33"/>
      <c r="E8" s="24">
        <f>+B8+C8+D8</f>
        <v>960.10436362542521</v>
      </c>
      <c r="F8" s="25">
        <f>+B42-G8</f>
        <v>115.63428571428571</v>
      </c>
      <c r="G8" s="22"/>
      <c r="H8" s="26"/>
      <c r="I8" s="21">
        <f t="shared" si="0"/>
        <v>115.63428571428571</v>
      </c>
      <c r="J8" s="21">
        <f t="shared" si="1"/>
        <v>844.47007791113947</v>
      </c>
      <c r="K8" s="27">
        <f>+'22-03-2025'!L8</f>
        <v>955</v>
      </c>
      <c r="L8" s="28">
        <v>835</v>
      </c>
      <c r="M8" s="24">
        <f t="shared" si="2"/>
        <v>115.63428571428571</v>
      </c>
      <c r="N8" s="24">
        <f>+C42</f>
        <v>15.75</v>
      </c>
      <c r="O8" s="29">
        <f t="shared" si="3"/>
        <v>1821.24</v>
      </c>
      <c r="P8" s="30">
        <f t="shared" si="4"/>
        <v>-9.4700779111394695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+'22-03-2025'!J9</f>
        <v>732.60104474211778</v>
      </c>
      <c r="C9" s="22">
        <f>K29</f>
        <v>0</v>
      </c>
      <c r="D9" s="33"/>
      <c r="E9" s="24">
        <f>+B9+C9+D9</f>
        <v>732.60104474211778</v>
      </c>
      <c r="F9" s="25">
        <f>+B43-G9</f>
        <v>55.084745762711862</v>
      </c>
      <c r="G9" s="22"/>
      <c r="H9" s="26"/>
      <c r="I9" s="21">
        <f t="shared" si="0"/>
        <v>55.084745762711862</v>
      </c>
      <c r="J9" s="21">
        <f t="shared" si="1"/>
        <v>677.51629897940597</v>
      </c>
      <c r="K9" s="27">
        <f>+'22-03-2025'!L9</f>
        <v>720</v>
      </c>
      <c r="L9" s="28">
        <v>670</v>
      </c>
      <c r="M9" s="24">
        <f t="shared" si="2"/>
        <v>55.084745762711862</v>
      </c>
      <c r="N9" s="24">
        <f>+C43</f>
        <v>14.75</v>
      </c>
      <c r="O9" s="29">
        <f t="shared" si="3"/>
        <v>812.5</v>
      </c>
      <c r="P9" s="30">
        <f t="shared" si="4"/>
        <v>-7.516298979405974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+'22-03-2025'!J10</f>
        <v>1188.3704283588088</v>
      </c>
      <c r="C10" s="40">
        <f>K31</f>
        <v>0</v>
      </c>
      <c r="D10" s="41"/>
      <c r="E10" s="24">
        <f>+B10+C10+D10</f>
        <v>1188.3704283588088</v>
      </c>
      <c r="F10" s="43">
        <f>+B45-G10</f>
        <v>76.677269715043067</v>
      </c>
      <c r="G10" s="40"/>
      <c r="H10" s="26"/>
      <c r="I10" s="44">
        <f t="shared" si="0"/>
        <v>76.677269715043067</v>
      </c>
      <c r="J10" s="44">
        <f t="shared" si="1"/>
        <v>1111.6931586437656</v>
      </c>
      <c r="K10" s="27">
        <f>+'22-03-2025'!L10</f>
        <v>1190</v>
      </c>
      <c r="L10" s="28">
        <v>1115</v>
      </c>
      <c r="M10" s="42">
        <f t="shared" si="2"/>
        <v>76.677269715043067</v>
      </c>
      <c r="N10" s="42">
        <f>+C45</f>
        <v>15.09</v>
      </c>
      <c r="O10" s="45">
        <f t="shared" si="3"/>
        <v>1157.06</v>
      </c>
      <c r="P10" s="30">
        <f t="shared" si="4"/>
        <v>3.3068413562343721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5075.2394714838938</v>
      </c>
      <c r="C11" s="21">
        <f t="shared" si="5"/>
        <v>0</v>
      </c>
      <c r="D11" s="21">
        <f t="shared" si="5"/>
        <v>0</v>
      </c>
      <c r="E11" s="21">
        <f t="shared" si="5"/>
        <v>5075.2394714838938</v>
      </c>
      <c r="F11" s="21">
        <f t="shared" si="5"/>
        <v>477.0238045298243</v>
      </c>
      <c r="G11" s="21">
        <f t="shared" si="5"/>
        <v>0</v>
      </c>
      <c r="H11" s="21">
        <f t="shared" si="5"/>
        <v>0</v>
      </c>
      <c r="I11" s="21">
        <f t="shared" si="5"/>
        <v>477.0238045298243</v>
      </c>
      <c r="J11" s="21">
        <f t="shared" si="5"/>
        <v>4598.2156669540691</v>
      </c>
      <c r="K11" s="27">
        <f t="shared" si="5"/>
        <v>5059.1636347575422</v>
      </c>
      <c r="L11" s="21">
        <f t="shared" si="5"/>
        <v>4584.536131419758</v>
      </c>
      <c r="M11" s="21">
        <f t="shared" si="5"/>
        <v>477.0238045298243</v>
      </c>
      <c r="N11" s="21"/>
      <c r="O11" s="21">
        <f>SUM(O7:O10)</f>
        <v>5510.7099999999991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477.0238045298243</v>
      </c>
      <c r="O14" s="65">
        <f>+O11</f>
        <v>5510.7099999999991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186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1955.08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457.64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3.8899999999989632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4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9.4700779111394695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6006.08/500</f>
        <v>12.01216</v>
      </c>
      <c r="P29" s="97">
        <f>+N9-O29</f>
        <v>2.7378400000000003</v>
      </c>
      <c r="R29" s="48">
        <f>+P9*-1</f>
        <v>7.516298979405974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+'22-03-2025'!I34</f>
        <v>-65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6">+P10*-1</f>
        <v>-3.3068413562343721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45739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-65</v>
      </c>
      <c r="J34" s="118" t="s">
        <v>58</v>
      </c>
      <c r="K34" s="125">
        <v>1827.9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1483.08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1262.2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472</v>
      </c>
      <c r="C36" s="136">
        <v>457.64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45739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1827.9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1955.08</v>
      </c>
      <c r="C38" s="153">
        <f>SUM(C35:C37)</f>
        <v>457.64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3090.1000000000004</v>
      </c>
      <c r="L38" s="161" t="s">
        <v>29</v>
      </c>
      <c r="M38" s="162" t="s">
        <v>118</v>
      </c>
      <c r="N38" s="163">
        <f>+K35</f>
        <v>1262.2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2412.7199999999998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3090.1000000000004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115.63428571428571</v>
      </c>
      <c r="C42" s="184">
        <v>15.75</v>
      </c>
      <c r="D42" s="185">
        <v>1821.24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55.084745762711862</v>
      </c>
      <c r="C43" s="184">
        <v>14.75</v>
      </c>
      <c r="D43" s="185">
        <v>812.5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76.677269715043067</v>
      </c>
      <c r="C45" s="184">
        <v>15.09</v>
      </c>
      <c r="D45" s="185">
        <v>1157.06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229.62750333778371</v>
      </c>
      <c r="C46" s="184">
        <v>7.49</v>
      </c>
      <c r="D46" s="185">
        <v>1719.91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477.02380452982436</v>
      </c>
      <c r="C47" s="216"/>
      <c r="D47" s="217">
        <f>SUM(D42:D46)</f>
        <v>5510.71</v>
      </c>
      <c r="E47" s="186"/>
      <c r="F47" s="183"/>
      <c r="G47" s="263">
        <f>(C36+K35+K37)-D46</f>
        <v>-6.9999999999936335E-2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1B39-249D-4524-88D1-50DA78EF000F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45712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55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+'23-03-2025'!J7</f>
        <v>1964.536131419758</v>
      </c>
      <c r="C7" s="22">
        <f>K26+K27</f>
        <v>0</v>
      </c>
      <c r="D7" s="23"/>
      <c r="E7" s="24">
        <f>+B7+C7+D7</f>
        <v>1964.536131419758</v>
      </c>
      <c r="F7" s="25">
        <f>B46-G7</f>
        <v>203.26034712950602</v>
      </c>
      <c r="G7" s="22"/>
      <c r="H7" s="26"/>
      <c r="I7" s="21">
        <f t="shared" ref="I7:I10" si="0">+F7+G7+H7</f>
        <v>203.26034712950602</v>
      </c>
      <c r="J7" s="21">
        <f t="shared" ref="J7:J10" si="1">+E7-I7</f>
        <v>1761.275784290252</v>
      </c>
      <c r="K7" s="27">
        <f>+'23-03-2025'!L7</f>
        <v>1964.536131419758</v>
      </c>
      <c r="L7" s="28">
        <v>1761.275784290252</v>
      </c>
      <c r="M7" s="24">
        <f t="shared" ref="M7:M10" si="2">+F7</f>
        <v>203.26034712950602</v>
      </c>
      <c r="N7" s="24">
        <f>+C46</f>
        <v>7.49</v>
      </c>
      <c r="O7" s="29">
        <f t="shared" ref="O7:O10" si="3">+M7*N7</f>
        <v>1522.42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+'23-03-2025'!J8</f>
        <v>844.47007791113947</v>
      </c>
      <c r="C8" s="22">
        <f>K28</f>
        <v>0</v>
      </c>
      <c r="D8" s="33"/>
      <c r="E8" s="24">
        <f>+B8+C8+D8</f>
        <v>844.47007791113947</v>
      </c>
      <c r="F8" s="25">
        <f>+B42-G8</f>
        <v>80.006349206349199</v>
      </c>
      <c r="G8" s="22"/>
      <c r="H8" s="26"/>
      <c r="I8" s="21">
        <f t="shared" si="0"/>
        <v>80.006349206349199</v>
      </c>
      <c r="J8" s="21">
        <f t="shared" si="1"/>
        <v>764.46372870479024</v>
      </c>
      <c r="K8" s="27">
        <f>+'23-03-2025'!L8</f>
        <v>835</v>
      </c>
      <c r="L8" s="28">
        <v>760</v>
      </c>
      <c r="M8" s="24">
        <f t="shared" si="2"/>
        <v>80.006349206349199</v>
      </c>
      <c r="N8" s="24">
        <f>+C42</f>
        <v>15.75</v>
      </c>
      <c r="O8" s="29">
        <f t="shared" si="3"/>
        <v>1260.0999999999999</v>
      </c>
      <c r="P8" s="30">
        <f t="shared" si="4"/>
        <v>-4.4637287047902419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+'23-03-2025'!J9</f>
        <v>677.51629897940597</v>
      </c>
      <c r="C9" s="22">
        <f>K29</f>
        <v>990</v>
      </c>
      <c r="D9" s="33"/>
      <c r="E9" s="24">
        <f>+B9+C9+D9</f>
        <v>1667.516298979406</v>
      </c>
      <c r="F9" s="25">
        <f>+B43-G9</f>
        <v>133.40881355932203</v>
      </c>
      <c r="G9" s="22"/>
      <c r="H9" s="26"/>
      <c r="I9" s="21">
        <f t="shared" si="0"/>
        <v>133.40881355932203</v>
      </c>
      <c r="J9" s="21">
        <f t="shared" si="1"/>
        <v>1534.107485420084</v>
      </c>
      <c r="K9" s="27">
        <f>+'23-03-2025'!L9</f>
        <v>670</v>
      </c>
      <c r="L9" s="28">
        <v>1522</v>
      </c>
      <c r="M9" s="24">
        <f t="shared" si="2"/>
        <v>133.40881355932203</v>
      </c>
      <c r="N9" s="24">
        <f>+C43</f>
        <v>14.75</v>
      </c>
      <c r="O9" s="29">
        <f t="shared" si="3"/>
        <v>1967.78</v>
      </c>
      <c r="P9" s="30">
        <f t="shared" si="4"/>
        <v>-12.107485420084004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+'23-03-2025'!J10</f>
        <v>1111.6931586437656</v>
      </c>
      <c r="C10" s="40">
        <f>K31</f>
        <v>0</v>
      </c>
      <c r="D10" s="41"/>
      <c r="E10" s="24">
        <f>+B10+C10+D10</f>
        <v>1111.6931586437656</v>
      </c>
      <c r="F10" s="43">
        <f>+B45-G10</f>
        <v>31.931080185553345</v>
      </c>
      <c r="G10" s="40"/>
      <c r="H10" s="26"/>
      <c r="I10" s="44">
        <f t="shared" si="0"/>
        <v>31.931080185553345</v>
      </c>
      <c r="J10" s="44">
        <f t="shared" si="1"/>
        <v>1079.7620784582123</v>
      </c>
      <c r="K10" s="27">
        <f>+'23-03-2025'!L10</f>
        <v>1115</v>
      </c>
      <c r="L10" s="28">
        <v>1080</v>
      </c>
      <c r="M10" s="42">
        <f t="shared" si="2"/>
        <v>31.931080185553345</v>
      </c>
      <c r="N10" s="42">
        <f>+C45</f>
        <v>15.09</v>
      </c>
      <c r="O10" s="45">
        <f t="shared" si="3"/>
        <v>481.84</v>
      </c>
      <c r="P10" s="30">
        <f t="shared" si="4"/>
        <v>0.23792154178772762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4598.2156669540691</v>
      </c>
      <c r="C11" s="21">
        <f t="shared" si="5"/>
        <v>990</v>
      </c>
      <c r="D11" s="21">
        <f t="shared" si="5"/>
        <v>0</v>
      </c>
      <c r="E11" s="21">
        <f t="shared" si="5"/>
        <v>5588.2156669540691</v>
      </c>
      <c r="F11" s="21">
        <f t="shared" si="5"/>
        <v>448.6065900807306</v>
      </c>
      <c r="G11" s="21">
        <f t="shared" si="5"/>
        <v>0</v>
      </c>
      <c r="H11" s="21">
        <f t="shared" si="5"/>
        <v>0</v>
      </c>
      <c r="I11" s="21">
        <f t="shared" si="5"/>
        <v>448.6065900807306</v>
      </c>
      <c r="J11" s="21">
        <f t="shared" si="5"/>
        <v>5139.6090768733384</v>
      </c>
      <c r="K11" s="27">
        <f t="shared" si="5"/>
        <v>4584.536131419758</v>
      </c>
      <c r="L11" s="21">
        <f t="shared" si="5"/>
        <v>5123.275784290252</v>
      </c>
      <c r="M11" s="21">
        <f t="shared" si="5"/>
        <v>448.6065900807306</v>
      </c>
      <c r="N11" s="21"/>
      <c r="O11" s="21">
        <f>SUM(O7:O10)</f>
        <v>5232.1400000000003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448.6065900807306</v>
      </c>
      <c r="O14" s="65">
        <f>+O11</f>
        <v>5232.1400000000003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751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323.76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2.0600000000004002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111.42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161.42000000000002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4212.9204099999997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4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4.4637287047902419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>
        <v>990</v>
      </c>
      <c r="L29" s="94" t="s">
        <v>187</v>
      </c>
      <c r="M29" s="94" t="s">
        <v>160</v>
      </c>
      <c r="N29" s="95" t="s">
        <v>93</v>
      </c>
      <c r="O29" s="100">
        <f>11892.04/990</f>
        <v>12.012161616161617</v>
      </c>
      <c r="P29" s="97">
        <f>+N9-O29</f>
        <v>2.7378383838383833</v>
      </c>
      <c r="R29" s="48">
        <f>+P9*-1</f>
        <v>12.107485420084004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+'22-03-2025'!I34</f>
        <v>-65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/>
      <c r="L31" s="94"/>
      <c r="M31" s="94"/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6">+P10*-1</f>
        <v>-0.23792154178772762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45712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-115</v>
      </c>
      <c r="J34" s="118" t="s">
        <v>58</v>
      </c>
      <c r="K34" s="125">
        <v>2795.2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323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1198.7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428</v>
      </c>
      <c r="C36" s="136">
        <v>323.76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45712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2795.2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751</v>
      </c>
      <c r="C38" s="153">
        <f>SUM(C35:C37)</f>
        <v>323.76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3993.8999999999996</v>
      </c>
      <c r="L38" s="161" t="s">
        <v>29</v>
      </c>
      <c r="M38" s="162" t="s">
        <v>118</v>
      </c>
      <c r="N38" s="163">
        <f>+K35</f>
        <v>1198.7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1074.76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3993.8999999999996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80.006349206349199</v>
      </c>
      <c r="C42" s="184">
        <v>15.75</v>
      </c>
      <c r="D42" s="185">
        <v>1260.0999999999999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133.40881355932203</v>
      </c>
      <c r="C43" s="184">
        <v>14.75</v>
      </c>
      <c r="D43" s="185">
        <v>1967.78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31.931080185553345</v>
      </c>
      <c r="C45" s="184">
        <v>15.09</v>
      </c>
      <c r="D45" s="185">
        <v>481.84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203.26034712950602</v>
      </c>
      <c r="C46" s="184">
        <v>7.49</v>
      </c>
      <c r="D46" s="185">
        <v>1522.42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448.6065900807306</v>
      </c>
      <c r="C47" s="216"/>
      <c r="D47" s="217">
        <f>SUM(D42:D46)</f>
        <v>5232.1400000000003</v>
      </c>
      <c r="E47" s="186"/>
      <c r="F47" s="183"/>
      <c r="G47" s="263">
        <f>(C36+K35+K37)-D46</f>
        <v>3.999999999996362E-2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1952-98E5-4D28-8CAC-EB3E6B9A6A54}">
  <sheetPr>
    <pageSetUpPr fitToPage="1"/>
  </sheetPr>
  <dimension ref="A1:W141"/>
  <sheetViews>
    <sheetView tabSelected="1" topLeftCell="C1"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J2" s="350" t="s">
        <v>5</v>
      </c>
      <c r="K2" s="352"/>
      <c r="L2" s="351"/>
      <c r="M2" s="4" t="s">
        <v>6</v>
      </c>
      <c r="N2" s="353">
        <v>45713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J3" s="355" t="s">
        <v>8</v>
      </c>
      <c r="K3" s="357"/>
      <c r="L3" s="356"/>
      <c r="M3" s="6" t="s">
        <v>9</v>
      </c>
      <c r="N3" s="358">
        <f>+N2-P2+1</f>
        <v>56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+'24-03-2025'!J7</f>
        <v>1761.275784290252</v>
      </c>
      <c r="C7" s="22">
        <f>K26+K27</f>
        <v>0</v>
      </c>
      <c r="D7" s="23"/>
      <c r="E7" s="24">
        <f>+B7+C7+D7+R7</f>
        <v>1761.275784290252</v>
      </c>
      <c r="F7" s="25">
        <f>B46-G7</f>
        <v>168.36582109479303</v>
      </c>
      <c r="G7" s="22"/>
      <c r="H7" s="26"/>
      <c r="I7" s="21">
        <f>+F7+G7</f>
        <v>168.36582109479303</v>
      </c>
      <c r="J7" s="21">
        <f>+E7-I7</f>
        <v>1592.9099631954589</v>
      </c>
      <c r="K7" s="27">
        <f>+'24-03-2025'!L7</f>
        <v>1761.275784290252</v>
      </c>
      <c r="L7" s="28">
        <v>1592.9099631954589</v>
      </c>
      <c r="M7" s="24">
        <f>+F7</f>
        <v>168.36582109479303</v>
      </c>
      <c r="N7" s="24">
        <f>+C46</f>
        <v>7.49</v>
      </c>
      <c r="O7" s="29">
        <f t="shared" ref="O7:O10" si="0">+M7*N7</f>
        <v>1261.06</v>
      </c>
      <c r="P7" s="30">
        <f t="shared" ref="P7:P10" si="1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+'24-03-2025'!J8</f>
        <v>764.46372870479024</v>
      </c>
      <c r="C8" s="22">
        <f>K28</f>
        <v>0</v>
      </c>
      <c r="D8" s="33"/>
      <c r="E8" s="24">
        <f>+B8+C8+D8+R8</f>
        <v>804.46372870479024</v>
      </c>
      <c r="F8" s="25">
        <f>+B42-G8</f>
        <v>58.78857142857143</v>
      </c>
      <c r="G8" s="22">
        <f>+R8</f>
        <v>40</v>
      </c>
      <c r="H8" s="26"/>
      <c r="I8" s="21">
        <f t="shared" ref="I8:I10" si="2">+F8+G8</f>
        <v>98.78857142857143</v>
      </c>
      <c r="J8" s="21">
        <f>+E8-I8</f>
        <v>705.67515727621878</v>
      </c>
      <c r="K8" s="27">
        <f>+'24-03-2025'!L8</f>
        <v>760</v>
      </c>
      <c r="L8" s="28">
        <v>700</v>
      </c>
      <c r="M8" s="24">
        <f>+F8</f>
        <v>58.78857142857143</v>
      </c>
      <c r="N8" s="24">
        <f>+C42</f>
        <v>15.75</v>
      </c>
      <c r="O8" s="29">
        <f t="shared" si="0"/>
        <v>925.92000000000007</v>
      </c>
      <c r="P8" s="30">
        <f t="shared" si="1"/>
        <v>-5.6751572762187834</v>
      </c>
      <c r="R8" s="23">
        <v>40</v>
      </c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+'24-03-2025'!J9</f>
        <v>1534.107485420084</v>
      </c>
      <c r="C9" s="22">
        <f>K29</f>
        <v>0</v>
      </c>
      <c r="D9" s="33"/>
      <c r="E9" s="24">
        <f>+B9+C9+D9+R9</f>
        <v>1609.107485420084</v>
      </c>
      <c r="F9" s="25">
        <f>+B43-G9</f>
        <v>221.44338983050847</v>
      </c>
      <c r="G9" s="22">
        <f>+R9</f>
        <v>75</v>
      </c>
      <c r="H9" s="26"/>
      <c r="I9" s="21">
        <f t="shared" si="2"/>
        <v>296.44338983050847</v>
      </c>
      <c r="J9" s="21">
        <f>+E9-I9</f>
        <v>1312.6640955895755</v>
      </c>
      <c r="K9" s="27">
        <f>+'24-03-2025'!L9</f>
        <v>1522</v>
      </c>
      <c r="L9" s="28">
        <v>1300</v>
      </c>
      <c r="M9" s="24">
        <f>+F9</f>
        <v>221.44338983050847</v>
      </c>
      <c r="N9" s="24">
        <f>+C43</f>
        <v>14.75</v>
      </c>
      <c r="O9" s="29">
        <f t="shared" si="0"/>
        <v>3266.29</v>
      </c>
      <c r="P9" s="30">
        <f t="shared" si="1"/>
        <v>-12.664095589575481</v>
      </c>
      <c r="Q9" s="34"/>
      <c r="R9" s="23">
        <f>20+55</f>
        <v>75</v>
      </c>
      <c r="S9" s="38">
        <v>160</v>
      </c>
      <c r="T9" s="32"/>
    </row>
    <row r="10" spans="1:23" s="31" customFormat="1" ht="15" thickBot="1" x14ac:dyDescent="0.35">
      <c r="A10" s="39" t="s">
        <v>197</v>
      </c>
      <c r="B10" s="21">
        <f>+'24-03-2025'!J10</f>
        <v>1079.7620784582123</v>
      </c>
      <c r="C10" s="40">
        <f>K31</f>
        <v>0</v>
      </c>
      <c r="D10" s="41"/>
      <c r="E10" s="24">
        <f>+B10+C10+D10+R10</f>
        <v>1134.7620784582123</v>
      </c>
      <c r="F10" s="43">
        <f>+B45-G10</f>
        <v>97.385023194168298</v>
      </c>
      <c r="G10" s="40">
        <f>+R10</f>
        <v>55</v>
      </c>
      <c r="H10" s="26"/>
      <c r="I10" s="21">
        <f t="shared" si="2"/>
        <v>152.3850231941683</v>
      </c>
      <c r="J10" s="44">
        <f>+E10-I10</f>
        <v>982.37705526404397</v>
      </c>
      <c r="K10" s="27">
        <f>+'24-03-2025'!L10</f>
        <v>1080</v>
      </c>
      <c r="L10" s="28">
        <v>985</v>
      </c>
      <c r="M10" s="42">
        <f>+F10</f>
        <v>97.385023194168298</v>
      </c>
      <c r="N10" s="42">
        <f>+C45</f>
        <v>15.09</v>
      </c>
      <c r="O10" s="45">
        <f t="shared" si="0"/>
        <v>1469.5399999999995</v>
      </c>
      <c r="P10" s="30">
        <f t="shared" si="1"/>
        <v>2.6229447359560254</v>
      </c>
      <c r="Q10" s="34"/>
      <c r="R10" s="42">
        <f>25+30</f>
        <v>55</v>
      </c>
      <c r="S10" s="38">
        <v>190</v>
      </c>
      <c r="T10" s="32"/>
    </row>
    <row r="11" spans="1:23" s="31" customFormat="1" ht="15" thickBot="1" x14ac:dyDescent="0.35">
      <c r="A11" s="46" t="s">
        <v>34</v>
      </c>
      <c r="B11" s="21">
        <f t="shared" ref="B11:M11" si="3">SUM(B7:B10)</f>
        <v>5139.6090768733384</v>
      </c>
      <c r="C11" s="21">
        <f t="shared" si="3"/>
        <v>0</v>
      </c>
      <c r="D11" s="21">
        <f>SUM(D7:D10)</f>
        <v>0</v>
      </c>
      <c r="E11" s="21">
        <f t="shared" si="3"/>
        <v>5309.6090768733384</v>
      </c>
      <c r="F11" s="21">
        <f t="shared" si="3"/>
        <v>545.98280554804126</v>
      </c>
      <c r="G11" s="21">
        <f t="shared" si="3"/>
        <v>170</v>
      </c>
      <c r="H11" s="21">
        <f t="shared" si="3"/>
        <v>0</v>
      </c>
      <c r="I11" s="21">
        <f t="shared" si="3"/>
        <v>715.98280554804114</v>
      </c>
      <c r="J11" s="21">
        <f t="shared" si="3"/>
        <v>4593.6262713252972</v>
      </c>
      <c r="K11" s="27">
        <f t="shared" si="3"/>
        <v>5123.275784290252</v>
      </c>
      <c r="L11" s="21">
        <f t="shared" si="3"/>
        <v>4577.9099631954587</v>
      </c>
      <c r="M11" s="21">
        <f t="shared" si="3"/>
        <v>545.98280554804126</v>
      </c>
      <c r="N11" s="21"/>
      <c r="O11" s="21">
        <f>SUM(O7:O10)</f>
        <v>6922.8099999999995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545.98280554804126</v>
      </c>
      <c r="O14" s="65">
        <f>+O11</f>
        <v>6922.8099999999995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5" t="s">
        <v>56</v>
      </c>
      <c r="I15" s="316"/>
      <c r="J15" s="66"/>
      <c r="K15" s="66"/>
      <c r="L15" s="309" t="s">
        <v>57</v>
      </c>
      <c r="M15" s="310"/>
      <c r="N15" s="67" t="s">
        <v>58</v>
      </c>
      <c r="O15" s="65">
        <f>+B38</f>
        <v>1185.0999999999999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308.08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 t="s">
        <v>189</v>
      </c>
      <c r="H17" s="362" t="s">
        <v>62</v>
      </c>
      <c r="I17" s="363"/>
      <c r="J17" s="313" t="s">
        <v>63</v>
      </c>
      <c r="K17" s="314"/>
      <c r="L17" s="288" t="s">
        <v>64</v>
      </c>
      <c r="M17" s="289"/>
      <c r="N17" s="290"/>
      <c r="O17" s="69">
        <v>0.32859999999891443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 t="s">
        <v>188</v>
      </c>
      <c r="H18" s="296" t="s">
        <v>65</v>
      </c>
      <c r="I18" s="297"/>
      <c r="J18" s="301" t="s">
        <v>66</v>
      </c>
      <c r="K18" s="302"/>
      <c r="L18" s="360"/>
      <c r="M18" s="360"/>
      <c r="N18" s="361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226.35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226.35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4327.85041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4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91</v>
      </c>
      <c r="O28" s="100">
        <f>6555.25/500</f>
        <v>13.1105</v>
      </c>
      <c r="P28" s="97">
        <f>+N8-O28</f>
        <v>2.6395</v>
      </c>
      <c r="R28" s="48">
        <f>+P8*-1</f>
        <v>5.6751572762187834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93</v>
      </c>
      <c r="O29" s="100">
        <f>11892.04/990</f>
        <v>12.012161616161617</v>
      </c>
      <c r="P29" s="97">
        <f>+N9-O29</f>
        <v>2.7378383838383833</v>
      </c>
      <c r="R29" s="48">
        <f>+P9*-1</f>
        <v>12.664095589575481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+'23-03-2025'!I34</f>
        <v>-65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91</v>
      </c>
      <c r="O31" s="100">
        <f>6649.01/500</f>
        <v>13.298020000000001</v>
      </c>
      <c r="P31" s="97">
        <f>+N10-O31</f>
        <v>1.7919799999999988</v>
      </c>
      <c r="Q31" s="3" t="s">
        <v>99</v>
      </c>
      <c r="R31" s="48">
        <f t="shared" ref="R31" si="4">+P10*-1</f>
        <v>-2.6229447359560254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45713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15.75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-65</v>
      </c>
      <c r="J34" s="118" t="s">
        <v>58</v>
      </c>
      <c r="K34" s="125">
        <v>4219.1000000000004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721.7</v>
      </c>
      <c r="C35" s="127"/>
      <c r="D35" s="128" t="s">
        <v>110</v>
      </c>
      <c r="E35" s="130">
        <f>+C43</f>
        <v>14.75</v>
      </c>
      <c r="F35" s="131">
        <v>15.08</v>
      </c>
      <c r="G35" s="132" t="e">
        <f>+#REF!*(E35-F35)</f>
        <v>#REF!</v>
      </c>
      <c r="H35" s="296" t="s">
        <v>111</v>
      </c>
      <c r="I35" s="297"/>
      <c r="J35" s="133" t="s">
        <v>29</v>
      </c>
      <c r="K35" s="134">
        <v>952.8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463.4</v>
      </c>
      <c r="C36" s="136">
        <v>308.08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4"/>
      <c r="L36" s="281" t="s">
        <v>114</v>
      </c>
      <c r="M36" s="281"/>
      <c r="N36" s="140">
        <f>+K33</f>
        <v>45713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15.09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265"/>
      <c r="L37" s="146" t="s">
        <v>58</v>
      </c>
      <c r="M37" s="147" t="s">
        <v>116</v>
      </c>
      <c r="N37" s="148">
        <f>+K34</f>
        <v>4219.1000000000004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1185.0999999999999</v>
      </c>
      <c r="C38" s="153">
        <f>SUM(C35:C37)</f>
        <v>308.08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5171.9000000000005</v>
      </c>
      <c r="L38" s="161" t="s">
        <v>29</v>
      </c>
      <c r="M38" s="162" t="s">
        <v>118</v>
      </c>
      <c r="N38" s="163">
        <f>+K35</f>
        <v>952.8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1493.1799999999998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5171.9000000000005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98.78857142857143</v>
      </c>
      <c r="C42" s="184">
        <v>15.75</v>
      </c>
      <c r="D42" s="185">
        <v>1555.92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296.44338983050847</v>
      </c>
      <c r="C43" s="184">
        <v>14.75</v>
      </c>
      <c r="D43" s="185">
        <v>4372.54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152.3850231941683</v>
      </c>
      <c r="C45" s="184">
        <v>15.09</v>
      </c>
      <c r="D45" s="185">
        <v>2299.4899999999998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168.36582109479303</v>
      </c>
      <c r="C46" s="184">
        <v>7.49</v>
      </c>
      <c r="D46" s="185">
        <v>1261.06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715.98280554804114</v>
      </c>
      <c r="C47" s="216"/>
      <c r="D47" s="217">
        <f>SUM(D42:D46)</f>
        <v>9489.01</v>
      </c>
      <c r="E47" s="186"/>
      <c r="F47" s="183"/>
      <c r="G47" s="263">
        <f>(C36+K35+K37)-D46</f>
        <v>-0.18000000000006366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6.2" thickBot="1" x14ac:dyDescent="0.35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345" t="s">
        <v>1</v>
      </c>
      <c r="L55" s="34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350" t="s">
        <v>4</v>
      </c>
      <c r="L56" s="351"/>
      <c r="P56" s="3"/>
    </row>
    <row r="57" spans="1:16" ht="16.2" thickBot="1" x14ac:dyDescent="0.35">
      <c r="A57" s="246"/>
      <c r="D57" s="229"/>
      <c r="E57" s="224"/>
      <c r="F57" s="218"/>
      <c r="G57" s="228"/>
      <c r="H57" s="228"/>
      <c r="I57" s="231"/>
      <c r="J57" s="231"/>
      <c r="K57" s="355" t="s">
        <v>7</v>
      </c>
      <c r="L57" s="356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K55:L55"/>
    <mergeCell ref="J1:L1"/>
    <mergeCell ref="N1:O1"/>
    <mergeCell ref="K56:L56"/>
    <mergeCell ref="J2:L2"/>
    <mergeCell ref="N2:O2"/>
    <mergeCell ref="K57:L57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2F21-1AE2-4A25-BE70-E85E6AB41EE8}">
  <sheetPr>
    <pageSetUpPr fitToPage="1"/>
  </sheetPr>
  <dimension ref="A1:X141"/>
  <sheetViews>
    <sheetView zoomScale="90" zoomScaleNormal="90" workbookViewId="0">
      <selection activeCell="E19" sqref="E19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3.44140625" style="3" bestFit="1" customWidth="1"/>
    <col min="6" max="6" width="12.6640625" style="3" customWidth="1"/>
    <col min="7" max="7" width="11.33203125" style="3" customWidth="1"/>
    <col min="8" max="8" width="12" style="3" customWidth="1"/>
    <col min="9" max="9" width="12.109375" style="3" customWidth="1"/>
    <col min="10" max="10" width="11.44140625" style="3" customWidth="1"/>
    <col min="11" max="11" width="12.109375" style="3" bestFit="1" customWidth="1"/>
    <col min="12" max="12" width="13.33203125" style="3" bestFit="1" customWidth="1"/>
    <col min="13" max="13" width="12.44140625" style="3" customWidth="1"/>
    <col min="14" max="14" width="14.6640625" style="3" customWidth="1"/>
    <col min="15" max="15" width="15" style="3" customWidth="1"/>
    <col min="16" max="16" width="16" style="3" customWidth="1"/>
    <col min="17" max="17" width="11.44140625" style="70" bestFit="1" customWidth="1"/>
    <col min="18" max="18" width="3.44140625" style="3" customWidth="1"/>
    <col min="19" max="19" width="13.109375" style="3" customWidth="1"/>
    <col min="20" max="20" width="12" style="3" bestFit="1" customWidth="1"/>
    <col min="21" max="16384" width="11.44140625" style="3"/>
  </cols>
  <sheetData>
    <row r="1" spans="1:24" x14ac:dyDescent="0.3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3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45742</v>
      </c>
      <c r="P2" s="354"/>
      <c r="Q2" s="5">
        <v>45658</v>
      </c>
    </row>
    <row r="3" spans="1:24" ht="15" thickBot="1" x14ac:dyDescent="0.35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85</v>
      </c>
      <c r="P3" s="359"/>
      <c r="Q3" s="5">
        <v>44197</v>
      </c>
      <c r="R3" s="7"/>
    </row>
    <row r="4" spans="1:24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3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24</v>
      </c>
      <c r="L6" s="16" t="s">
        <v>17</v>
      </c>
      <c r="M6" s="16" t="s">
        <v>24</v>
      </c>
      <c r="N6" s="16" t="s">
        <v>25</v>
      </c>
      <c r="O6" s="16" t="s">
        <v>26</v>
      </c>
      <c r="P6" s="17" t="s">
        <v>27</v>
      </c>
      <c r="Q6" s="18" t="s">
        <v>28</v>
      </c>
      <c r="R6" s="19"/>
    </row>
    <row r="7" spans="1:24" s="31" customFormat="1" ht="15" customHeight="1" x14ac:dyDescent="0.3">
      <c r="A7" s="20" t="s">
        <v>29</v>
      </c>
      <c r="B7" s="21">
        <f>+'25-03-2025'!J7</f>
        <v>1592.9099631954589</v>
      </c>
      <c r="C7" s="22">
        <f>L26+L27</f>
        <v>1431.7562546445381</v>
      </c>
      <c r="D7" s="23"/>
      <c r="E7" s="23"/>
      <c r="F7" s="24">
        <f t="shared" ref="F7:F10" si="0">+B7+C7+D7+E7</f>
        <v>3024.666217839997</v>
      </c>
      <c r="G7" s="25">
        <f>B46-H7</f>
        <v>192.23631508678235</v>
      </c>
      <c r="H7" s="22"/>
      <c r="I7" s="26"/>
      <c r="J7" s="21">
        <f t="shared" ref="J7:J10" si="1">+G7+H7+I7</f>
        <v>192.23631508678235</v>
      </c>
      <c r="K7" s="21">
        <f t="shared" ref="K7:K10" si="2">+F7-J7</f>
        <v>2832.4299027532147</v>
      </c>
      <c r="L7" s="27">
        <f>+'25-03-2025'!L7</f>
        <v>1592.9099631954589</v>
      </c>
      <c r="M7" s="28">
        <v>2832.4299027532147</v>
      </c>
      <c r="N7" s="24">
        <f t="shared" ref="N7:N10" si="3">+G7</f>
        <v>192.23631508678235</v>
      </c>
      <c r="O7" s="24">
        <f>+C46</f>
        <v>7.49</v>
      </c>
      <c r="P7" s="29">
        <f t="shared" ref="P7:P10" si="4">+N7*O7</f>
        <v>1439.85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3">
      <c r="A8" s="20" t="s">
        <v>30</v>
      </c>
      <c r="B8" s="21">
        <f>+'25-03-2025'!J8</f>
        <v>705.67515727621878</v>
      </c>
      <c r="C8" s="22">
        <f>L28</f>
        <v>0</v>
      </c>
      <c r="D8" s="33"/>
      <c r="E8" s="23"/>
      <c r="F8" s="24">
        <f t="shared" si="0"/>
        <v>705.67515727621878</v>
      </c>
      <c r="G8" s="25">
        <f>+B42-H8</f>
        <v>77.236190476190473</v>
      </c>
      <c r="H8" s="22">
        <f>+E8</f>
        <v>0</v>
      </c>
      <c r="I8" s="26"/>
      <c r="J8" s="21">
        <f t="shared" si="1"/>
        <v>77.236190476190473</v>
      </c>
      <c r="K8" s="21">
        <f t="shared" si="2"/>
        <v>628.43896680002831</v>
      </c>
      <c r="L8" s="27">
        <f>+'25-03-2025'!L8</f>
        <v>700</v>
      </c>
      <c r="M8" s="28">
        <v>620</v>
      </c>
      <c r="N8" s="24">
        <f t="shared" si="3"/>
        <v>77.236190476190473</v>
      </c>
      <c r="O8" s="24">
        <f>+C42</f>
        <v>15.75</v>
      </c>
      <c r="P8" s="29">
        <f t="shared" si="4"/>
        <v>1216.47</v>
      </c>
      <c r="Q8" s="30">
        <f t="shared" si="5"/>
        <v>-8.4389668000283109</v>
      </c>
      <c r="S8" s="32"/>
      <c r="T8" s="35">
        <v>150</v>
      </c>
      <c r="U8" s="32"/>
      <c r="V8" s="32"/>
      <c r="W8" s="36"/>
      <c r="X8" s="36"/>
    </row>
    <row r="9" spans="1:24" s="31" customFormat="1" x14ac:dyDescent="0.3">
      <c r="A9" s="37" t="s">
        <v>31</v>
      </c>
      <c r="B9" s="21">
        <f>+'25-03-2025'!J9</f>
        <v>1312.6640955895755</v>
      </c>
      <c r="C9" s="22">
        <f>L29</f>
        <v>0</v>
      </c>
      <c r="D9" s="33"/>
      <c r="E9" s="23"/>
      <c r="F9" s="24">
        <f t="shared" si="0"/>
        <v>1312.6640955895755</v>
      </c>
      <c r="G9" s="25">
        <f>+B43-H9</f>
        <v>116.09491525423729</v>
      </c>
      <c r="H9" s="22">
        <f>+E9</f>
        <v>0</v>
      </c>
      <c r="I9" s="26"/>
      <c r="J9" s="21">
        <f t="shared" si="1"/>
        <v>116.09491525423729</v>
      </c>
      <c r="K9" s="21">
        <f t="shared" si="2"/>
        <v>1196.5691803353382</v>
      </c>
      <c r="L9" s="27">
        <f>+'25-03-2025'!L9</f>
        <v>1300</v>
      </c>
      <c r="M9" s="28">
        <v>1185</v>
      </c>
      <c r="N9" s="24">
        <f t="shared" si="3"/>
        <v>116.09491525423729</v>
      </c>
      <c r="O9" s="24">
        <f>+C43</f>
        <v>14.75</v>
      </c>
      <c r="P9" s="29">
        <f t="shared" si="4"/>
        <v>1712.4</v>
      </c>
      <c r="Q9" s="30">
        <f t="shared" si="5"/>
        <v>-11.56918033533816</v>
      </c>
      <c r="R9" s="34"/>
      <c r="S9" s="32"/>
      <c r="T9" s="38">
        <v>160</v>
      </c>
      <c r="U9" s="32"/>
    </row>
    <row r="10" spans="1:24" s="31" customFormat="1" ht="15" thickBot="1" x14ac:dyDescent="0.35">
      <c r="A10" s="39" t="s">
        <v>197</v>
      </c>
      <c r="B10" s="21">
        <f>+'25-03-2025'!J10</f>
        <v>982.37705526404397</v>
      </c>
      <c r="C10" s="40">
        <f>L31</f>
        <v>0</v>
      </c>
      <c r="D10" s="41"/>
      <c r="E10" s="42"/>
      <c r="F10" s="24">
        <f t="shared" si="0"/>
        <v>982.37705526404397</v>
      </c>
      <c r="G10" s="43">
        <f>+B45-H10</f>
        <v>40.823061630218689</v>
      </c>
      <c r="H10" s="40">
        <f>+E10</f>
        <v>0</v>
      </c>
      <c r="I10" s="26"/>
      <c r="J10" s="44">
        <f t="shared" si="1"/>
        <v>40.823061630218689</v>
      </c>
      <c r="K10" s="44">
        <f t="shared" si="2"/>
        <v>941.55399363382526</v>
      </c>
      <c r="L10" s="27">
        <f>+'25-03-2025'!L10</f>
        <v>985</v>
      </c>
      <c r="M10" s="28">
        <v>945</v>
      </c>
      <c r="N10" s="42">
        <f t="shared" si="3"/>
        <v>40.823061630218689</v>
      </c>
      <c r="O10" s="42">
        <f>+C45</f>
        <v>15.09</v>
      </c>
      <c r="P10" s="45">
        <f t="shared" si="4"/>
        <v>616.02</v>
      </c>
      <c r="Q10" s="30">
        <f t="shared" si="5"/>
        <v>3.4460063661747427</v>
      </c>
      <c r="R10" s="34"/>
      <c r="S10" s="32"/>
      <c r="T10" s="38">
        <v>190</v>
      </c>
      <c r="U10" s="32"/>
    </row>
    <row r="11" spans="1:24" s="31" customFormat="1" ht="15" thickBot="1" x14ac:dyDescent="0.35">
      <c r="A11" s="46" t="s">
        <v>34</v>
      </c>
      <c r="B11" s="21">
        <f t="shared" ref="B11:N11" si="6">SUM(B7:B10)</f>
        <v>4593.6262713252972</v>
      </c>
      <c r="C11" s="21">
        <f t="shared" si="6"/>
        <v>1431.7562546445381</v>
      </c>
      <c r="D11" s="21">
        <f t="shared" si="6"/>
        <v>0</v>
      </c>
      <c r="E11" s="21">
        <f t="shared" si="6"/>
        <v>0</v>
      </c>
      <c r="F11" s="21">
        <f t="shared" si="6"/>
        <v>6025.3825259698351</v>
      </c>
      <c r="G11" s="21">
        <f t="shared" si="6"/>
        <v>426.39048244742889</v>
      </c>
      <c r="H11" s="21">
        <f t="shared" si="6"/>
        <v>0</v>
      </c>
      <c r="I11" s="21">
        <f t="shared" si="6"/>
        <v>0</v>
      </c>
      <c r="J11" s="21">
        <f t="shared" si="6"/>
        <v>426.39048244742889</v>
      </c>
      <c r="K11" s="21">
        <f t="shared" si="6"/>
        <v>5598.9920435224067</v>
      </c>
      <c r="L11" s="27">
        <f t="shared" si="6"/>
        <v>4577.9099631954587</v>
      </c>
      <c r="M11" s="21">
        <f t="shared" si="6"/>
        <v>5582.4299027532143</v>
      </c>
      <c r="N11" s="21">
        <f t="shared" si="6"/>
        <v>426.39048244742889</v>
      </c>
      <c r="O11" s="21"/>
      <c r="P11" s="21">
        <f>SUM(P7:P10)</f>
        <v>4984.74</v>
      </c>
      <c r="Q11" s="47"/>
    </row>
    <row r="12" spans="1:24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I12" s="326" t="s">
        <v>36</v>
      </c>
      <c r="J12" s="327"/>
      <c r="K12" s="327"/>
      <c r="L12" s="328"/>
      <c r="M12" s="329" t="s">
        <v>37</v>
      </c>
      <c r="N12" s="330"/>
      <c r="O12" s="330"/>
      <c r="P12" s="331"/>
      <c r="Q12" s="48"/>
      <c r="R12" s="31"/>
    </row>
    <row r="13" spans="1:24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1" t="s">
        <v>44</v>
      </c>
      <c r="J13" s="322"/>
      <c r="K13" s="52" t="s">
        <v>45</v>
      </c>
      <c r="L13" s="51" t="s">
        <v>46</v>
      </c>
      <c r="M13" s="309" t="s">
        <v>47</v>
      </c>
      <c r="N13" s="310"/>
      <c r="O13" s="53" t="s">
        <v>48</v>
      </c>
      <c r="P13" s="54" t="s">
        <v>42</v>
      </c>
      <c r="Q13" s="48"/>
    </row>
    <row r="14" spans="1:24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 t="shared" ref="G14:G30" si="7">+E14*F14</f>
        <v>0</v>
      </c>
      <c r="H14" s="62"/>
      <c r="I14" s="315" t="s">
        <v>52</v>
      </c>
      <c r="J14" s="316"/>
      <c r="K14" s="63"/>
      <c r="L14" s="63"/>
      <c r="M14" s="309" t="s">
        <v>53</v>
      </c>
      <c r="N14" s="310"/>
      <c r="O14" s="64">
        <f>+G11</f>
        <v>426.39048244742889</v>
      </c>
      <c r="P14" s="65">
        <f>+P11</f>
        <v>4984.74</v>
      </c>
      <c r="Q14" s="48"/>
    </row>
    <row r="15" spans="1:24" ht="15" thickBot="1" x14ac:dyDescent="0.35">
      <c r="A15" s="286" t="s">
        <v>54</v>
      </c>
      <c r="B15" s="287"/>
      <c r="C15" s="57" t="s">
        <v>50</v>
      </c>
      <c r="D15" s="58" t="s">
        <v>55</v>
      </c>
      <c r="E15" s="59"/>
      <c r="F15" s="60">
        <v>0.2</v>
      </c>
      <c r="G15" s="61">
        <f t="shared" si="7"/>
        <v>0</v>
      </c>
      <c r="H15" s="62"/>
      <c r="I15" s="317" t="s">
        <v>56</v>
      </c>
      <c r="J15" s="318"/>
      <c r="K15" s="66"/>
      <c r="L15" s="66"/>
      <c r="M15" s="309" t="s">
        <v>57</v>
      </c>
      <c r="N15" s="310"/>
      <c r="O15" s="67" t="s">
        <v>58</v>
      </c>
      <c r="P15" s="65">
        <f>+B38</f>
        <v>707.46</v>
      </c>
      <c r="Q15" s="48">
        <f>+Q7/60</f>
        <v>0</v>
      </c>
    </row>
    <row r="16" spans="1:24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57</v>
      </c>
      <c r="N16" s="310"/>
      <c r="O16" s="67" t="s">
        <v>29</v>
      </c>
      <c r="P16" s="65">
        <f>+C38</f>
        <v>381.8</v>
      </c>
      <c r="Q16" s="48"/>
    </row>
    <row r="17" spans="1:19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 t="shared" si="7"/>
        <v>0</v>
      </c>
      <c r="H17" s="62"/>
      <c r="I17" s="311" t="s">
        <v>62</v>
      </c>
      <c r="J17" s="312"/>
      <c r="K17" s="313" t="s">
        <v>63</v>
      </c>
      <c r="L17" s="314"/>
      <c r="M17" s="288" t="s">
        <v>64</v>
      </c>
      <c r="N17" s="289"/>
      <c r="O17" s="290"/>
      <c r="P17" s="69">
        <v>7.9999999999472493E-2</v>
      </c>
    </row>
    <row r="18" spans="1:19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 t="shared" si="7"/>
        <v>0</v>
      </c>
      <c r="H18" s="71"/>
      <c r="I18" s="296" t="s">
        <v>65</v>
      </c>
      <c r="J18" s="297"/>
      <c r="K18" s="301" t="s">
        <v>66</v>
      </c>
      <c r="L18" s="302"/>
      <c r="M18" s="360"/>
      <c r="N18" s="360"/>
      <c r="O18" s="361"/>
      <c r="P18" s="69"/>
    </row>
    <row r="19" spans="1:19" ht="15" customHeight="1" x14ac:dyDescent="0.3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 t="shared" si="7"/>
        <v>0</v>
      </c>
      <c r="H19" s="62"/>
      <c r="I19" s="72" t="s">
        <v>68</v>
      </c>
      <c r="J19" s="73">
        <f>+'[1]03'!J25</f>
        <v>4101.5004099999996</v>
      </c>
      <c r="K19" s="72" t="s">
        <v>68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 t="shared" si="7"/>
        <v>0</v>
      </c>
      <c r="H20" s="62"/>
      <c r="I20" s="74" t="s">
        <v>69</v>
      </c>
      <c r="J20" s="75"/>
      <c r="K20" s="76" t="s">
        <v>69</v>
      </c>
      <c r="L20" s="73">
        <f>+E24*(O10-F24)+E25*(O8-F25)+E26*(O9-F26)+E27*(O7-F27)</f>
        <v>0</v>
      </c>
      <c r="M20" s="288" t="s">
        <v>70</v>
      </c>
      <c r="N20" s="289"/>
      <c r="O20" s="290"/>
      <c r="P20" s="77">
        <f>+L20</f>
        <v>0</v>
      </c>
    </row>
    <row r="21" spans="1:19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72</v>
      </c>
      <c r="L21" s="73"/>
      <c r="M21" s="288" t="s">
        <v>73</v>
      </c>
      <c r="N21" s="289"/>
      <c r="O21" s="290"/>
      <c r="P21" s="77">
        <f>+G31</f>
        <v>0</v>
      </c>
    </row>
    <row r="22" spans="1:19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 t="shared" si="7"/>
        <v>0</v>
      </c>
      <c r="H22" s="71"/>
      <c r="I22" s="74" t="s">
        <v>75</v>
      </c>
      <c r="J22" s="75"/>
      <c r="K22" s="76" t="s">
        <v>75</v>
      </c>
      <c r="L22" s="78"/>
      <c r="M22" s="288" t="s">
        <v>76</v>
      </c>
      <c r="N22" s="289"/>
      <c r="O22" s="290"/>
      <c r="P22" s="77">
        <f>+J37+J20+J26+J31+J32</f>
        <v>50</v>
      </c>
    </row>
    <row r="23" spans="1:19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 t="shared" si="7"/>
        <v>0</v>
      </c>
      <c r="H23" s="71"/>
      <c r="I23" s="79" t="s">
        <v>78</v>
      </c>
      <c r="J23" s="80">
        <f>+J19+J20-J22</f>
        <v>4101.5004099999996</v>
      </c>
      <c r="K23" s="81" t="s">
        <v>78</v>
      </c>
      <c r="L23" s="82">
        <f>+L19-L20+L22+L21</f>
        <v>0</v>
      </c>
      <c r="M23" s="294" t="s">
        <v>79</v>
      </c>
      <c r="N23" s="295"/>
      <c r="O23" s="83"/>
      <c r="P23" s="84">
        <f>P14-SUM(P15:P22)</f>
        <v>3845.4000000000005</v>
      </c>
      <c r="Q23" s="48"/>
    </row>
    <row r="24" spans="1:19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/>
      <c r="F24" s="60">
        <v>0</v>
      </c>
      <c r="G24" s="61">
        <f t="shared" si="7"/>
        <v>0</v>
      </c>
      <c r="H24" s="71"/>
      <c r="I24" s="296" t="s">
        <v>81</v>
      </c>
      <c r="J24" s="297"/>
      <c r="K24" s="298" t="s">
        <v>82</v>
      </c>
      <c r="L24" s="299"/>
      <c r="M24" s="299"/>
      <c r="N24" s="299"/>
      <c r="O24" s="299"/>
      <c r="P24" s="300"/>
      <c r="Q24" s="85"/>
    </row>
    <row r="25" spans="1:19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 t="shared" si="7"/>
        <v>0</v>
      </c>
      <c r="H25" s="71"/>
      <c r="I25" s="72" t="s">
        <v>68</v>
      </c>
      <c r="J25" s="86">
        <f>+'[3]02'!J30</f>
        <v>2860.0556350000002</v>
      </c>
      <c r="K25" s="87" t="s">
        <v>83</v>
      </c>
      <c r="L25" s="53" t="s">
        <v>84</v>
      </c>
      <c r="M25" s="88" t="s">
        <v>85</v>
      </c>
      <c r="N25" s="88" t="s">
        <v>86</v>
      </c>
      <c r="O25" s="89" t="s">
        <v>87</v>
      </c>
      <c r="P25" s="90" t="s">
        <v>88</v>
      </c>
      <c r="Q25" s="3"/>
    </row>
    <row r="26" spans="1:19" x14ac:dyDescent="0.3">
      <c r="A26" s="286" t="s">
        <v>80</v>
      </c>
      <c r="B26" s="287"/>
      <c r="C26" s="58" t="s">
        <v>50</v>
      </c>
      <c r="D26" s="58" t="s">
        <v>61</v>
      </c>
      <c r="E26" s="59"/>
      <c r="F26" s="60">
        <v>0</v>
      </c>
      <c r="G26" s="61">
        <f t="shared" si="7"/>
        <v>0</v>
      </c>
      <c r="H26" s="71"/>
      <c r="I26" s="74" t="s">
        <v>69</v>
      </c>
      <c r="J26" s="86"/>
      <c r="K26" s="91" t="s">
        <v>89</v>
      </c>
      <c r="L26" s="92">
        <f>+K42</f>
        <v>1431.7562546445381</v>
      </c>
      <c r="M26" s="94" t="s">
        <v>191</v>
      </c>
      <c r="N26" s="94" t="s">
        <v>158</v>
      </c>
      <c r="O26" s="95" t="s">
        <v>146</v>
      </c>
      <c r="P26" s="96" t="str">
        <f>+I42&amp;"   "&amp;"kg"</f>
        <v>2890   kg</v>
      </c>
      <c r="Q26" s="97">
        <f>14028.78/1912.31</f>
        <v>7.336038612986389</v>
      </c>
      <c r="R26" s="3" t="s">
        <v>90</v>
      </c>
      <c r="S26" s="48">
        <f>+Q7*-1</f>
        <v>0</v>
      </c>
    </row>
    <row r="27" spans="1:19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 t="shared" si="7"/>
        <v>0</v>
      </c>
      <c r="H27" s="62"/>
      <c r="I27" s="74" t="s">
        <v>75</v>
      </c>
      <c r="J27" s="86"/>
      <c r="K27" s="91" t="s">
        <v>29</v>
      </c>
      <c r="L27" s="92"/>
      <c r="M27" s="94"/>
      <c r="N27" s="94"/>
      <c r="O27" s="95" t="s">
        <v>91</v>
      </c>
      <c r="P27" s="98"/>
      <c r="Q27" s="97"/>
      <c r="S27" s="48" t="e">
        <f>+#REF!*-1</f>
        <v>#REF!</v>
      </c>
    </row>
    <row r="28" spans="1:19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 t="shared" si="7"/>
        <v>0</v>
      </c>
      <c r="H28" s="62"/>
      <c r="I28" s="99" t="s">
        <v>78</v>
      </c>
      <c r="J28" s="86">
        <f>+J25+J26-J27</f>
        <v>2860.0556350000002</v>
      </c>
      <c r="K28" s="91" t="s">
        <v>30</v>
      </c>
      <c r="L28" s="92"/>
      <c r="M28" s="94"/>
      <c r="N28" s="94"/>
      <c r="O28" s="95" t="s">
        <v>91</v>
      </c>
      <c r="P28" s="100">
        <f>6555.25/500</f>
        <v>13.1105</v>
      </c>
      <c r="Q28" s="97">
        <f>+O8-P28</f>
        <v>2.6395</v>
      </c>
      <c r="S28" s="48">
        <f>+Q8*-1</f>
        <v>8.4389668000283109</v>
      </c>
    </row>
    <row r="29" spans="1:19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 t="shared" si="7"/>
        <v>0</v>
      </c>
      <c r="H29" s="62"/>
      <c r="I29" s="296" t="s">
        <v>94</v>
      </c>
      <c r="J29" s="297"/>
      <c r="K29" s="101" t="s">
        <v>31</v>
      </c>
      <c r="L29" s="92"/>
      <c r="M29" s="94"/>
      <c r="N29" s="94"/>
      <c r="O29" s="95" t="s">
        <v>93</v>
      </c>
      <c r="P29" s="100">
        <f>11892.04/990</f>
        <v>12.012161616161617</v>
      </c>
      <c r="Q29" s="97">
        <f>+O9-P29</f>
        <v>2.7378383838383833</v>
      </c>
      <c r="S29" s="48">
        <f>+Q9*-1</f>
        <v>11.56918033533816</v>
      </c>
    </row>
    <row r="30" spans="1:19" ht="15" customHeight="1" x14ac:dyDescent="0.3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 t="shared" si="7"/>
        <v>0</v>
      </c>
      <c r="H30" s="62"/>
      <c r="I30" s="72" t="s">
        <v>78</v>
      </c>
      <c r="J30" s="75">
        <f>+'23-03-2025'!I34</f>
        <v>-65</v>
      </c>
      <c r="K30" s="101" t="s">
        <v>32</v>
      </c>
      <c r="L30" s="92"/>
      <c r="M30" s="94"/>
      <c r="N30" s="94"/>
      <c r="O30" s="95" t="s">
        <v>96</v>
      </c>
      <c r="P30" s="100"/>
      <c r="Q30" s="97"/>
      <c r="S30" s="48" t="e">
        <f>+#REF!*-1</f>
        <v>#REF!</v>
      </c>
    </row>
    <row r="31" spans="1:19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0</v>
      </c>
      <c r="H31" s="104"/>
      <c r="I31" s="74" t="s">
        <v>98</v>
      </c>
      <c r="J31" s="105">
        <v>50</v>
      </c>
      <c r="K31" s="106" t="s">
        <v>33</v>
      </c>
      <c r="L31" s="92"/>
      <c r="M31" s="94"/>
      <c r="N31" s="94"/>
      <c r="O31" s="95" t="s">
        <v>91</v>
      </c>
      <c r="P31" s="100">
        <f>6649.01/500</f>
        <v>13.298020000000001</v>
      </c>
      <c r="Q31" s="97">
        <f>+O10-P31</f>
        <v>1.7919799999999988</v>
      </c>
      <c r="R31" s="3" t="s">
        <v>99</v>
      </c>
      <c r="S31" s="48">
        <f t="shared" ref="S31" si="8">+Q10*-1</f>
        <v>-3.4460063661747427</v>
      </c>
    </row>
    <row r="32" spans="1:19" ht="15" thickBot="1" x14ac:dyDescent="0.35">
      <c r="A32" s="266"/>
      <c r="B32" s="267"/>
      <c r="C32" s="267"/>
      <c r="D32" s="268"/>
      <c r="E32" s="268"/>
      <c r="F32" s="268"/>
      <c r="G32" s="268"/>
      <c r="H32" s="269"/>
      <c r="I32" s="74" t="s">
        <v>100</v>
      </c>
      <c r="J32" s="105"/>
      <c r="K32" s="107"/>
      <c r="L32" s="108"/>
      <c r="M32" s="94"/>
      <c r="N32" s="94"/>
      <c r="O32" s="95" t="s">
        <v>93</v>
      </c>
      <c r="P32" s="96"/>
      <c r="Q32" s="97"/>
      <c r="R32" s="109"/>
    </row>
    <row r="33" spans="1:18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75</v>
      </c>
      <c r="J33" s="113"/>
      <c r="K33" s="114" t="s">
        <v>106</v>
      </c>
      <c r="L33" s="115">
        <f>+O2</f>
        <v>45742</v>
      </c>
      <c r="M33" s="273" t="s">
        <v>107</v>
      </c>
      <c r="N33" s="274"/>
      <c r="O33" s="274"/>
      <c r="P33" s="275"/>
      <c r="Q33" s="116"/>
      <c r="R33" s="109"/>
    </row>
    <row r="34" spans="1:18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78</v>
      </c>
      <c r="J34" s="124">
        <f>+J30-J31-J32+J33</f>
        <v>-115</v>
      </c>
      <c r="K34" s="118" t="s">
        <v>58</v>
      </c>
      <c r="L34" s="125">
        <v>2787.4000000000005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5">
      <c r="A35" s="126" t="s">
        <v>109</v>
      </c>
      <c r="B35" s="127">
        <v>507.46</v>
      </c>
      <c r="C35" s="127"/>
      <c r="D35" s="128" t="s">
        <v>110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111</v>
      </c>
      <c r="J35" s="280"/>
      <c r="K35" s="133" t="s">
        <v>29</v>
      </c>
      <c r="L35" s="134">
        <v>1058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5">
      <c r="A36" s="135" t="s">
        <v>112</v>
      </c>
      <c r="B36" s="136">
        <v>200</v>
      </c>
      <c r="C36" s="136">
        <v>381.8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137" t="s">
        <v>68</v>
      </c>
      <c r="J36" s="138">
        <f>+'03-03-2025'!I39</f>
        <v>274.83</v>
      </c>
      <c r="K36" s="128" t="s">
        <v>113</v>
      </c>
      <c r="L36" s="134"/>
      <c r="M36" s="281" t="s">
        <v>114</v>
      </c>
      <c r="N36" s="281"/>
      <c r="O36" s="140">
        <f>+L33</f>
        <v>45742</v>
      </c>
      <c r="P36" s="140"/>
      <c r="Q36" s="116"/>
      <c r="R36" s="109"/>
    </row>
    <row r="37" spans="1:18" ht="16.2" thickBot="1" x14ac:dyDescent="0.35">
      <c r="A37" s="135"/>
      <c r="B37" s="141"/>
      <c r="C37" s="142"/>
      <c r="D37" s="128" t="s">
        <v>33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69</v>
      </c>
      <c r="J37" s="143"/>
      <c r="K37" s="144" t="s">
        <v>115</v>
      </c>
      <c r="L37" s="265"/>
      <c r="M37" s="146" t="s">
        <v>58</v>
      </c>
      <c r="N37" s="147" t="s">
        <v>116</v>
      </c>
      <c r="O37" s="148">
        <f>+L34</f>
        <v>2787.4000000000005</v>
      </c>
      <c r="P37" s="149"/>
      <c r="Q37" s="150"/>
      <c r="R37" s="109"/>
    </row>
    <row r="38" spans="1:18" ht="16.2" thickBot="1" x14ac:dyDescent="0.35">
      <c r="A38" s="151" t="s">
        <v>117</v>
      </c>
      <c r="B38" s="152">
        <f>SUM(B35:B37)</f>
        <v>707.46</v>
      </c>
      <c r="C38" s="153">
        <f>SUM(C35:C37)</f>
        <v>381.8</v>
      </c>
      <c r="D38" s="144" t="s">
        <v>29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75</v>
      </c>
      <c r="J38" s="158"/>
      <c r="K38" s="159" t="s">
        <v>97</v>
      </c>
      <c r="L38" s="160">
        <f>SUM(L34:L37)</f>
        <v>3845.4000000000005</v>
      </c>
      <c r="M38" s="161" t="s">
        <v>29</v>
      </c>
      <c r="N38" s="162" t="s">
        <v>118</v>
      </c>
      <c r="O38" s="163">
        <f>+L35</f>
        <v>1058</v>
      </c>
      <c r="P38" s="164"/>
      <c r="Q38" s="150"/>
      <c r="R38" s="109"/>
    </row>
    <row r="39" spans="1:18" ht="24.6" thickTop="1" thickBot="1" x14ac:dyDescent="0.5">
      <c r="A39" s="165" t="s">
        <v>119</v>
      </c>
      <c r="B39" s="166">
        <f>SUM(B38:C38)</f>
        <v>1089.26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78</v>
      </c>
      <c r="J39" s="124">
        <f>+J36+J37-J38</f>
        <v>274.83</v>
      </c>
      <c r="K39" s="173" t="s">
        <v>120</v>
      </c>
      <c r="L39" s="174">
        <f>+P23-L38</f>
        <v>0</v>
      </c>
      <c r="M39" s="282" t="s">
        <v>97</v>
      </c>
      <c r="N39" s="283"/>
      <c r="O39" s="284">
        <f>SUM(O37:P38)</f>
        <v>3845.4000000000005</v>
      </c>
      <c r="P39" s="285"/>
      <c r="Q39" s="150"/>
      <c r="R39" s="109"/>
    </row>
    <row r="40" spans="1:18" ht="15" thickBot="1" x14ac:dyDescent="0.35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79"/>
      <c r="F41" s="180"/>
      <c r="G41" s="183"/>
      <c r="H41" s="270" t="s">
        <v>125</v>
      </c>
      <c r="I41" s="271"/>
      <c r="J41" s="271"/>
      <c r="K41" s="271"/>
      <c r="L41" s="272"/>
      <c r="P41" s="181"/>
      <c r="Q41" s="150"/>
    </row>
    <row r="42" spans="1:18" ht="15.6" x14ac:dyDescent="0.3">
      <c r="A42" s="182" t="s">
        <v>30</v>
      </c>
      <c r="B42" s="183">
        <f>IF(D42&gt;"0",0,(D42/C42))</f>
        <v>77.236190476190473</v>
      </c>
      <c r="C42" s="184">
        <v>15.75</v>
      </c>
      <c r="D42" s="185">
        <v>1216.47</v>
      </c>
      <c r="E42" s="186"/>
      <c r="F42" s="186"/>
      <c r="G42" s="183"/>
      <c r="H42" s="187" t="s">
        <v>126</v>
      </c>
      <c r="I42" s="188" t="s">
        <v>190</v>
      </c>
      <c r="J42" s="189">
        <v>2.0185</v>
      </c>
      <c r="K42" s="190">
        <f>+I42/J42</f>
        <v>1431.7562546445381</v>
      </c>
      <c r="L42" s="191" t="s">
        <v>127</v>
      </c>
      <c r="M42" s="192"/>
      <c r="N42" s="193" t="s">
        <v>2</v>
      </c>
      <c r="O42" s="194"/>
      <c r="Q42" s="3"/>
    </row>
    <row r="43" spans="1:18" ht="15.6" x14ac:dyDescent="0.3">
      <c r="A43" s="182" t="s">
        <v>31</v>
      </c>
      <c r="B43" s="183">
        <f>IF(D43&gt;"0",0,(D43/C43))</f>
        <v>116.09491525423729</v>
      </c>
      <c r="C43" s="184">
        <v>14.75</v>
      </c>
      <c r="D43" s="185">
        <v>1712.4</v>
      </c>
      <c r="E43" s="186"/>
      <c r="F43" s="186"/>
      <c r="G43" s="183"/>
      <c r="H43" s="195" t="s">
        <v>128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129</v>
      </c>
      <c r="M43" s="200"/>
      <c r="N43" s="193" t="s">
        <v>130</v>
      </c>
      <c r="O43" s="194"/>
      <c r="P43" s="201"/>
      <c r="Q43" s="3"/>
    </row>
    <row r="44" spans="1:18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6" x14ac:dyDescent="0.3">
      <c r="A45" s="182" t="s">
        <v>131</v>
      </c>
      <c r="B45" s="183">
        <f>IF(D45&gt;"0",0,(D45/C45))</f>
        <v>40.823061630218689</v>
      </c>
      <c r="C45" s="184">
        <v>15.09</v>
      </c>
      <c r="D45" s="185">
        <v>616.02</v>
      </c>
      <c r="E45" s="186"/>
      <c r="F45" s="186"/>
      <c r="G45" s="183"/>
      <c r="H45" s="206" t="s">
        <v>132</v>
      </c>
      <c r="I45" s="207">
        <f>+K45/J45</f>
        <v>2.2852324803565986</v>
      </c>
      <c r="J45" s="208">
        <f>+J43</f>
        <v>3.7854000000000001</v>
      </c>
      <c r="K45" s="209">
        <f>+L45/I42</f>
        <v>8.6505190311418687</v>
      </c>
      <c r="L45" s="210">
        <v>25000</v>
      </c>
      <c r="M45" s="200" t="s">
        <v>34</v>
      </c>
      <c r="N45" s="211" t="s">
        <v>133</v>
      </c>
      <c r="O45" s="3" t="s">
        <v>116</v>
      </c>
      <c r="P45" s="201"/>
      <c r="Q45" s="3"/>
      <c r="R45" s="201"/>
    </row>
    <row r="46" spans="1:18" ht="15.6" x14ac:dyDescent="0.3">
      <c r="A46" s="182" t="s">
        <v>29</v>
      </c>
      <c r="B46" s="183">
        <f>IF(D46&gt;"0",0,(D46/C46))</f>
        <v>192.23631508678235</v>
      </c>
      <c r="C46" s="184">
        <v>7.49</v>
      </c>
      <c r="D46" s="185">
        <v>1439.85</v>
      </c>
      <c r="E46" s="186"/>
      <c r="F46" s="186"/>
      <c r="G46" s="183"/>
      <c r="H46" s="262">
        <f>(L34+B38+P21+P22+P20+L36)-SUM(D42:D45)+(P18+P19)</f>
        <v>-2.9999999999290594E-2</v>
      </c>
      <c r="I46" s="203" t="s">
        <v>134</v>
      </c>
      <c r="J46" s="196" t="s">
        <v>135</v>
      </c>
      <c r="K46" s="214">
        <v>2.1061999999999999</v>
      </c>
      <c r="L46" s="215"/>
      <c r="M46" s="200"/>
      <c r="N46" s="3" t="s">
        <v>136</v>
      </c>
      <c r="O46" s="194"/>
      <c r="P46" s="201"/>
      <c r="Q46" s="3"/>
      <c r="R46" s="201"/>
    </row>
    <row r="47" spans="1:18" ht="16.5" customHeight="1" thickBot="1" x14ac:dyDescent="0.35">
      <c r="A47" s="180"/>
      <c r="B47" s="216">
        <f>SUM(B42:B46)</f>
        <v>426.39048244742878</v>
      </c>
      <c r="C47" s="216"/>
      <c r="D47" s="217">
        <f>SUM(D42:D46)</f>
        <v>4984.74</v>
      </c>
      <c r="E47" s="217">
        <v>4984.74</v>
      </c>
      <c r="F47" s="186"/>
      <c r="G47" s="183"/>
      <c r="H47" s="263">
        <f>(C36+L35+L37)-D46</f>
        <v>-4.9999999999954525E-2</v>
      </c>
      <c r="I47" s="220" t="s">
        <v>90</v>
      </c>
      <c r="J47" s="221" t="s">
        <v>137</v>
      </c>
      <c r="K47" s="222">
        <v>2.0185</v>
      </c>
      <c r="L47" s="223">
        <f>+K45-K43</f>
        <v>1.1605190311418685</v>
      </c>
      <c r="M47" s="200"/>
      <c r="N47" s="205" t="s">
        <v>138</v>
      </c>
      <c r="O47" s="194"/>
      <c r="P47" s="201"/>
      <c r="Q47" s="3"/>
      <c r="R47" s="201"/>
    </row>
    <row r="48" spans="1:18" ht="16.2" thickTop="1" x14ac:dyDescent="0.3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3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6" x14ac:dyDescent="0.3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6" x14ac:dyDescent="0.3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6" x14ac:dyDescent="0.3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6" x14ac:dyDescent="0.3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6" x14ac:dyDescent="0.3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6" x14ac:dyDescent="0.3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6" x14ac:dyDescent="0.3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6" x14ac:dyDescent="0.3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6" x14ac:dyDescent="0.3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6" x14ac:dyDescent="0.3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6" x14ac:dyDescent="0.3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6" x14ac:dyDescent="0.3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6" x14ac:dyDescent="0.3">
      <c r="A62" s="244"/>
      <c r="D62" s="229"/>
      <c r="F62" s="250"/>
      <c r="G62" s="246"/>
      <c r="N62" s="109"/>
      <c r="O62" s="109"/>
      <c r="P62" s="109"/>
      <c r="Q62" s="3"/>
    </row>
    <row r="63" spans="1:17" x14ac:dyDescent="0.3">
      <c r="A63" s="238"/>
      <c r="D63" s="109"/>
      <c r="F63" s="249"/>
      <c r="G63" s="246"/>
      <c r="N63" s="109"/>
      <c r="O63" s="109"/>
      <c r="P63" s="109"/>
      <c r="Q63" s="3"/>
    </row>
    <row r="64" spans="1:17" x14ac:dyDescent="0.3">
      <c r="A64" s="238"/>
      <c r="F64" s="249"/>
      <c r="G64" s="246"/>
      <c r="N64" s="109"/>
      <c r="O64" s="109"/>
      <c r="P64" s="109"/>
      <c r="Q64" s="3"/>
    </row>
    <row r="65" spans="1:20" x14ac:dyDescent="0.3">
      <c r="A65" s="238">
        <v>84</v>
      </c>
      <c r="F65" s="251"/>
      <c r="G65" s="246"/>
      <c r="N65" s="109"/>
      <c r="Q65" s="3"/>
    </row>
    <row r="66" spans="1:20" x14ac:dyDescent="0.3">
      <c r="A66" s="244" t="s">
        <v>131</v>
      </c>
      <c r="F66" s="249"/>
      <c r="G66" s="246"/>
      <c r="N66" s="109"/>
      <c r="Q66" s="3"/>
    </row>
    <row r="67" spans="1:20" x14ac:dyDescent="0.3">
      <c r="A67" s="85"/>
      <c r="F67" s="247"/>
      <c r="G67" s="246"/>
      <c r="N67" s="109"/>
      <c r="Q67" s="3"/>
    </row>
    <row r="68" spans="1:20" x14ac:dyDescent="0.3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3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3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3">
      <c r="A71" s="244" t="s">
        <v>131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3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3">
      <c r="A73" s="244" t="s">
        <v>29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3">
      <c r="A74" s="244" t="s">
        <v>29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3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3">
      <c r="A76" s="244" t="s">
        <v>29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3">
      <c r="A77" s="244" t="s">
        <v>29</v>
      </c>
      <c r="F77" s="255"/>
      <c r="G77" s="254"/>
      <c r="N77" s="109"/>
      <c r="O77" s="109"/>
      <c r="P77" s="109"/>
      <c r="Q77" s="109"/>
      <c r="R77" s="200"/>
    </row>
    <row r="78" spans="1:20" x14ac:dyDescent="0.3">
      <c r="A78" s="85"/>
      <c r="F78" s="255"/>
      <c r="G78" s="228"/>
      <c r="N78" s="109"/>
      <c r="O78" s="109"/>
      <c r="P78" s="109"/>
      <c r="Q78" s="109"/>
      <c r="R78" s="200"/>
    </row>
    <row r="79" spans="1:20" x14ac:dyDescent="0.3">
      <c r="A79" s="85"/>
      <c r="F79" s="239"/>
      <c r="G79" s="228"/>
      <c r="N79" s="109"/>
      <c r="O79" s="109"/>
      <c r="P79" s="109"/>
      <c r="Q79" s="109"/>
      <c r="R79" s="200"/>
    </row>
    <row r="80" spans="1:20" x14ac:dyDescent="0.3">
      <c r="A80" s="85"/>
      <c r="F80" s="241"/>
      <c r="G80" s="228"/>
      <c r="N80" s="109"/>
      <c r="O80" s="109"/>
      <c r="P80" s="109"/>
      <c r="Q80" s="109"/>
      <c r="R80" s="200"/>
    </row>
    <row r="81" spans="1:19" x14ac:dyDescent="0.3">
      <c r="A81" s="85"/>
      <c r="F81" s="241"/>
      <c r="G81" s="228"/>
      <c r="N81" s="109"/>
      <c r="O81" s="109"/>
      <c r="P81" s="109"/>
      <c r="Q81" s="109"/>
      <c r="R81" s="200"/>
    </row>
    <row r="82" spans="1:19" x14ac:dyDescent="0.3">
      <c r="A82" s="85"/>
      <c r="F82" s="228"/>
      <c r="G82" s="228"/>
      <c r="N82" s="109"/>
      <c r="O82" s="109"/>
      <c r="P82" s="109"/>
      <c r="Q82" s="109"/>
    </row>
    <row r="83" spans="1:19" x14ac:dyDescent="0.3">
      <c r="N83" s="109"/>
      <c r="O83" s="109"/>
      <c r="P83" s="109"/>
      <c r="Q83" s="109"/>
    </row>
    <row r="84" spans="1:19" x14ac:dyDescent="0.3">
      <c r="N84" s="109"/>
      <c r="O84" s="257"/>
      <c r="P84" s="257"/>
      <c r="Q84" s="109"/>
    </row>
    <row r="85" spans="1:19" x14ac:dyDescent="0.3">
      <c r="N85" s="109"/>
      <c r="O85" s="257"/>
      <c r="P85" s="257"/>
      <c r="Q85" s="109"/>
    </row>
    <row r="86" spans="1:19" x14ac:dyDescent="0.3">
      <c r="N86" s="109"/>
      <c r="O86" s="257"/>
      <c r="P86" s="257"/>
      <c r="Q86" s="109"/>
    </row>
    <row r="87" spans="1:19" x14ac:dyDescent="0.3">
      <c r="N87" s="109"/>
      <c r="O87" s="257"/>
      <c r="P87" s="257"/>
      <c r="Q87" s="109"/>
    </row>
    <row r="88" spans="1:19" x14ac:dyDescent="0.3">
      <c r="N88" s="109"/>
      <c r="O88" s="257"/>
      <c r="P88" s="257"/>
      <c r="Q88" s="109"/>
    </row>
    <row r="89" spans="1:19" x14ac:dyDescent="0.3">
      <c r="N89" s="109"/>
      <c r="O89" s="257"/>
      <c r="P89" s="257"/>
      <c r="Q89" s="109"/>
      <c r="S89" s="256"/>
    </row>
    <row r="90" spans="1:19" x14ac:dyDescent="0.3">
      <c r="Q90" s="3"/>
    </row>
    <row r="91" spans="1:19" x14ac:dyDescent="0.3">
      <c r="Q91" s="3"/>
    </row>
    <row r="92" spans="1:19" x14ac:dyDescent="0.3">
      <c r="Q92" s="3"/>
    </row>
    <row r="93" spans="1:19" s="70" customFormat="1" x14ac:dyDescent="0.3">
      <c r="H93" s="3"/>
      <c r="I93" s="3"/>
      <c r="J93" s="3"/>
      <c r="K93" s="3"/>
      <c r="L93" s="3"/>
      <c r="M93" s="3"/>
    </row>
    <row r="94" spans="1:19" s="70" customFormat="1" x14ac:dyDescent="0.3">
      <c r="H94" s="3"/>
      <c r="I94" s="3"/>
      <c r="J94" s="3"/>
      <c r="K94" s="3"/>
      <c r="L94" s="3"/>
      <c r="M94" s="3"/>
    </row>
    <row r="95" spans="1:19" s="70" customFormat="1" x14ac:dyDescent="0.3">
      <c r="H95" s="3"/>
      <c r="I95" s="3"/>
      <c r="J95" s="3"/>
      <c r="K95" s="3"/>
      <c r="L95" s="3"/>
      <c r="M95" s="3"/>
    </row>
    <row r="96" spans="1:19" s="70" customFormat="1" x14ac:dyDescent="0.3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3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3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" thickBot="1" x14ac:dyDescent="0.35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3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3">
      <c r="N101" s="109"/>
      <c r="O101" s="257"/>
      <c r="P101" s="257"/>
      <c r="Q101" s="109"/>
    </row>
    <row r="102" spans="8:17" x14ac:dyDescent="0.3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3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3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3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3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3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3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3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3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3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3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" thickBot="1" x14ac:dyDescent="0.35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3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3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3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3">
      <c r="N117" s="109"/>
      <c r="O117" s="257"/>
    </row>
    <row r="118" spans="8:17" x14ac:dyDescent="0.3">
      <c r="N118" s="109"/>
      <c r="O118" s="257"/>
    </row>
    <row r="119" spans="8:17" x14ac:dyDescent="0.3">
      <c r="N119" s="109"/>
      <c r="O119" s="205"/>
    </row>
    <row r="120" spans="8:17" x14ac:dyDescent="0.3">
      <c r="N120" s="109"/>
    </row>
    <row r="121" spans="8:17" x14ac:dyDescent="0.3">
      <c r="N121" s="109"/>
    </row>
    <row r="122" spans="8:17" x14ac:dyDescent="0.3">
      <c r="N122" s="109"/>
    </row>
    <row r="123" spans="8:17" x14ac:dyDescent="0.3">
      <c r="N123" s="109"/>
    </row>
    <row r="124" spans="8:17" x14ac:dyDescent="0.3">
      <c r="N124" s="109"/>
    </row>
    <row r="125" spans="8:17" x14ac:dyDescent="0.3">
      <c r="N125" s="109"/>
    </row>
    <row r="126" spans="8:17" ht="15" thickBot="1" x14ac:dyDescent="0.35">
      <c r="N126" s="109"/>
      <c r="O126" s="261"/>
      <c r="P126" s="261"/>
    </row>
    <row r="127" spans="8:17" s="70" customFormat="1" x14ac:dyDescent="0.3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3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3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3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3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3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3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3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3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3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3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3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3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3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" thickBot="1" x14ac:dyDescent="0.35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 xr:uid="{00000000-0009-0000-0000-000005000000}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906E-ACA2-4CC3-BDF9-66DE2D2CC6FB}">
  <sheetPr>
    <pageSetUpPr fitToPage="1"/>
  </sheetPr>
  <dimension ref="A1:X141"/>
  <sheetViews>
    <sheetView zoomScale="90" zoomScaleNormal="90" workbookViewId="0">
      <selection activeCell="E15" sqref="E15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3.44140625" style="3" bestFit="1" customWidth="1"/>
    <col min="6" max="6" width="12.6640625" style="3" customWidth="1"/>
    <col min="7" max="7" width="11.33203125" style="3" customWidth="1"/>
    <col min="8" max="8" width="12" style="3" customWidth="1"/>
    <col min="9" max="9" width="12.109375" style="3" customWidth="1"/>
    <col min="10" max="10" width="11.44140625" style="3" customWidth="1"/>
    <col min="11" max="11" width="12.109375" style="3" bestFit="1" customWidth="1"/>
    <col min="12" max="12" width="13.33203125" style="3" bestFit="1" customWidth="1"/>
    <col min="13" max="13" width="12.44140625" style="3" customWidth="1"/>
    <col min="14" max="14" width="14.6640625" style="3" customWidth="1"/>
    <col min="15" max="15" width="15" style="3" customWidth="1"/>
    <col min="16" max="16" width="16" style="3" customWidth="1"/>
    <col min="17" max="17" width="11.44140625" style="70" bestFit="1" customWidth="1"/>
    <col min="18" max="18" width="3.44140625" style="3" customWidth="1"/>
    <col min="19" max="19" width="13.109375" style="3" customWidth="1"/>
    <col min="20" max="20" width="12" style="3" bestFit="1" customWidth="1"/>
    <col min="21" max="16384" width="11.44140625" style="3"/>
  </cols>
  <sheetData>
    <row r="1" spans="1:24" x14ac:dyDescent="0.3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3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45743</v>
      </c>
      <c r="P2" s="354"/>
      <c r="Q2" s="5">
        <v>45658</v>
      </c>
    </row>
    <row r="3" spans="1:24" ht="15" thickBot="1" x14ac:dyDescent="0.35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86</v>
      </c>
      <c r="P3" s="359"/>
      <c r="Q3" s="5">
        <v>44197</v>
      </c>
      <c r="R3" s="7"/>
    </row>
    <row r="4" spans="1:24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3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24</v>
      </c>
      <c r="L6" s="16" t="s">
        <v>17</v>
      </c>
      <c r="M6" s="16" t="s">
        <v>24</v>
      </c>
      <c r="N6" s="16" t="s">
        <v>25</v>
      </c>
      <c r="O6" s="16" t="s">
        <v>26</v>
      </c>
      <c r="P6" s="17" t="s">
        <v>27</v>
      </c>
      <c r="Q6" s="18" t="s">
        <v>28</v>
      </c>
      <c r="R6" s="19"/>
    </row>
    <row r="7" spans="1:24" s="31" customFormat="1" ht="15" customHeight="1" x14ac:dyDescent="0.3">
      <c r="A7" s="20" t="s">
        <v>29</v>
      </c>
      <c r="B7" s="21">
        <f>+'26-03-2025'!K7</f>
        <v>2832.4299027532147</v>
      </c>
      <c r="C7" s="22">
        <f>L26+L27</f>
        <v>0</v>
      </c>
      <c r="D7" s="23"/>
      <c r="E7" s="23"/>
      <c r="F7" s="24">
        <f t="shared" ref="F7:F10" si="0">+B7+C7+D7+E7</f>
        <v>2832.4299027532147</v>
      </c>
      <c r="G7" s="25">
        <f>B46-H7</f>
        <v>155.37516688918558</v>
      </c>
      <c r="H7" s="22"/>
      <c r="I7" s="26"/>
      <c r="J7" s="21">
        <f t="shared" ref="J7:J10" si="1">+G7+H7+I7</f>
        <v>155.37516688918558</v>
      </c>
      <c r="K7" s="21">
        <f t="shared" ref="K7:K10" si="2">+F7-J7</f>
        <v>2677.0547358640292</v>
      </c>
      <c r="L7" s="27">
        <f>+'26-03-2025'!M7</f>
        <v>2832.4299027532147</v>
      </c>
      <c r="M7" s="28">
        <v>2677.0547358640292</v>
      </c>
      <c r="N7" s="24">
        <f t="shared" ref="N7:N10" si="3">+G7</f>
        <v>155.37516688918558</v>
      </c>
      <c r="O7" s="24">
        <f>+C46</f>
        <v>7.49</v>
      </c>
      <c r="P7" s="29">
        <f t="shared" ref="P7:P10" si="4">+N7*O7</f>
        <v>1163.76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3">
      <c r="A8" s="20" t="s">
        <v>30</v>
      </c>
      <c r="B8" s="21">
        <f>+'26-03-2025'!K8</f>
        <v>628.43896680002831</v>
      </c>
      <c r="C8" s="22">
        <f>L28</f>
        <v>990</v>
      </c>
      <c r="D8" s="33"/>
      <c r="E8" s="23"/>
      <c r="F8" s="24">
        <f t="shared" si="0"/>
        <v>1618.4389668000283</v>
      </c>
      <c r="G8" s="25">
        <f>+B42-H8</f>
        <v>77.725079365079367</v>
      </c>
      <c r="H8" s="22">
        <f>+E8</f>
        <v>0</v>
      </c>
      <c r="I8" s="26"/>
      <c r="J8" s="21">
        <f t="shared" si="1"/>
        <v>77.725079365079367</v>
      </c>
      <c r="K8" s="21">
        <f t="shared" si="2"/>
        <v>1540.7138874349489</v>
      </c>
      <c r="L8" s="27">
        <f>+'26-03-2025'!M8</f>
        <v>620</v>
      </c>
      <c r="M8" s="28">
        <v>1535</v>
      </c>
      <c r="N8" s="24">
        <f t="shared" si="3"/>
        <v>77.725079365079367</v>
      </c>
      <c r="O8" s="24">
        <f>+C42</f>
        <v>15.75</v>
      </c>
      <c r="P8" s="29">
        <f t="shared" si="4"/>
        <v>1224.17</v>
      </c>
      <c r="Q8" s="30">
        <f t="shared" si="5"/>
        <v>-5.7138874349489015</v>
      </c>
      <c r="S8" s="32"/>
      <c r="T8" s="35">
        <v>150</v>
      </c>
      <c r="U8" s="32"/>
      <c r="V8" s="32"/>
      <c r="W8" s="36"/>
      <c r="X8" s="36"/>
    </row>
    <row r="9" spans="1:24" s="31" customFormat="1" x14ac:dyDescent="0.3">
      <c r="A9" s="37" t="s">
        <v>31</v>
      </c>
      <c r="B9" s="21">
        <f>+'26-03-2025'!K9</f>
        <v>1196.5691803353382</v>
      </c>
      <c r="C9" s="22">
        <f>L29</f>
        <v>0</v>
      </c>
      <c r="D9" s="33"/>
      <c r="E9" s="23"/>
      <c r="F9" s="24">
        <f t="shared" si="0"/>
        <v>1196.5691803353382</v>
      </c>
      <c r="G9" s="25">
        <f>+B43-H9</f>
        <v>90.613559322033893</v>
      </c>
      <c r="H9" s="22">
        <f>+E9</f>
        <v>0</v>
      </c>
      <c r="I9" s="26"/>
      <c r="J9" s="21">
        <f t="shared" si="1"/>
        <v>90.613559322033893</v>
      </c>
      <c r="K9" s="21">
        <f t="shared" si="2"/>
        <v>1105.9556210133042</v>
      </c>
      <c r="L9" s="27">
        <f>+'26-03-2025'!M9</f>
        <v>1185</v>
      </c>
      <c r="M9" s="28">
        <v>1095</v>
      </c>
      <c r="N9" s="24">
        <f t="shared" si="3"/>
        <v>90.613559322033893</v>
      </c>
      <c r="O9" s="24">
        <f>+C43</f>
        <v>14.75</v>
      </c>
      <c r="P9" s="29">
        <f t="shared" si="4"/>
        <v>1336.55</v>
      </c>
      <c r="Q9" s="30">
        <f t="shared" si="5"/>
        <v>-10.955621013304153</v>
      </c>
      <c r="R9" s="34"/>
      <c r="S9" s="32"/>
      <c r="T9" s="38">
        <v>160</v>
      </c>
      <c r="U9" s="32"/>
    </row>
    <row r="10" spans="1:24" s="31" customFormat="1" ht="15" thickBot="1" x14ac:dyDescent="0.35">
      <c r="A10" s="39" t="s">
        <v>197</v>
      </c>
      <c r="B10" s="21">
        <f>+'26-03-2025'!K10</f>
        <v>941.55399363382526</v>
      </c>
      <c r="C10" s="40">
        <f>L31</f>
        <v>0</v>
      </c>
      <c r="D10" s="41"/>
      <c r="E10" s="42"/>
      <c r="F10" s="24">
        <f t="shared" si="0"/>
        <v>941.55399363382526</v>
      </c>
      <c r="G10" s="43">
        <f>+B45-H10</f>
        <v>82.277667329357186</v>
      </c>
      <c r="H10" s="40">
        <f>+E10</f>
        <v>0</v>
      </c>
      <c r="I10" s="26"/>
      <c r="J10" s="44">
        <f t="shared" si="1"/>
        <v>82.277667329357186</v>
      </c>
      <c r="K10" s="44">
        <f t="shared" si="2"/>
        <v>859.27632630446806</v>
      </c>
      <c r="L10" s="27">
        <f>+'26-03-2025'!M10</f>
        <v>945</v>
      </c>
      <c r="M10" s="28">
        <v>860</v>
      </c>
      <c r="N10" s="42">
        <f t="shared" si="3"/>
        <v>82.277667329357186</v>
      </c>
      <c r="O10" s="42">
        <f>+C45</f>
        <v>15.09</v>
      </c>
      <c r="P10" s="45">
        <f t="shared" si="4"/>
        <v>1241.57</v>
      </c>
      <c r="Q10" s="30">
        <f t="shared" si="5"/>
        <v>0.72367369553194294</v>
      </c>
      <c r="R10" s="34"/>
      <c r="S10" s="32"/>
      <c r="T10" s="38">
        <v>190</v>
      </c>
      <c r="U10" s="32"/>
    </row>
    <row r="11" spans="1:24" s="31" customFormat="1" ht="15" thickBot="1" x14ac:dyDescent="0.35">
      <c r="A11" s="46" t="s">
        <v>34</v>
      </c>
      <c r="B11" s="21">
        <f t="shared" ref="B11:N11" si="6">SUM(B7:B10)</f>
        <v>5598.9920435224067</v>
      </c>
      <c r="C11" s="21">
        <f t="shared" si="6"/>
        <v>990</v>
      </c>
      <c r="D11" s="21">
        <f t="shared" si="6"/>
        <v>0</v>
      </c>
      <c r="E11" s="21">
        <f t="shared" si="6"/>
        <v>0</v>
      </c>
      <c r="F11" s="21">
        <f t="shared" si="6"/>
        <v>6588.9920435224067</v>
      </c>
      <c r="G11" s="21">
        <f t="shared" si="6"/>
        <v>405.99147290565605</v>
      </c>
      <c r="H11" s="21">
        <f t="shared" si="6"/>
        <v>0</v>
      </c>
      <c r="I11" s="21">
        <f t="shared" si="6"/>
        <v>0</v>
      </c>
      <c r="J11" s="21">
        <f t="shared" si="6"/>
        <v>405.99147290565605</v>
      </c>
      <c r="K11" s="21">
        <f t="shared" si="6"/>
        <v>6183.0005706167503</v>
      </c>
      <c r="L11" s="27">
        <f t="shared" si="6"/>
        <v>5582.4299027532143</v>
      </c>
      <c r="M11" s="21">
        <f t="shared" si="6"/>
        <v>6167.0547358640288</v>
      </c>
      <c r="N11" s="21">
        <f t="shared" si="6"/>
        <v>405.99147290565605</v>
      </c>
      <c r="O11" s="21"/>
      <c r="P11" s="21">
        <f>SUM(P7:P10)</f>
        <v>4966.05</v>
      </c>
      <c r="Q11" s="47"/>
    </row>
    <row r="12" spans="1:24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I12" s="326" t="s">
        <v>36</v>
      </c>
      <c r="J12" s="327"/>
      <c r="K12" s="327"/>
      <c r="L12" s="328"/>
      <c r="M12" s="329" t="s">
        <v>37</v>
      </c>
      <c r="N12" s="330"/>
      <c r="O12" s="330"/>
      <c r="P12" s="331"/>
      <c r="Q12" s="48"/>
      <c r="R12" s="31"/>
    </row>
    <row r="13" spans="1:24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1" t="s">
        <v>44</v>
      </c>
      <c r="J13" s="322"/>
      <c r="K13" s="52" t="s">
        <v>45</v>
      </c>
      <c r="L13" s="51" t="s">
        <v>46</v>
      </c>
      <c r="M13" s="309" t="s">
        <v>47</v>
      </c>
      <c r="N13" s="310"/>
      <c r="O13" s="53" t="s">
        <v>48</v>
      </c>
      <c r="P13" s="54" t="s">
        <v>42</v>
      </c>
      <c r="Q13" s="48"/>
    </row>
    <row r="14" spans="1:24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 t="shared" ref="G14:G30" si="7">+E14*F14</f>
        <v>0</v>
      </c>
      <c r="H14" s="62"/>
      <c r="I14" s="315" t="s">
        <v>52</v>
      </c>
      <c r="J14" s="316"/>
      <c r="K14" s="63"/>
      <c r="L14" s="63"/>
      <c r="M14" s="309" t="s">
        <v>53</v>
      </c>
      <c r="N14" s="310"/>
      <c r="O14" s="64">
        <f>+G11</f>
        <v>405.99147290565605</v>
      </c>
      <c r="P14" s="65">
        <f>+P11</f>
        <v>4966.05</v>
      </c>
      <c r="Q14" s="48"/>
    </row>
    <row r="15" spans="1:24" ht="15" thickBot="1" x14ac:dyDescent="0.35">
      <c r="A15" s="286" t="s">
        <v>54</v>
      </c>
      <c r="B15" s="287"/>
      <c r="C15" s="57" t="s">
        <v>50</v>
      </c>
      <c r="D15" s="58" t="s">
        <v>55</v>
      </c>
      <c r="E15" s="59"/>
      <c r="F15" s="60">
        <v>0.2</v>
      </c>
      <c r="G15" s="61">
        <f t="shared" si="7"/>
        <v>0</v>
      </c>
      <c r="H15" s="62"/>
      <c r="I15" s="317" t="s">
        <v>56</v>
      </c>
      <c r="J15" s="318"/>
      <c r="K15" s="66"/>
      <c r="L15" s="66"/>
      <c r="M15" s="309" t="s">
        <v>57</v>
      </c>
      <c r="N15" s="310"/>
      <c r="O15" s="67" t="s">
        <v>58</v>
      </c>
      <c r="P15" s="65">
        <f>+B38</f>
        <v>1770.1799999999998</v>
      </c>
      <c r="Q15" s="48">
        <f>+Q7/60</f>
        <v>0</v>
      </c>
    </row>
    <row r="16" spans="1:24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57</v>
      </c>
      <c r="N16" s="310"/>
      <c r="O16" s="67" t="s">
        <v>29</v>
      </c>
      <c r="P16" s="65">
        <f>+C38</f>
        <v>288.8</v>
      </c>
      <c r="Q16" s="48"/>
    </row>
    <row r="17" spans="1:19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 t="shared" si="7"/>
        <v>0</v>
      </c>
      <c r="H17" s="62"/>
      <c r="I17" s="311" t="s">
        <v>62</v>
      </c>
      <c r="J17" s="312"/>
      <c r="K17" s="313" t="s">
        <v>63</v>
      </c>
      <c r="L17" s="314"/>
      <c r="M17" s="288" t="s">
        <v>64</v>
      </c>
      <c r="N17" s="289"/>
      <c r="O17" s="290"/>
      <c r="P17" s="69">
        <v>0.27000000000020918</v>
      </c>
    </row>
    <row r="18" spans="1:19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 t="shared" si="7"/>
        <v>0</v>
      </c>
      <c r="H18" s="71"/>
      <c r="I18" s="296" t="s">
        <v>65</v>
      </c>
      <c r="J18" s="297"/>
      <c r="K18" s="301" t="s">
        <v>66</v>
      </c>
      <c r="L18" s="302"/>
      <c r="M18" s="360"/>
      <c r="N18" s="360"/>
      <c r="O18" s="361"/>
      <c r="P18" s="69"/>
    </row>
    <row r="19" spans="1:19" ht="15" customHeight="1" x14ac:dyDescent="0.3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 t="shared" si="7"/>
        <v>0</v>
      </c>
      <c r="H19" s="62"/>
      <c r="I19" s="72" t="s">
        <v>68</v>
      </c>
      <c r="J19" s="73">
        <f>+'[1]03'!J25</f>
        <v>4101.5004099999996</v>
      </c>
      <c r="K19" s="72" t="s">
        <v>68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 t="shared" si="7"/>
        <v>0</v>
      </c>
      <c r="H20" s="62"/>
      <c r="I20" s="74" t="s">
        <v>69</v>
      </c>
      <c r="J20" s="75">
        <v>600.58000000000004</v>
      </c>
      <c r="K20" s="76" t="s">
        <v>69</v>
      </c>
      <c r="L20" s="73">
        <f>+E24*(O10-F24)+E25*(O8-F25)+E26*(O9-F26)+E27*(O7-F27)</f>
        <v>271.92</v>
      </c>
      <c r="M20" s="288" t="s">
        <v>70</v>
      </c>
      <c r="N20" s="289"/>
      <c r="O20" s="290"/>
      <c r="P20" s="77">
        <f>+L20</f>
        <v>271.92</v>
      </c>
    </row>
    <row r="21" spans="1:19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72</v>
      </c>
      <c r="L21" s="73"/>
      <c r="M21" s="288" t="s">
        <v>73</v>
      </c>
      <c r="N21" s="289"/>
      <c r="O21" s="290"/>
      <c r="P21" s="77">
        <f>+G31</f>
        <v>0</v>
      </c>
    </row>
    <row r="22" spans="1:19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 t="shared" si="7"/>
        <v>0</v>
      </c>
      <c r="H22" s="71"/>
      <c r="I22" s="74" t="s">
        <v>75</v>
      </c>
      <c r="J22" s="75"/>
      <c r="K22" s="76" t="s">
        <v>75</v>
      </c>
      <c r="L22" s="78">
        <v>271.92</v>
      </c>
      <c r="M22" s="288" t="s">
        <v>76</v>
      </c>
      <c r="N22" s="289"/>
      <c r="O22" s="290"/>
      <c r="P22" s="77">
        <f>+J37+J20+J26+J31+J32</f>
        <v>620.58000000000004</v>
      </c>
    </row>
    <row r="23" spans="1:19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 t="shared" si="7"/>
        <v>0</v>
      </c>
      <c r="H23" s="71"/>
      <c r="I23" s="79" t="s">
        <v>78</v>
      </c>
      <c r="J23" s="80">
        <f>+J19+J20-J22</f>
        <v>4702.0804099999996</v>
      </c>
      <c r="K23" s="81" t="s">
        <v>78</v>
      </c>
      <c r="L23" s="82">
        <f>+L19-L20+L22+L21</f>
        <v>0</v>
      </c>
      <c r="M23" s="294" t="s">
        <v>79</v>
      </c>
      <c r="N23" s="295"/>
      <c r="O23" s="83"/>
      <c r="P23" s="84">
        <f>P14-SUM(P15:P22)</f>
        <v>2014.3000000000002</v>
      </c>
      <c r="Q23" s="48"/>
    </row>
    <row r="24" spans="1:19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>
        <f>271.92/15.09</f>
        <v>18.019880715705767</v>
      </c>
      <c r="F24" s="60">
        <v>0</v>
      </c>
      <c r="G24" s="61">
        <f t="shared" si="7"/>
        <v>0</v>
      </c>
      <c r="H24" s="71" t="s">
        <v>192</v>
      </c>
      <c r="I24" s="296" t="s">
        <v>81</v>
      </c>
      <c r="J24" s="297"/>
      <c r="K24" s="298" t="s">
        <v>82</v>
      </c>
      <c r="L24" s="299"/>
      <c r="M24" s="299"/>
      <c r="N24" s="299"/>
      <c r="O24" s="299"/>
      <c r="P24" s="300"/>
      <c r="Q24" s="85"/>
    </row>
    <row r="25" spans="1:19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 t="shared" si="7"/>
        <v>0</v>
      </c>
      <c r="H25" s="71"/>
      <c r="I25" s="72" t="s">
        <v>68</v>
      </c>
      <c r="J25" s="86">
        <f>+'[3]02'!J30</f>
        <v>2860.0556350000002</v>
      </c>
      <c r="K25" s="87" t="s">
        <v>83</v>
      </c>
      <c r="L25" s="53" t="s">
        <v>84</v>
      </c>
      <c r="M25" s="88" t="s">
        <v>85</v>
      </c>
      <c r="N25" s="88" t="s">
        <v>86</v>
      </c>
      <c r="O25" s="89" t="s">
        <v>87</v>
      </c>
      <c r="P25" s="90" t="s">
        <v>88</v>
      </c>
      <c r="Q25" s="3"/>
    </row>
    <row r="26" spans="1:19" x14ac:dyDescent="0.3">
      <c r="A26" s="286" t="s">
        <v>80</v>
      </c>
      <c r="B26" s="287"/>
      <c r="C26" s="58" t="s">
        <v>50</v>
      </c>
      <c r="D26" s="58" t="s">
        <v>61</v>
      </c>
      <c r="E26" s="59"/>
      <c r="F26" s="60">
        <v>0</v>
      </c>
      <c r="G26" s="61">
        <f t="shared" si="7"/>
        <v>0</v>
      </c>
      <c r="H26" s="71"/>
      <c r="I26" s="74" t="s">
        <v>69</v>
      </c>
      <c r="J26" s="86"/>
      <c r="K26" s="91" t="s">
        <v>89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90</v>
      </c>
      <c r="S26" s="48">
        <f>+Q7*-1</f>
        <v>0</v>
      </c>
    </row>
    <row r="27" spans="1:19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 t="shared" si="7"/>
        <v>0</v>
      </c>
      <c r="H27" s="62"/>
      <c r="I27" s="74" t="s">
        <v>75</v>
      </c>
      <c r="J27" s="86"/>
      <c r="K27" s="91" t="s">
        <v>29</v>
      </c>
      <c r="L27" s="92"/>
      <c r="M27" s="94"/>
      <c r="N27" s="94"/>
      <c r="O27" s="95" t="s">
        <v>91</v>
      </c>
      <c r="P27" s="98"/>
      <c r="Q27" s="97"/>
      <c r="S27" s="48" t="e">
        <f>+#REF!*-1</f>
        <v>#REF!</v>
      </c>
    </row>
    <row r="28" spans="1:19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 t="shared" si="7"/>
        <v>0</v>
      </c>
      <c r="H28" s="62"/>
      <c r="I28" s="99" t="s">
        <v>78</v>
      </c>
      <c r="J28" s="86">
        <f>+J25+J26-J27</f>
        <v>2860.0556350000002</v>
      </c>
      <c r="K28" s="91" t="s">
        <v>30</v>
      </c>
      <c r="L28" s="92">
        <v>990</v>
      </c>
      <c r="M28" s="94" t="s">
        <v>193</v>
      </c>
      <c r="N28" s="94" t="s">
        <v>160</v>
      </c>
      <c r="O28" s="95" t="s">
        <v>93</v>
      </c>
      <c r="P28" s="100">
        <f>13044.36/990</f>
        <v>13.176121212121213</v>
      </c>
      <c r="Q28" s="97">
        <f>+O8-P28</f>
        <v>2.5738787878787868</v>
      </c>
      <c r="S28" s="48">
        <f>+Q8*-1</f>
        <v>5.7138874349489015</v>
      </c>
    </row>
    <row r="29" spans="1:19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 t="shared" si="7"/>
        <v>0</v>
      </c>
      <c r="H29" s="62"/>
      <c r="I29" s="296" t="s">
        <v>94</v>
      </c>
      <c r="J29" s="297"/>
      <c r="K29" s="101" t="s">
        <v>31</v>
      </c>
      <c r="L29" s="92"/>
      <c r="M29" s="94"/>
      <c r="N29" s="94"/>
      <c r="O29" s="95" t="s">
        <v>93</v>
      </c>
      <c r="P29" s="100">
        <f>11892.04/990</f>
        <v>12.012161616161617</v>
      </c>
      <c r="Q29" s="97">
        <f>+O9-P29</f>
        <v>2.7378383838383833</v>
      </c>
      <c r="S29" s="48">
        <f>+Q9*-1</f>
        <v>10.955621013304153</v>
      </c>
    </row>
    <row r="30" spans="1:19" ht="15" customHeight="1" x14ac:dyDescent="0.3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 t="shared" si="7"/>
        <v>0</v>
      </c>
      <c r="H30" s="62"/>
      <c r="I30" s="72" t="s">
        <v>78</v>
      </c>
      <c r="J30" s="75">
        <f>+'26-03-2025'!J34</f>
        <v>-115</v>
      </c>
      <c r="K30" s="101" t="s">
        <v>32</v>
      </c>
      <c r="L30" s="92"/>
      <c r="M30" s="94"/>
      <c r="N30" s="94"/>
      <c r="O30" s="95" t="s">
        <v>96</v>
      </c>
      <c r="P30" s="100"/>
      <c r="Q30" s="97"/>
      <c r="S30" s="48" t="e">
        <f>+#REF!*-1</f>
        <v>#REF!</v>
      </c>
    </row>
    <row r="31" spans="1:19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0</v>
      </c>
      <c r="H31" s="104"/>
      <c r="I31" s="74" t="s">
        <v>98</v>
      </c>
      <c r="J31" s="105">
        <v>20</v>
      </c>
      <c r="K31" s="106" t="s">
        <v>33</v>
      </c>
      <c r="L31" s="92"/>
      <c r="M31" s="94"/>
      <c r="N31" s="94"/>
      <c r="O31" s="95" t="s">
        <v>91</v>
      </c>
      <c r="P31" s="100">
        <f>6649.01/500</f>
        <v>13.298020000000001</v>
      </c>
      <c r="Q31" s="97">
        <f>+O10-P31</f>
        <v>1.7919799999999988</v>
      </c>
      <c r="R31" s="3" t="s">
        <v>99</v>
      </c>
      <c r="S31" s="48">
        <f t="shared" ref="S31" si="8">+Q10*-1</f>
        <v>-0.72367369553194294</v>
      </c>
    </row>
    <row r="32" spans="1:19" ht="15" thickBot="1" x14ac:dyDescent="0.35">
      <c r="A32" s="266"/>
      <c r="B32" s="267"/>
      <c r="C32" s="267"/>
      <c r="D32" s="268"/>
      <c r="E32" s="268"/>
      <c r="F32" s="268"/>
      <c r="G32" s="268"/>
      <c r="H32" s="269"/>
      <c r="I32" s="74" t="s">
        <v>100</v>
      </c>
      <c r="J32" s="105"/>
      <c r="K32" s="107"/>
      <c r="L32" s="108"/>
      <c r="M32" s="94"/>
      <c r="N32" s="94"/>
      <c r="O32" s="95" t="s">
        <v>93</v>
      </c>
      <c r="P32" s="96"/>
      <c r="Q32" s="97"/>
      <c r="R32" s="109"/>
    </row>
    <row r="33" spans="1:18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75</v>
      </c>
      <c r="J33" s="113"/>
      <c r="K33" s="114" t="s">
        <v>106</v>
      </c>
      <c r="L33" s="115">
        <f>+O2</f>
        <v>45743</v>
      </c>
      <c r="M33" s="273" t="s">
        <v>107</v>
      </c>
      <c r="N33" s="274"/>
      <c r="O33" s="274"/>
      <c r="P33" s="275"/>
      <c r="Q33" s="116"/>
      <c r="R33" s="109"/>
    </row>
    <row r="34" spans="1:18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78</v>
      </c>
      <c r="J34" s="124">
        <f>+J30-J31-J32+J33</f>
        <v>-135</v>
      </c>
      <c r="K34" s="118" t="s">
        <v>58</v>
      </c>
      <c r="L34" s="125">
        <v>1139.5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5">
      <c r="A35" s="126" t="s">
        <v>109</v>
      </c>
      <c r="B35" s="127">
        <v>1275.3399999999999</v>
      </c>
      <c r="C35" s="127"/>
      <c r="D35" s="128" t="s">
        <v>110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111</v>
      </c>
      <c r="J35" s="280"/>
      <c r="K35" s="133" t="s">
        <v>29</v>
      </c>
      <c r="L35" s="134">
        <v>874.8</v>
      </c>
      <c r="M35" s="278"/>
      <c r="N35" s="278"/>
      <c r="O35" s="278"/>
      <c r="P35" s="279"/>
      <c r="Q35" s="116"/>
      <c r="R35" s="109"/>
    </row>
    <row r="36" spans="1:18" ht="15.75" customHeight="1" thickBot="1" x14ac:dyDescent="0.35">
      <c r="A36" s="135" t="s">
        <v>112</v>
      </c>
      <c r="B36" s="136">
        <v>494.84</v>
      </c>
      <c r="C36" s="136">
        <v>288.8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137" t="s">
        <v>68</v>
      </c>
      <c r="J36" s="138">
        <f>+'03-03-2025'!I39</f>
        <v>274.83</v>
      </c>
      <c r="K36" s="128" t="s">
        <v>113</v>
      </c>
      <c r="L36" s="134"/>
      <c r="M36" s="281" t="s">
        <v>114</v>
      </c>
      <c r="N36" s="281"/>
      <c r="O36" s="140">
        <f>+L33</f>
        <v>45743</v>
      </c>
      <c r="P36" s="140"/>
      <c r="Q36" s="116"/>
      <c r="R36" s="109"/>
    </row>
    <row r="37" spans="1:18" ht="16.2" thickBot="1" x14ac:dyDescent="0.35">
      <c r="A37" s="135"/>
      <c r="B37" s="141"/>
      <c r="C37" s="142"/>
      <c r="D37" s="128" t="s">
        <v>33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69</v>
      </c>
      <c r="J37" s="143"/>
      <c r="K37" s="144" t="s">
        <v>115</v>
      </c>
      <c r="L37" s="265"/>
      <c r="M37" s="146" t="s">
        <v>58</v>
      </c>
      <c r="N37" s="147" t="s">
        <v>116</v>
      </c>
      <c r="O37" s="148">
        <f>+L34</f>
        <v>1139.5</v>
      </c>
      <c r="P37" s="149"/>
      <c r="Q37" s="150"/>
      <c r="R37" s="109"/>
    </row>
    <row r="38" spans="1:18" ht="16.2" thickBot="1" x14ac:dyDescent="0.35">
      <c r="A38" s="151" t="s">
        <v>117</v>
      </c>
      <c r="B38" s="152">
        <f>SUM(B35:B37)</f>
        <v>1770.1799999999998</v>
      </c>
      <c r="C38" s="153">
        <f>SUM(C35:C37)</f>
        <v>288.8</v>
      </c>
      <c r="D38" s="144" t="s">
        <v>29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75</v>
      </c>
      <c r="J38" s="158"/>
      <c r="K38" s="159" t="s">
        <v>97</v>
      </c>
      <c r="L38" s="160">
        <f>SUM(L34:L37)</f>
        <v>2014.3</v>
      </c>
      <c r="M38" s="161" t="s">
        <v>29</v>
      </c>
      <c r="N38" s="162" t="s">
        <v>118</v>
      </c>
      <c r="O38" s="163">
        <f>+L35</f>
        <v>874.8</v>
      </c>
      <c r="P38" s="164"/>
      <c r="Q38" s="150"/>
      <c r="R38" s="109"/>
    </row>
    <row r="39" spans="1:18" ht="24.6" thickTop="1" thickBot="1" x14ac:dyDescent="0.5">
      <c r="A39" s="165" t="s">
        <v>119</v>
      </c>
      <c r="B39" s="166">
        <f>SUM(B38:C38)</f>
        <v>2058.98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78</v>
      </c>
      <c r="J39" s="124">
        <f>+J36+J37-J38</f>
        <v>274.83</v>
      </c>
      <c r="K39" s="173" t="s">
        <v>120</v>
      </c>
      <c r="L39" s="174">
        <f>+P23-L38</f>
        <v>0</v>
      </c>
      <c r="M39" s="282" t="s">
        <v>97</v>
      </c>
      <c r="N39" s="283"/>
      <c r="O39" s="284">
        <f>SUM(O37:P38)</f>
        <v>2014.3</v>
      </c>
      <c r="P39" s="285"/>
      <c r="Q39" s="150"/>
      <c r="R39" s="109"/>
    </row>
    <row r="40" spans="1:18" ht="15" thickBot="1" x14ac:dyDescent="0.35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79"/>
      <c r="F41" s="180"/>
      <c r="G41" s="183"/>
      <c r="H41" s="270" t="s">
        <v>125</v>
      </c>
      <c r="I41" s="271"/>
      <c r="J41" s="271"/>
      <c r="K41" s="271"/>
      <c r="L41" s="272"/>
      <c r="P41" s="181"/>
      <c r="Q41" s="150"/>
    </row>
    <row r="42" spans="1:18" ht="15.6" x14ac:dyDescent="0.3">
      <c r="A42" s="182" t="s">
        <v>30</v>
      </c>
      <c r="B42" s="183">
        <f>IF(D42&gt;"0",0,(D42/C42))</f>
        <v>77.725079365079367</v>
      </c>
      <c r="C42" s="184">
        <v>15.75</v>
      </c>
      <c r="D42" s="185">
        <v>1224.17</v>
      </c>
      <c r="E42" s="186"/>
      <c r="F42" s="186"/>
      <c r="G42" s="183"/>
      <c r="H42" s="187" t="s">
        <v>126</v>
      </c>
      <c r="I42" s="188"/>
      <c r="J42" s="189">
        <v>2.0185</v>
      </c>
      <c r="K42" s="190">
        <f>+I42/J42</f>
        <v>0</v>
      </c>
      <c r="L42" s="191" t="s">
        <v>127</v>
      </c>
      <c r="M42" s="192"/>
      <c r="N42" s="193" t="s">
        <v>2</v>
      </c>
      <c r="O42" s="194"/>
      <c r="Q42" s="3"/>
    </row>
    <row r="43" spans="1:18" ht="15.6" x14ac:dyDescent="0.3">
      <c r="A43" s="182" t="s">
        <v>31</v>
      </c>
      <c r="B43" s="183">
        <f>IF(D43&gt;"0",0,(D43/C43))</f>
        <v>90.613559322033893</v>
      </c>
      <c r="C43" s="184">
        <v>14.75</v>
      </c>
      <c r="D43" s="185">
        <v>1336.55</v>
      </c>
      <c r="E43" s="186"/>
      <c r="F43" s="186"/>
      <c r="G43" s="183"/>
      <c r="H43" s="195" t="s">
        <v>128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129</v>
      </c>
      <c r="M43" s="200"/>
      <c r="N43" s="193" t="s">
        <v>130</v>
      </c>
      <c r="O43" s="194"/>
      <c r="P43" s="201"/>
      <c r="Q43" s="3"/>
    </row>
    <row r="44" spans="1:18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6" x14ac:dyDescent="0.3">
      <c r="A45" s="182" t="s">
        <v>131</v>
      </c>
      <c r="B45" s="183">
        <f>IF(D45&gt;"0",0,(D45/C45))</f>
        <v>82.277667329357186</v>
      </c>
      <c r="C45" s="184">
        <v>15.09</v>
      </c>
      <c r="D45" s="185">
        <v>1241.57</v>
      </c>
      <c r="E45" s="186"/>
      <c r="F45" s="186"/>
      <c r="G45" s="183"/>
      <c r="H45" s="206" t="s">
        <v>132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34</v>
      </c>
      <c r="N45" s="211" t="s">
        <v>133</v>
      </c>
      <c r="O45" s="3" t="s">
        <v>116</v>
      </c>
      <c r="P45" s="201"/>
      <c r="Q45" s="3"/>
      <c r="R45" s="201"/>
    </row>
    <row r="46" spans="1:18" ht="15.6" x14ac:dyDescent="0.3">
      <c r="A46" s="182" t="s">
        <v>29</v>
      </c>
      <c r="B46" s="183">
        <f>IF(D46&gt;"0",0,(D46/C46))</f>
        <v>155.37516688918558</v>
      </c>
      <c r="C46" s="184">
        <v>7.49</v>
      </c>
      <c r="D46" s="185">
        <v>1163.76</v>
      </c>
      <c r="E46" s="186"/>
      <c r="F46" s="186"/>
      <c r="G46" s="183"/>
      <c r="H46" s="262">
        <f>(L34+B38+P21+P22+P20+L36)-SUM(D42:D45)+(P18+P19)</f>
        <v>-0.11000000000012733</v>
      </c>
      <c r="I46" s="203" t="s">
        <v>134</v>
      </c>
      <c r="J46" s="196" t="s">
        <v>135</v>
      </c>
      <c r="K46" s="214">
        <v>2.1061999999999999</v>
      </c>
      <c r="L46" s="215"/>
      <c r="M46" s="200"/>
      <c r="N46" s="3" t="s">
        <v>136</v>
      </c>
      <c r="O46" s="194"/>
      <c r="P46" s="201"/>
      <c r="Q46" s="3"/>
      <c r="R46" s="201"/>
    </row>
    <row r="47" spans="1:18" ht="16.5" customHeight="1" thickBot="1" x14ac:dyDescent="0.35">
      <c r="A47" s="180"/>
      <c r="B47" s="216">
        <f>SUM(B42:B46)</f>
        <v>405.991472905656</v>
      </c>
      <c r="C47" s="216"/>
      <c r="D47" s="217">
        <f>SUM(D42:D46)</f>
        <v>4966.05</v>
      </c>
      <c r="E47" s="217">
        <v>4966.05</v>
      </c>
      <c r="F47" s="186"/>
      <c r="G47" s="183"/>
      <c r="H47" s="263">
        <f>(C36+L35+L37)-D46</f>
        <v>-0.16000000000008185</v>
      </c>
      <c r="I47" s="220" t="s">
        <v>90</v>
      </c>
      <c r="J47" s="221" t="s">
        <v>137</v>
      </c>
      <c r="K47" s="222">
        <v>2.0185</v>
      </c>
      <c r="L47" s="223" t="e">
        <f>+K45-K43</f>
        <v>#DIV/0!</v>
      </c>
      <c r="M47" s="200"/>
      <c r="N47" s="205" t="s">
        <v>138</v>
      </c>
      <c r="O47" s="194"/>
      <c r="P47" s="201"/>
      <c r="Q47" s="3"/>
      <c r="R47" s="201"/>
    </row>
    <row r="48" spans="1:18" ht="16.2" thickTop="1" x14ac:dyDescent="0.3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3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6" x14ac:dyDescent="0.3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6" x14ac:dyDescent="0.3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6" x14ac:dyDescent="0.3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6" x14ac:dyDescent="0.3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6" x14ac:dyDescent="0.3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6" x14ac:dyDescent="0.3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6" x14ac:dyDescent="0.3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6" x14ac:dyDescent="0.3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6" x14ac:dyDescent="0.3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6" x14ac:dyDescent="0.3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6" x14ac:dyDescent="0.3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6" x14ac:dyDescent="0.3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6" x14ac:dyDescent="0.3">
      <c r="A62" s="244"/>
      <c r="D62" s="229"/>
      <c r="F62" s="250"/>
      <c r="G62" s="246"/>
      <c r="N62" s="109"/>
      <c r="O62" s="109"/>
      <c r="P62" s="109"/>
      <c r="Q62" s="3"/>
    </row>
    <row r="63" spans="1:17" x14ac:dyDescent="0.3">
      <c r="A63" s="238"/>
      <c r="D63" s="109"/>
      <c r="F63" s="249"/>
      <c r="G63" s="246"/>
      <c r="N63" s="109"/>
      <c r="O63" s="109"/>
      <c r="P63" s="109"/>
      <c r="Q63" s="3"/>
    </row>
    <row r="64" spans="1:17" x14ac:dyDescent="0.3">
      <c r="A64" s="238"/>
      <c r="F64" s="249"/>
      <c r="G64" s="246"/>
      <c r="N64" s="109"/>
      <c r="O64" s="109"/>
      <c r="P64" s="109"/>
      <c r="Q64" s="3"/>
    </row>
    <row r="65" spans="1:20" x14ac:dyDescent="0.3">
      <c r="A65" s="238">
        <v>84</v>
      </c>
      <c r="F65" s="251"/>
      <c r="G65" s="246"/>
      <c r="N65" s="109"/>
      <c r="Q65" s="3"/>
    </row>
    <row r="66" spans="1:20" x14ac:dyDescent="0.3">
      <c r="A66" s="244" t="s">
        <v>131</v>
      </c>
      <c r="F66" s="249"/>
      <c r="G66" s="246"/>
      <c r="N66" s="109"/>
      <c r="Q66" s="3"/>
    </row>
    <row r="67" spans="1:20" x14ac:dyDescent="0.3">
      <c r="A67" s="85"/>
      <c r="F67" s="247"/>
      <c r="G67" s="246"/>
      <c r="N67" s="109"/>
      <c r="Q67" s="3"/>
    </row>
    <row r="68" spans="1:20" x14ac:dyDescent="0.3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3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3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3">
      <c r="A71" s="244" t="s">
        <v>131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3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3">
      <c r="A73" s="244" t="s">
        <v>29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3">
      <c r="A74" s="244" t="s">
        <v>29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3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3">
      <c r="A76" s="244" t="s">
        <v>29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3">
      <c r="A77" s="244" t="s">
        <v>29</v>
      </c>
      <c r="F77" s="255"/>
      <c r="G77" s="254"/>
      <c r="N77" s="109"/>
      <c r="O77" s="109"/>
      <c r="P77" s="109"/>
      <c r="Q77" s="109"/>
      <c r="R77" s="200"/>
    </row>
    <row r="78" spans="1:20" x14ac:dyDescent="0.3">
      <c r="A78" s="85"/>
      <c r="F78" s="255"/>
      <c r="G78" s="228"/>
      <c r="N78" s="109"/>
      <c r="O78" s="109"/>
      <c r="P78" s="109"/>
      <c r="Q78" s="109"/>
      <c r="R78" s="200"/>
    </row>
    <row r="79" spans="1:20" x14ac:dyDescent="0.3">
      <c r="A79" s="85"/>
      <c r="F79" s="239"/>
      <c r="G79" s="228"/>
      <c r="N79" s="109"/>
      <c r="O79" s="109"/>
      <c r="P79" s="109"/>
      <c r="Q79" s="109"/>
      <c r="R79" s="200"/>
    </row>
    <row r="80" spans="1:20" x14ac:dyDescent="0.3">
      <c r="A80" s="85"/>
      <c r="F80" s="241"/>
      <c r="G80" s="228"/>
      <c r="N80" s="109"/>
      <c r="O80" s="109"/>
      <c r="P80" s="109"/>
      <c r="Q80" s="109"/>
      <c r="R80" s="200"/>
    </row>
    <row r="81" spans="1:19" x14ac:dyDescent="0.3">
      <c r="A81" s="85"/>
      <c r="F81" s="241"/>
      <c r="G81" s="228"/>
      <c r="N81" s="109"/>
      <c r="O81" s="109"/>
      <c r="P81" s="109"/>
      <c r="Q81" s="109"/>
      <c r="R81" s="200"/>
    </row>
    <row r="82" spans="1:19" x14ac:dyDescent="0.3">
      <c r="A82" s="85"/>
      <c r="F82" s="228"/>
      <c r="G82" s="228"/>
      <c r="N82" s="109"/>
      <c r="O82" s="109"/>
      <c r="P82" s="109"/>
      <c r="Q82" s="109"/>
    </row>
    <row r="83" spans="1:19" x14ac:dyDescent="0.3">
      <c r="N83" s="109"/>
      <c r="O83" s="109"/>
      <c r="P83" s="109"/>
      <c r="Q83" s="109"/>
    </row>
    <row r="84" spans="1:19" x14ac:dyDescent="0.3">
      <c r="N84" s="109"/>
      <c r="O84" s="257"/>
      <c r="P84" s="257"/>
      <c r="Q84" s="109"/>
    </row>
    <row r="85" spans="1:19" x14ac:dyDescent="0.3">
      <c r="N85" s="109"/>
      <c r="O85" s="257"/>
      <c r="P85" s="257"/>
      <c r="Q85" s="109"/>
    </row>
    <row r="86" spans="1:19" x14ac:dyDescent="0.3">
      <c r="N86" s="109"/>
      <c r="O86" s="257"/>
      <c r="P86" s="257"/>
      <c r="Q86" s="109"/>
    </row>
    <row r="87" spans="1:19" x14ac:dyDescent="0.3">
      <c r="N87" s="109"/>
      <c r="O87" s="257"/>
      <c r="P87" s="257"/>
      <c r="Q87" s="109"/>
    </row>
    <row r="88" spans="1:19" x14ac:dyDescent="0.3">
      <c r="N88" s="109"/>
      <c r="O88" s="257"/>
      <c r="P88" s="257"/>
      <c r="Q88" s="109"/>
    </row>
    <row r="89" spans="1:19" x14ac:dyDescent="0.3">
      <c r="N89" s="109"/>
      <c r="O89" s="257"/>
      <c r="P89" s="257"/>
      <c r="Q89" s="109"/>
      <c r="S89" s="256"/>
    </row>
    <row r="90" spans="1:19" x14ac:dyDescent="0.3">
      <c r="Q90" s="3"/>
    </row>
    <row r="91" spans="1:19" x14ac:dyDescent="0.3">
      <c r="Q91" s="3"/>
    </row>
    <row r="92" spans="1:19" x14ac:dyDescent="0.3">
      <c r="Q92" s="3"/>
    </row>
    <row r="93" spans="1:19" s="70" customFormat="1" x14ac:dyDescent="0.3">
      <c r="H93" s="3"/>
      <c r="I93" s="3"/>
      <c r="J93" s="3"/>
      <c r="K93" s="3"/>
      <c r="L93" s="3"/>
      <c r="M93" s="3"/>
    </row>
    <row r="94" spans="1:19" s="70" customFormat="1" x14ac:dyDescent="0.3">
      <c r="H94" s="3"/>
      <c r="I94" s="3"/>
      <c r="J94" s="3"/>
      <c r="K94" s="3"/>
      <c r="L94" s="3"/>
      <c r="M94" s="3"/>
    </row>
    <row r="95" spans="1:19" s="70" customFormat="1" x14ac:dyDescent="0.3">
      <c r="H95" s="3"/>
      <c r="I95" s="3"/>
      <c r="J95" s="3"/>
      <c r="K95" s="3"/>
      <c r="L95" s="3"/>
      <c r="M95" s="3"/>
    </row>
    <row r="96" spans="1:19" s="70" customFormat="1" x14ac:dyDescent="0.3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3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3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" thickBot="1" x14ac:dyDescent="0.35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3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3">
      <c r="N101" s="109"/>
      <c r="O101" s="257"/>
      <c r="P101" s="257"/>
      <c r="Q101" s="109"/>
    </row>
    <row r="102" spans="8:17" x14ac:dyDescent="0.3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3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3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3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3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3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3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3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3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3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3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" thickBot="1" x14ac:dyDescent="0.35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3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3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3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3">
      <c r="N117" s="109"/>
      <c r="O117" s="257"/>
    </row>
    <row r="118" spans="8:17" x14ac:dyDescent="0.3">
      <c r="N118" s="109"/>
      <c r="O118" s="257"/>
    </row>
    <row r="119" spans="8:17" x14ac:dyDescent="0.3">
      <c r="N119" s="109"/>
      <c r="O119" s="205"/>
    </row>
    <row r="120" spans="8:17" x14ac:dyDescent="0.3">
      <c r="N120" s="109"/>
    </row>
    <row r="121" spans="8:17" x14ac:dyDescent="0.3">
      <c r="N121" s="109"/>
    </row>
    <row r="122" spans="8:17" x14ac:dyDescent="0.3">
      <c r="N122" s="109"/>
    </row>
    <row r="123" spans="8:17" x14ac:dyDescent="0.3">
      <c r="N123" s="109"/>
    </row>
    <row r="124" spans="8:17" x14ac:dyDescent="0.3">
      <c r="N124" s="109"/>
    </row>
    <row r="125" spans="8:17" x14ac:dyDescent="0.3">
      <c r="N125" s="109"/>
    </row>
    <row r="126" spans="8:17" ht="15" thickBot="1" x14ac:dyDescent="0.35">
      <c r="N126" s="109"/>
      <c r="O126" s="261"/>
      <c r="P126" s="261"/>
    </row>
    <row r="127" spans="8:17" s="70" customFormat="1" x14ac:dyDescent="0.3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3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3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3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3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3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3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3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3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3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3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3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3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3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" thickBot="1" x14ac:dyDescent="0.35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 xr:uid="{00000000-0009-0000-0000-000005000000}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C01-3D3A-4212-B616-C22B7738F31C}">
  <sheetPr>
    <pageSetUpPr fitToPage="1"/>
  </sheetPr>
  <dimension ref="A1:X141"/>
  <sheetViews>
    <sheetView zoomScale="90" zoomScaleNormal="90" workbookViewId="0">
      <selection activeCell="D19" sqref="D19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3.44140625" style="3" bestFit="1" customWidth="1"/>
    <col min="6" max="6" width="12.6640625" style="3" customWidth="1"/>
    <col min="7" max="7" width="11.33203125" style="3" customWidth="1"/>
    <col min="8" max="8" width="12" style="3" customWidth="1"/>
    <col min="9" max="9" width="12.109375" style="3" customWidth="1"/>
    <col min="10" max="10" width="11.44140625" style="3" customWidth="1"/>
    <col min="11" max="11" width="12.109375" style="3" bestFit="1" customWidth="1"/>
    <col min="12" max="12" width="13.33203125" style="3" bestFit="1" customWidth="1"/>
    <col min="13" max="13" width="12.44140625" style="3" customWidth="1"/>
    <col min="14" max="14" width="14.6640625" style="3" customWidth="1"/>
    <col min="15" max="15" width="15" style="3" customWidth="1"/>
    <col min="16" max="16" width="16" style="3" customWidth="1"/>
    <col min="17" max="17" width="11.44140625" style="70" bestFit="1" customWidth="1"/>
    <col min="18" max="18" width="3.44140625" style="3" customWidth="1"/>
    <col min="19" max="19" width="13.109375" style="3" customWidth="1"/>
    <col min="20" max="20" width="12" style="3" bestFit="1" customWidth="1"/>
    <col min="21" max="16384" width="11.44140625" style="3"/>
  </cols>
  <sheetData>
    <row r="1" spans="1:24" x14ac:dyDescent="0.3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3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45744</v>
      </c>
      <c r="P2" s="354"/>
      <c r="Q2" s="5">
        <v>45658</v>
      </c>
    </row>
    <row r="3" spans="1:24" ht="15" thickBot="1" x14ac:dyDescent="0.35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87</v>
      </c>
      <c r="P3" s="359"/>
      <c r="Q3" s="5">
        <v>44197</v>
      </c>
      <c r="R3" s="7"/>
    </row>
    <row r="4" spans="1:24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3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24</v>
      </c>
      <c r="L6" s="16" t="s">
        <v>17</v>
      </c>
      <c r="M6" s="16" t="s">
        <v>24</v>
      </c>
      <c r="N6" s="16" t="s">
        <v>25</v>
      </c>
      <c r="O6" s="16" t="s">
        <v>26</v>
      </c>
      <c r="P6" s="17" t="s">
        <v>27</v>
      </c>
      <c r="Q6" s="18" t="s">
        <v>28</v>
      </c>
      <c r="R6" s="19"/>
    </row>
    <row r="7" spans="1:24" s="31" customFormat="1" ht="15" customHeight="1" x14ac:dyDescent="0.3">
      <c r="A7" s="20" t="s">
        <v>29</v>
      </c>
      <c r="B7" s="21">
        <f>+'27-03-2025'!K7</f>
        <v>2677.0547358640292</v>
      </c>
      <c r="C7" s="22">
        <f>L26+L27</f>
        <v>0</v>
      </c>
      <c r="D7" s="23"/>
      <c r="E7" s="23"/>
      <c r="F7" s="24">
        <f t="shared" ref="F7:F10" si="0">+B7+C7+D7+E7</f>
        <v>2677.0547358640292</v>
      </c>
      <c r="G7" s="25">
        <f>B46-H7</f>
        <v>157.16555407209614</v>
      </c>
      <c r="H7" s="22"/>
      <c r="I7" s="26"/>
      <c r="J7" s="21">
        <f t="shared" ref="J7:J10" si="1">+G7+H7+I7</f>
        <v>157.16555407209614</v>
      </c>
      <c r="K7" s="21">
        <f t="shared" ref="K7:K10" si="2">+F7-J7</f>
        <v>2519.889181791933</v>
      </c>
      <c r="L7" s="27">
        <f>+'27-03-2025'!M7</f>
        <v>2677.0547358640292</v>
      </c>
      <c r="M7" s="28">
        <v>2519.889181791933</v>
      </c>
      <c r="N7" s="24">
        <f t="shared" ref="N7:N10" si="3">+G7</f>
        <v>157.16555407209614</v>
      </c>
      <c r="O7" s="24">
        <f>+C46</f>
        <v>7.49</v>
      </c>
      <c r="P7" s="29">
        <f t="shared" ref="P7:P10" si="4">+N7*O7</f>
        <v>1177.17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3">
      <c r="A8" s="20" t="s">
        <v>30</v>
      </c>
      <c r="B8" s="21">
        <f>+'27-03-2025'!K8</f>
        <v>1540.7138874349489</v>
      </c>
      <c r="C8" s="22">
        <f>L28</f>
        <v>0</v>
      </c>
      <c r="D8" s="33"/>
      <c r="E8" s="23"/>
      <c r="F8" s="24">
        <f t="shared" si="0"/>
        <v>1540.7138874349489</v>
      </c>
      <c r="G8" s="25">
        <f>+B42-H8</f>
        <v>73.526984126984118</v>
      </c>
      <c r="H8" s="22">
        <f>+E8</f>
        <v>0</v>
      </c>
      <c r="I8" s="26"/>
      <c r="J8" s="21">
        <f t="shared" si="1"/>
        <v>73.526984126984118</v>
      </c>
      <c r="K8" s="21">
        <f t="shared" si="2"/>
        <v>1467.1869033079647</v>
      </c>
      <c r="L8" s="27">
        <f>+'27-03-2025'!M8</f>
        <v>1535</v>
      </c>
      <c r="M8" s="28">
        <v>1460</v>
      </c>
      <c r="N8" s="24">
        <f t="shared" si="3"/>
        <v>73.526984126984118</v>
      </c>
      <c r="O8" s="24">
        <f>+C42</f>
        <v>15.75</v>
      </c>
      <c r="P8" s="29">
        <f t="shared" si="4"/>
        <v>1158.05</v>
      </c>
      <c r="Q8" s="30">
        <f t="shared" si="5"/>
        <v>-7.1869033079647124</v>
      </c>
      <c r="S8" s="32"/>
      <c r="T8" s="35">
        <v>150</v>
      </c>
      <c r="U8" s="32"/>
      <c r="V8" s="32"/>
      <c r="W8" s="36"/>
      <c r="X8" s="36"/>
    </row>
    <row r="9" spans="1:24" s="31" customFormat="1" x14ac:dyDescent="0.3">
      <c r="A9" s="37" t="s">
        <v>31</v>
      </c>
      <c r="B9" s="21">
        <f>+'27-03-2025'!K9</f>
        <v>1105.9556210133042</v>
      </c>
      <c r="C9" s="22">
        <f>L29</f>
        <v>0</v>
      </c>
      <c r="D9" s="33"/>
      <c r="E9" s="23"/>
      <c r="F9" s="24">
        <f t="shared" si="0"/>
        <v>1105.9556210133042</v>
      </c>
      <c r="G9" s="25">
        <f>+B43-H9</f>
        <v>70.709152542372877</v>
      </c>
      <c r="H9" s="22">
        <f>+E9</f>
        <v>0</v>
      </c>
      <c r="I9" s="26"/>
      <c r="J9" s="21">
        <f t="shared" si="1"/>
        <v>70.709152542372877</v>
      </c>
      <c r="K9" s="21">
        <f t="shared" si="2"/>
        <v>1035.2464684709312</v>
      </c>
      <c r="L9" s="27">
        <f>+'27-03-2025'!M9</f>
        <v>1095</v>
      </c>
      <c r="M9" s="28">
        <v>1025</v>
      </c>
      <c r="N9" s="24">
        <f t="shared" si="3"/>
        <v>70.709152542372877</v>
      </c>
      <c r="O9" s="24">
        <f>+C43</f>
        <v>14.75</v>
      </c>
      <c r="P9" s="29">
        <f t="shared" si="4"/>
        <v>1042.96</v>
      </c>
      <c r="Q9" s="30">
        <f t="shared" si="5"/>
        <v>-10.246468470931177</v>
      </c>
      <c r="R9" s="34"/>
      <c r="S9" s="32"/>
      <c r="T9" s="38">
        <v>160</v>
      </c>
      <c r="U9" s="32"/>
    </row>
    <row r="10" spans="1:24" s="31" customFormat="1" ht="15" thickBot="1" x14ac:dyDescent="0.35">
      <c r="A10" s="39" t="s">
        <v>197</v>
      </c>
      <c r="B10" s="21">
        <f>+'27-03-2025'!K10</f>
        <v>859.27632630446806</v>
      </c>
      <c r="C10" s="40">
        <f>L31</f>
        <v>980</v>
      </c>
      <c r="D10" s="41"/>
      <c r="E10" s="42"/>
      <c r="F10" s="24">
        <f t="shared" si="0"/>
        <v>1839.2763263044681</v>
      </c>
      <c r="G10" s="43">
        <f>+B45-H10</f>
        <v>77.145791915175622</v>
      </c>
      <c r="H10" s="40">
        <f>+E10</f>
        <v>0</v>
      </c>
      <c r="I10" s="26"/>
      <c r="J10" s="44">
        <f t="shared" si="1"/>
        <v>77.145791915175622</v>
      </c>
      <c r="K10" s="44">
        <f t="shared" si="2"/>
        <v>1762.1305343892925</v>
      </c>
      <c r="L10" s="27">
        <f>+'27-03-2025'!M10</f>
        <v>860</v>
      </c>
      <c r="M10" s="28">
        <v>1760</v>
      </c>
      <c r="N10" s="42">
        <f t="shared" si="3"/>
        <v>77.145791915175622</v>
      </c>
      <c r="O10" s="42">
        <f>+C45</f>
        <v>15.09</v>
      </c>
      <c r="P10" s="45">
        <f t="shared" si="4"/>
        <v>1164.1300000000001</v>
      </c>
      <c r="Q10" s="30">
        <f t="shared" si="5"/>
        <v>-2.1305343892925066</v>
      </c>
      <c r="R10" s="34"/>
      <c r="S10" s="32"/>
      <c r="T10" s="38">
        <v>190</v>
      </c>
      <c r="U10" s="32"/>
    </row>
    <row r="11" spans="1:24" s="31" customFormat="1" ht="15" thickBot="1" x14ac:dyDescent="0.35">
      <c r="A11" s="46" t="s">
        <v>34</v>
      </c>
      <c r="B11" s="21">
        <f t="shared" ref="B11:N11" si="6">SUM(B7:B10)</f>
        <v>6183.0005706167503</v>
      </c>
      <c r="C11" s="21">
        <f t="shared" si="6"/>
        <v>980</v>
      </c>
      <c r="D11" s="21">
        <f t="shared" si="6"/>
        <v>0</v>
      </c>
      <c r="E11" s="21">
        <f t="shared" si="6"/>
        <v>0</v>
      </c>
      <c r="F11" s="21">
        <f t="shared" si="6"/>
        <v>7163.0005706167503</v>
      </c>
      <c r="G11" s="21">
        <f t="shared" si="6"/>
        <v>378.54748265662874</v>
      </c>
      <c r="H11" s="21">
        <f t="shared" si="6"/>
        <v>0</v>
      </c>
      <c r="I11" s="21">
        <f t="shared" si="6"/>
        <v>0</v>
      </c>
      <c r="J11" s="21">
        <f t="shared" si="6"/>
        <v>378.54748265662874</v>
      </c>
      <c r="K11" s="21">
        <f t="shared" si="6"/>
        <v>6784.4530879601216</v>
      </c>
      <c r="L11" s="27">
        <f t="shared" si="6"/>
        <v>6167.0547358640288</v>
      </c>
      <c r="M11" s="21">
        <f t="shared" si="6"/>
        <v>6764.889181791933</v>
      </c>
      <c r="N11" s="21">
        <f t="shared" si="6"/>
        <v>378.54748265662874</v>
      </c>
      <c r="O11" s="21"/>
      <c r="P11" s="21">
        <f>SUM(P7:P10)</f>
        <v>4542.3100000000004</v>
      </c>
      <c r="Q11" s="47"/>
    </row>
    <row r="12" spans="1:24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I12" s="326" t="s">
        <v>36</v>
      </c>
      <c r="J12" s="327"/>
      <c r="K12" s="327"/>
      <c r="L12" s="328"/>
      <c r="M12" s="329" t="s">
        <v>37</v>
      </c>
      <c r="N12" s="330"/>
      <c r="O12" s="330"/>
      <c r="P12" s="331"/>
      <c r="Q12" s="48"/>
      <c r="R12" s="31"/>
    </row>
    <row r="13" spans="1:24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1" t="s">
        <v>44</v>
      </c>
      <c r="J13" s="322"/>
      <c r="K13" s="52" t="s">
        <v>45</v>
      </c>
      <c r="L13" s="51" t="s">
        <v>46</v>
      </c>
      <c r="M13" s="309" t="s">
        <v>47</v>
      </c>
      <c r="N13" s="310"/>
      <c r="O13" s="53" t="s">
        <v>48</v>
      </c>
      <c r="P13" s="54" t="s">
        <v>42</v>
      </c>
      <c r="Q13" s="48"/>
    </row>
    <row r="14" spans="1:24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 t="shared" ref="G14:G30" si="7">+E14*F14</f>
        <v>0</v>
      </c>
      <c r="H14" s="62"/>
      <c r="I14" s="315" t="s">
        <v>52</v>
      </c>
      <c r="J14" s="316"/>
      <c r="K14" s="63"/>
      <c r="L14" s="63"/>
      <c r="M14" s="309" t="s">
        <v>53</v>
      </c>
      <c r="N14" s="310"/>
      <c r="O14" s="64">
        <f>+G11</f>
        <v>378.54748265662874</v>
      </c>
      <c r="P14" s="65">
        <f>+P11</f>
        <v>4542.3100000000004</v>
      </c>
      <c r="Q14" s="48"/>
    </row>
    <row r="15" spans="1:24" ht="15" thickBot="1" x14ac:dyDescent="0.35">
      <c r="A15" s="286" t="s">
        <v>54</v>
      </c>
      <c r="B15" s="287"/>
      <c r="C15" s="57" t="s">
        <v>50</v>
      </c>
      <c r="D15" s="58" t="s">
        <v>55</v>
      </c>
      <c r="E15" s="59"/>
      <c r="F15" s="60">
        <v>0.2</v>
      </c>
      <c r="G15" s="61">
        <f t="shared" si="7"/>
        <v>0</v>
      </c>
      <c r="H15" s="62"/>
      <c r="I15" s="317" t="s">
        <v>56</v>
      </c>
      <c r="J15" s="318"/>
      <c r="K15" s="66"/>
      <c r="L15" s="66"/>
      <c r="M15" s="309" t="s">
        <v>57</v>
      </c>
      <c r="N15" s="310"/>
      <c r="O15" s="67" t="s">
        <v>58</v>
      </c>
      <c r="P15" s="65">
        <f>+B38</f>
        <v>783</v>
      </c>
      <c r="Q15" s="48">
        <f>+Q7/60</f>
        <v>0</v>
      </c>
    </row>
    <row r="16" spans="1:24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57</v>
      </c>
      <c r="N16" s="310"/>
      <c r="O16" s="67" t="s">
        <v>29</v>
      </c>
      <c r="P16" s="65">
        <f>+C38</f>
        <v>298.26</v>
      </c>
      <c r="Q16" s="48"/>
    </row>
    <row r="17" spans="1:19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 t="shared" si="7"/>
        <v>0</v>
      </c>
      <c r="H17" s="62"/>
      <c r="I17" s="311" t="s">
        <v>62</v>
      </c>
      <c r="J17" s="312"/>
      <c r="K17" s="313" t="s">
        <v>63</v>
      </c>
      <c r="L17" s="314"/>
      <c r="M17" s="288" t="s">
        <v>64</v>
      </c>
      <c r="N17" s="289"/>
      <c r="O17" s="290"/>
      <c r="P17" s="69">
        <v>4.9200000000005275</v>
      </c>
    </row>
    <row r="18" spans="1:19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 t="shared" si="7"/>
        <v>0</v>
      </c>
      <c r="H18" s="71"/>
      <c r="I18" s="296" t="s">
        <v>65</v>
      </c>
      <c r="J18" s="297"/>
      <c r="K18" s="301" t="s">
        <v>66</v>
      </c>
      <c r="L18" s="302"/>
      <c r="M18" s="360"/>
      <c r="N18" s="360"/>
      <c r="O18" s="361"/>
      <c r="P18" s="69"/>
    </row>
    <row r="19" spans="1:19" ht="15" customHeight="1" x14ac:dyDescent="0.3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 t="shared" si="7"/>
        <v>0</v>
      </c>
      <c r="H19" s="62"/>
      <c r="I19" s="72" t="s">
        <v>68</v>
      </c>
      <c r="J19" s="73">
        <f>+'[1]03'!J25</f>
        <v>4101.5004099999996</v>
      </c>
      <c r="K19" s="72" t="s">
        <v>68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 t="shared" si="7"/>
        <v>0</v>
      </c>
      <c r="H20" s="62"/>
      <c r="I20" s="74" t="s">
        <v>69</v>
      </c>
      <c r="J20" s="75">
        <v>490.13</v>
      </c>
      <c r="K20" s="76" t="s">
        <v>69</v>
      </c>
      <c r="L20" s="73">
        <f>+E24*(O10-F24)+E25*(O8-F25)+E26*(O9-F26)+E27*(O7-F27)</f>
        <v>0</v>
      </c>
      <c r="M20" s="288" t="s">
        <v>70</v>
      </c>
      <c r="N20" s="289"/>
      <c r="O20" s="290"/>
      <c r="P20" s="77">
        <f>+L20</f>
        <v>0</v>
      </c>
    </row>
    <row r="21" spans="1:19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72</v>
      </c>
      <c r="L21" s="73"/>
      <c r="M21" s="288" t="s">
        <v>73</v>
      </c>
      <c r="N21" s="289"/>
      <c r="O21" s="290"/>
      <c r="P21" s="77">
        <f>+G31</f>
        <v>0</v>
      </c>
    </row>
    <row r="22" spans="1:19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 t="shared" si="7"/>
        <v>0</v>
      </c>
      <c r="H22" s="71"/>
      <c r="I22" s="74" t="s">
        <v>75</v>
      </c>
      <c r="J22" s="75"/>
      <c r="K22" s="76" t="s">
        <v>75</v>
      </c>
      <c r="L22" s="78"/>
      <c r="M22" s="288" t="s">
        <v>76</v>
      </c>
      <c r="N22" s="289"/>
      <c r="O22" s="290"/>
      <c r="P22" s="77">
        <f>+J37+J20+J26+J31+J32</f>
        <v>540.13</v>
      </c>
    </row>
    <row r="23" spans="1:19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 t="shared" si="7"/>
        <v>0</v>
      </c>
      <c r="H23" s="71"/>
      <c r="I23" s="79" t="s">
        <v>78</v>
      </c>
      <c r="J23" s="80">
        <f>+J19+J20-J22</f>
        <v>4591.6304099999998</v>
      </c>
      <c r="K23" s="81" t="s">
        <v>78</v>
      </c>
      <c r="L23" s="82">
        <f>+L19-L20+L22+L21</f>
        <v>0</v>
      </c>
      <c r="M23" s="294" t="s">
        <v>79</v>
      </c>
      <c r="N23" s="295"/>
      <c r="O23" s="83"/>
      <c r="P23" s="84">
        <f>P14-SUM(P15:P22)</f>
        <v>2916</v>
      </c>
      <c r="Q23" s="48"/>
    </row>
    <row r="24" spans="1:19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/>
      <c r="F24" s="60">
        <v>0</v>
      </c>
      <c r="G24" s="61">
        <f t="shared" si="7"/>
        <v>0</v>
      </c>
      <c r="H24" s="71"/>
      <c r="I24" s="296" t="s">
        <v>81</v>
      </c>
      <c r="J24" s="297"/>
      <c r="K24" s="298" t="s">
        <v>82</v>
      </c>
      <c r="L24" s="299"/>
      <c r="M24" s="299"/>
      <c r="N24" s="299"/>
      <c r="O24" s="299"/>
      <c r="P24" s="300"/>
      <c r="Q24" s="85"/>
    </row>
    <row r="25" spans="1:19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 t="shared" si="7"/>
        <v>0</v>
      </c>
      <c r="H25" s="71"/>
      <c r="I25" s="72" t="s">
        <v>68</v>
      </c>
      <c r="J25" s="86">
        <f>+'[3]02'!J30</f>
        <v>2860.0556350000002</v>
      </c>
      <c r="K25" s="87" t="s">
        <v>83</v>
      </c>
      <c r="L25" s="53" t="s">
        <v>84</v>
      </c>
      <c r="M25" s="88" t="s">
        <v>85</v>
      </c>
      <c r="N25" s="88" t="s">
        <v>86</v>
      </c>
      <c r="O25" s="89" t="s">
        <v>87</v>
      </c>
      <c r="P25" s="90" t="s">
        <v>88</v>
      </c>
      <c r="Q25" s="3"/>
    </row>
    <row r="26" spans="1:19" x14ac:dyDescent="0.3">
      <c r="A26" s="286" t="s">
        <v>80</v>
      </c>
      <c r="B26" s="287"/>
      <c r="C26" s="58" t="s">
        <v>50</v>
      </c>
      <c r="D26" s="58" t="s">
        <v>61</v>
      </c>
      <c r="E26" s="59"/>
      <c r="F26" s="60">
        <v>0</v>
      </c>
      <c r="G26" s="61">
        <f t="shared" si="7"/>
        <v>0</v>
      </c>
      <c r="H26" s="71"/>
      <c r="I26" s="74" t="s">
        <v>69</v>
      </c>
      <c r="J26" s="86"/>
      <c r="K26" s="91" t="s">
        <v>89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90</v>
      </c>
      <c r="S26" s="48">
        <f>+Q7*-1</f>
        <v>0</v>
      </c>
    </row>
    <row r="27" spans="1:19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 t="shared" si="7"/>
        <v>0</v>
      </c>
      <c r="H27" s="62"/>
      <c r="I27" s="74" t="s">
        <v>75</v>
      </c>
      <c r="J27" s="86"/>
      <c r="K27" s="91" t="s">
        <v>29</v>
      </c>
      <c r="L27" s="92"/>
      <c r="M27" s="94"/>
      <c r="N27" s="94"/>
      <c r="O27" s="95" t="s">
        <v>91</v>
      </c>
      <c r="P27" s="98"/>
      <c r="Q27" s="97"/>
      <c r="S27" s="48" t="e">
        <f>+#REF!*-1</f>
        <v>#REF!</v>
      </c>
    </row>
    <row r="28" spans="1:19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 t="shared" si="7"/>
        <v>0</v>
      </c>
      <c r="H28" s="62"/>
      <c r="I28" s="99" t="s">
        <v>78</v>
      </c>
      <c r="J28" s="86">
        <f>+J25+J26-J27</f>
        <v>2860.0556350000002</v>
      </c>
      <c r="K28" s="91" t="s">
        <v>30</v>
      </c>
      <c r="L28" s="92"/>
      <c r="M28" s="94"/>
      <c r="N28" s="94"/>
      <c r="O28" s="95" t="s">
        <v>93</v>
      </c>
      <c r="P28" s="100">
        <f>13044.36/990</f>
        <v>13.176121212121213</v>
      </c>
      <c r="Q28" s="97">
        <f>+O8-P28</f>
        <v>2.5738787878787868</v>
      </c>
      <c r="S28" s="48">
        <f>+Q8*-1</f>
        <v>7.1869033079647124</v>
      </c>
    </row>
    <row r="29" spans="1:19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 t="shared" si="7"/>
        <v>0</v>
      </c>
      <c r="H29" s="62"/>
      <c r="I29" s="296" t="s">
        <v>94</v>
      </c>
      <c r="J29" s="297"/>
      <c r="K29" s="101" t="s">
        <v>31</v>
      </c>
      <c r="L29" s="92"/>
      <c r="M29" s="94"/>
      <c r="N29" s="94"/>
      <c r="O29" s="95" t="s">
        <v>93</v>
      </c>
      <c r="P29" s="100">
        <f>11892.04/990</f>
        <v>12.012161616161617</v>
      </c>
      <c r="Q29" s="97">
        <f>+O9-P29</f>
        <v>2.7378383838383833</v>
      </c>
      <c r="S29" s="48">
        <f>+Q9*-1</f>
        <v>10.246468470931177</v>
      </c>
    </row>
    <row r="30" spans="1:19" ht="15" customHeight="1" x14ac:dyDescent="0.3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 t="shared" si="7"/>
        <v>0</v>
      </c>
      <c r="H30" s="62"/>
      <c r="I30" s="72" t="s">
        <v>78</v>
      </c>
      <c r="J30" s="75">
        <f>+'27-03-2025'!J34</f>
        <v>-135</v>
      </c>
      <c r="K30" s="101" t="s">
        <v>32</v>
      </c>
      <c r="L30" s="92"/>
      <c r="M30" s="94"/>
      <c r="N30" s="94"/>
      <c r="O30" s="95" t="s">
        <v>96</v>
      </c>
      <c r="P30" s="100"/>
      <c r="Q30" s="97"/>
      <c r="S30" s="48" t="e">
        <f>+#REF!*-1</f>
        <v>#REF!</v>
      </c>
    </row>
    <row r="31" spans="1:19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0</v>
      </c>
      <c r="H31" s="104"/>
      <c r="I31" s="74" t="s">
        <v>98</v>
      </c>
      <c r="J31" s="105">
        <v>50</v>
      </c>
      <c r="K31" s="106" t="s">
        <v>33</v>
      </c>
      <c r="L31" s="92">
        <v>980</v>
      </c>
      <c r="M31" s="94" t="s">
        <v>195</v>
      </c>
      <c r="N31" s="94" t="s">
        <v>160</v>
      </c>
      <c r="O31" s="95" t="s">
        <v>93</v>
      </c>
      <c r="P31" s="100">
        <f>12240.38/980</f>
        <v>12.490183673469387</v>
      </c>
      <c r="Q31" s="97">
        <f>+O10-P31</f>
        <v>2.5998163265306129</v>
      </c>
      <c r="R31" s="3" t="s">
        <v>99</v>
      </c>
      <c r="S31" s="48">
        <f t="shared" ref="S31" si="8">+Q10*-1</f>
        <v>2.1305343892925066</v>
      </c>
    </row>
    <row r="32" spans="1:19" ht="15" thickBot="1" x14ac:dyDescent="0.35">
      <c r="A32" s="266"/>
      <c r="B32" s="267"/>
      <c r="C32" s="267"/>
      <c r="D32" s="268"/>
      <c r="E32" s="268"/>
      <c r="F32" s="268"/>
      <c r="G32" s="268"/>
      <c r="H32" s="269"/>
      <c r="I32" s="74" t="s">
        <v>100</v>
      </c>
      <c r="J32" s="105"/>
      <c r="K32" s="107"/>
      <c r="L32" s="108"/>
      <c r="M32" s="94"/>
      <c r="N32" s="94"/>
      <c r="O32" s="95" t="s">
        <v>93</v>
      </c>
      <c r="P32" s="96"/>
      <c r="Q32" s="97"/>
      <c r="R32" s="109"/>
    </row>
    <row r="33" spans="1:18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75</v>
      </c>
      <c r="J33" s="113"/>
      <c r="K33" s="114" t="s">
        <v>106</v>
      </c>
      <c r="L33" s="115">
        <f>+O2</f>
        <v>45744</v>
      </c>
      <c r="M33" s="273" t="s">
        <v>107</v>
      </c>
      <c r="N33" s="274"/>
      <c r="O33" s="274"/>
      <c r="P33" s="275"/>
      <c r="Q33" s="116"/>
      <c r="R33" s="109"/>
    </row>
    <row r="34" spans="1:18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78</v>
      </c>
      <c r="J34" s="124">
        <f>+J30-J31-J32+J33</f>
        <v>-185</v>
      </c>
      <c r="K34" s="118" t="s">
        <v>58</v>
      </c>
      <c r="L34" s="125">
        <v>2037</v>
      </c>
      <c r="M34" s="276"/>
      <c r="N34" s="276"/>
      <c r="O34" s="276"/>
      <c r="P34" s="277"/>
      <c r="Q34" s="116"/>
      <c r="R34" s="109"/>
    </row>
    <row r="35" spans="1:18" ht="15.75" customHeight="1" thickBot="1" x14ac:dyDescent="0.35">
      <c r="A35" s="126" t="s">
        <v>109</v>
      </c>
      <c r="B35" s="127">
        <v>496</v>
      </c>
      <c r="C35" s="127"/>
      <c r="D35" s="128" t="s">
        <v>110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111</v>
      </c>
      <c r="J35" s="280"/>
      <c r="K35" s="133" t="s">
        <v>29</v>
      </c>
      <c r="L35" s="134">
        <v>879</v>
      </c>
      <c r="M35" s="278"/>
      <c r="N35" s="278"/>
      <c r="O35" s="278"/>
      <c r="P35" s="279"/>
      <c r="Q35" s="116"/>
      <c r="R35" s="109"/>
    </row>
    <row r="36" spans="1:18" ht="15.75" customHeight="1" thickBot="1" x14ac:dyDescent="0.35">
      <c r="A36" s="135" t="s">
        <v>112</v>
      </c>
      <c r="B36" s="136">
        <v>287</v>
      </c>
      <c r="C36" s="136">
        <v>298.26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137" t="s">
        <v>68</v>
      </c>
      <c r="J36" s="138">
        <f>+'03-03-2025'!I39</f>
        <v>274.83</v>
      </c>
      <c r="K36" s="128" t="s">
        <v>113</v>
      </c>
      <c r="L36" s="134"/>
      <c r="M36" s="281" t="s">
        <v>114</v>
      </c>
      <c r="N36" s="281"/>
      <c r="O36" s="140">
        <f>+L33</f>
        <v>45744</v>
      </c>
      <c r="P36" s="140"/>
      <c r="Q36" s="116"/>
      <c r="R36" s="109"/>
    </row>
    <row r="37" spans="1:18" ht="16.2" thickBot="1" x14ac:dyDescent="0.35">
      <c r="A37" s="135"/>
      <c r="B37" s="141"/>
      <c r="C37" s="142"/>
      <c r="D37" s="128" t="s">
        <v>33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69</v>
      </c>
      <c r="J37" s="143"/>
      <c r="K37" s="144" t="s">
        <v>115</v>
      </c>
      <c r="L37" s="265"/>
      <c r="M37" s="146" t="s">
        <v>58</v>
      </c>
      <c r="N37" s="147" t="s">
        <v>116</v>
      </c>
      <c r="O37" s="148">
        <f>+L34</f>
        <v>2037</v>
      </c>
      <c r="P37" s="149"/>
      <c r="Q37" s="150"/>
      <c r="R37" s="109"/>
    </row>
    <row r="38" spans="1:18" ht="16.2" thickBot="1" x14ac:dyDescent="0.35">
      <c r="A38" s="151" t="s">
        <v>117</v>
      </c>
      <c r="B38" s="152">
        <f>SUM(B35:B37)</f>
        <v>783</v>
      </c>
      <c r="C38" s="153">
        <f>SUM(C35:C37)</f>
        <v>298.26</v>
      </c>
      <c r="D38" s="144" t="s">
        <v>29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75</v>
      </c>
      <c r="J38" s="158"/>
      <c r="K38" s="159" t="s">
        <v>97</v>
      </c>
      <c r="L38" s="160">
        <f>SUM(L34:L37)</f>
        <v>2916</v>
      </c>
      <c r="M38" s="161" t="s">
        <v>29</v>
      </c>
      <c r="N38" s="162" t="s">
        <v>118</v>
      </c>
      <c r="O38" s="163">
        <f>+L35</f>
        <v>879</v>
      </c>
      <c r="P38" s="164"/>
      <c r="Q38" s="150"/>
      <c r="R38" s="109"/>
    </row>
    <row r="39" spans="1:18" ht="24.6" thickTop="1" thickBot="1" x14ac:dyDescent="0.5">
      <c r="A39" s="165" t="s">
        <v>119</v>
      </c>
      <c r="B39" s="166">
        <f>SUM(B38:C38)</f>
        <v>1081.26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78</v>
      </c>
      <c r="J39" s="124">
        <f>+J36+J37-J38</f>
        <v>274.83</v>
      </c>
      <c r="K39" s="173" t="s">
        <v>120</v>
      </c>
      <c r="L39" s="174">
        <f>+P23-L38</f>
        <v>0</v>
      </c>
      <c r="M39" s="282" t="s">
        <v>97</v>
      </c>
      <c r="N39" s="283"/>
      <c r="O39" s="284">
        <f>SUM(O37:P38)</f>
        <v>2916</v>
      </c>
      <c r="P39" s="285"/>
      <c r="Q39" s="150"/>
      <c r="R39" s="109"/>
    </row>
    <row r="40" spans="1:18" ht="15" thickBot="1" x14ac:dyDescent="0.35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79"/>
      <c r="F41" s="180"/>
      <c r="G41" s="183"/>
      <c r="H41" s="270" t="s">
        <v>125</v>
      </c>
      <c r="I41" s="271"/>
      <c r="J41" s="271"/>
      <c r="K41" s="271"/>
      <c r="L41" s="272"/>
      <c r="P41" s="181"/>
      <c r="Q41" s="150"/>
    </row>
    <row r="42" spans="1:18" ht="15.6" x14ac:dyDescent="0.3">
      <c r="A42" s="182" t="s">
        <v>30</v>
      </c>
      <c r="B42" s="183">
        <f>IF(D42&gt;"0",0,(D42/C42))</f>
        <v>73.526984126984118</v>
      </c>
      <c r="C42" s="184">
        <v>15.75</v>
      </c>
      <c r="D42" s="185">
        <v>1158.05</v>
      </c>
      <c r="E42" s="186"/>
      <c r="F42" s="186"/>
      <c r="G42" s="183"/>
      <c r="H42" s="187" t="s">
        <v>126</v>
      </c>
      <c r="I42" s="188"/>
      <c r="J42" s="189">
        <v>2.0185</v>
      </c>
      <c r="K42" s="190">
        <f>+I42/J42</f>
        <v>0</v>
      </c>
      <c r="L42" s="191" t="s">
        <v>127</v>
      </c>
      <c r="M42" s="192"/>
      <c r="N42" s="193" t="s">
        <v>2</v>
      </c>
      <c r="O42" s="194"/>
      <c r="Q42" s="3"/>
    </row>
    <row r="43" spans="1:18" ht="15.6" x14ac:dyDescent="0.3">
      <c r="A43" s="182" t="s">
        <v>31</v>
      </c>
      <c r="B43" s="183">
        <f>IF(D43&gt;"0",0,(D43/C43))</f>
        <v>70.709152542372877</v>
      </c>
      <c r="C43" s="184">
        <v>14.75</v>
      </c>
      <c r="D43" s="185">
        <v>1042.96</v>
      </c>
      <c r="E43" s="186"/>
      <c r="F43" s="186"/>
      <c r="G43" s="183"/>
      <c r="H43" s="195" t="s">
        <v>128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129</v>
      </c>
      <c r="M43" s="200"/>
      <c r="N43" s="193" t="s">
        <v>130</v>
      </c>
      <c r="O43" s="194"/>
      <c r="P43" s="201"/>
      <c r="Q43" s="3"/>
    </row>
    <row r="44" spans="1:18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6" x14ac:dyDescent="0.3">
      <c r="A45" s="182" t="s">
        <v>131</v>
      </c>
      <c r="B45" s="183">
        <f>IF(D45&gt;"0",0,(D45/C45))</f>
        <v>77.145791915175622</v>
      </c>
      <c r="C45" s="184">
        <v>15.09</v>
      </c>
      <c r="D45" s="185">
        <v>1164.1300000000001</v>
      </c>
      <c r="E45" s="186"/>
      <c r="F45" s="186"/>
      <c r="G45" s="183"/>
      <c r="H45" s="206" t="s">
        <v>132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34</v>
      </c>
      <c r="N45" s="211" t="s">
        <v>133</v>
      </c>
      <c r="O45" s="3" t="s">
        <v>116</v>
      </c>
      <c r="P45" s="201"/>
      <c r="Q45" s="3"/>
      <c r="R45" s="201"/>
    </row>
    <row r="46" spans="1:18" ht="15.6" x14ac:dyDescent="0.3">
      <c r="A46" s="182" t="s">
        <v>29</v>
      </c>
      <c r="B46" s="183">
        <f>IF(D46&gt;"0",0,(D46/C46))</f>
        <v>157.16555407209614</v>
      </c>
      <c r="C46" s="184">
        <v>7.49</v>
      </c>
      <c r="D46" s="185">
        <v>1177.17</v>
      </c>
      <c r="E46" s="186"/>
      <c r="F46" s="186"/>
      <c r="G46" s="183"/>
      <c r="H46" s="262">
        <f>(L34+B38+P21+P22+P20+L36)-SUM(D42:D45)+(P18+P19)</f>
        <v>-5.0100000000002183</v>
      </c>
      <c r="I46" s="203" t="s">
        <v>134</v>
      </c>
      <c r="J46" s="196" t="s">
        <v>135</v>
      </c>
      <c r="K46" s="214">
        <v>2.1061999999999999</v>
      </c>
      <c r="L46" s="215"/>
      <c r="M46" s="200"/>
      <c r="N46" s="3" t="s">
        <v>136</v>
      </c>
      <c r="O46" s="194"/>
      <c r="P46" s="201"/>
      <c r="Q46" s="3"/>
      <c r="R46" s="201"/>
    </row>
    <row r="47" spans="1:18" ht="16.5" customHeight="1" thickBot="1" x14ac:dyDescent="0.35">
      <c r="A47" s="180"/>
      <c r="B47" s="216">
        <f>SUM(B42:B46)</f>
        <v>378.54748265662874</v>
      </c>
      <c r="C47" s="216"/>
      <c r="D47" s="217">
        <f>SUM(D42:D46)</f>
        <v>4542.3100000000004</v>
      </c>
      <c r="E47" s="217">
        <v>4542.3100000000004</v>
      </c>
      <c r="F47" s="186"/>
      <c r="G47" s="183"/>
      <c r="H47" s="263">
        <f>(C36+L35+L37)-D46</f>
        <v>8.9999999999918145E-2</v>
      </c>
      <c r="I47" s="220" t="s">
        <v>90</v>
      </c>
      <c r="J47" s="221" t="s">
        <v>137</v>
      </c>
      <c r="K47" s="222">
        <v>2.0185</v>
      </c>
      <c r="L47" s="223" t="e">
        <f>+K45-K43</f>
        <v>#DIV/0!</v>
      </c>
      <c r="M47" s="200"/>
      <c r="N47" s="205" t="s">
        <v>138</v>
      </c>
      <c r="O47" s="194"/>
      <c r="P47" s="201"/>
      <c r="Q47" s="3"/>
      <c r="R47" s="201"/>
    </row>
    <row r="48" spans="1:18" ht="16.2" thickTop="1" x14ac:dyDescent="0.3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3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6" x14ac:dyDescent="0.3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6" x14ac:dyDescent="0.3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6" x14ac:dyDescent="0.3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6" x14ac:dyDescent="0.3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6" x14ac:dyDescent="0.3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6" x14ac:dyDescent="0.3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6" x14ac:dyDescent="0.3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6" x14ac:dyDescent="0.3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6" x14ac:dyDescent="0.3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6" x14ac:dyDescent="0.3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6" x14ac:dyDescent="0.3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6" x14ac:dyDescent="0.3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6" x14ac:dyDescent="0.3">
      <c r="A62" s="244"/>
      <c r="D62" s="229"/>
      <c r="F62" s="250"/>
      <c r="G62" s="246"/>
      <c r="N62" s="109"/>
      <c r="O62" s="109"/>
      <c r="P62" s="109"/>
      <c r="Q62" s="3"/>
    </row>
    <row r="63" spans="1:17" x14ac:dyDescent="0.3">
      <c r="A63" s="238"/>
      <c r="D63" s="109"/>
      <c r="F63" s="249"/>
      <c r="G63" s="246"/>
      <c r="N63" s="109"/>
      <c r="O63" s="109"/>
      <c r="P63" s="109"/>
      <c r="Q63" s="3"/>
    </row>
    <row r="64" spans="1:17" x14ac:dyDescent="0.3">
      <c r="A64" s="238"/>
      <c r="F64" s="249"/>
      <c r="G64" s="246"/>
      <c r="N64" s="109"/>
      <c r="O64" s="109"/>
      <c r="P64" s="109"/>
      <c r="Q64" s="3"/>
    </row>
    <row r="65" spans="1:20" x14ac:dyDescent="0.3">
      <c r="A65" s="238">
        <v>84</v>
      </c>
      <c r="F65" s="251"/>
      <c r="G65" s="246"/>
      <c r="N65" s="109"/>
      <c r="Q65" s="3"/>
    </row>
    <row r="66" spans="1:20" x14ac:dyDescent="0.3">
      <c r="A66" s="244" t="s">
        <v>131</v>
      </c>
      <c r="F66" s="249"/>
      <c r="G66" s="246"/>
      <c r="N66" s="109"/>
      <c r="Q66" s="3"/>
    </row>
    <row r="67" spans="1:20" x14ac:dyDescent="0.3">
      <c r="A67" s="85"/>
      <c r="F67" s="247"/>
      <c r="G67" s="246"/>
      <c r="N67" s="109"/>
      <c r="Q67" s="3"/>
    </row>
    <row r="68" spans="1:20" x14ac:dyDescent="0.3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3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3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3">
      <c r="A71" s="244" t="s">
        <v>131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3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3">
      <c r="A73" s="244" t="s">
        <v>29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3">
      <c r="A74" s="244" t="s">
        <v>29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3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3">
      <c r="A76" s="244" t="s">
        <v>29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3">
      <c r="A77" s="244" t="s">
        <v>29</v>
      </c>
      <c r="F77" s="255"/>
      <c r="G77" s="254"/>
      <c r="N77" s="109"/>
      <c r="O77" s="109"/>
      <c r="P77" s="109"/>
      <c r="Q77" s="109"/>
      <c r="R77" s="200"/>
    </row>
    <row r="78" spans="1:20" x14ac:dyDescent="0.3">
      <c r="A78" s="85"/>
      <c r="F78" s="255"/>
      <c r="G78" s="228"/>
      <c r="N78" s="109"/>
      <c r="O78" s="109"/>
      <c r="P78" s="109"/>
      <c r="Q78" s="109"/>
      <c r="R78" s="200"/>
    </row>
    <row r="79" spans="1:20" x14ac:dyDescent="0.3">
      <c r="A79" s="85"/>
      <c r="F79" s="239"/>
      <c r="G79" s="228"/>
      <c r="N79" s="109"/>
      <c r="O79" s="109"/>
      <c r="P79" s="109"/>
      <c r="Q79" s="109"/>
      <c r="R79" s="200"/>
    </row>
    <row r="80" spans="1:20" x14ac:dyDescent="0.3">
      <c r="A80" s="85"/>
      <c r="F80" s="241"/>
      <c r="G80" s="228"/>
      <c r="N80" s="109"/>
      <c r="O80" s="109"/>
      <c r="P80" s="109"/>
      <c r="Q80" s="109"/>
      <c r="R80" s="200"/>
    </row>
    <row r="81" spans="1:19" x14ac:dyDescent="0.3">
      <c r="A81" s="85"/>
      <c r="F81" s="241"/>
      <c r="G81" s="228"/>
      <c r="N81" s="109"/>
      <c r="O81" s="109"/>
      <c r="P81" s="109"/>
      <c r="Q81" s="109"/>
      <c r="R81" s="200"/>
    </row>
    <row r="82" spans="1:19" x14ac:dyDescent="0.3">
      <c r="A82" s="85"/>
      <c r="F82" s="228"/>
      <c r="G82" s="228"/>
      <c r="N82" s="109"/>
      <c r="O82" s="109"/>
      <c r="P82" s="109"/>
      <c r="Q82" s="109"/>
    </row>
    <row r="83" spans="1:19" x14ac:dyDescent="0.3">
      <c r="N83" s="109"/>
      <c r="O83" s="109"/>
      <c r="P83" s="109"/>
      <c r="Q83" s="109"/>
    </row>
    <row r="84" spans="1:19" x14ac:dyDescent="0.3">
      <c r="N84" s="109"/>
      <c r="O84" s="257"/>
      <c r="P84" s="257"/>
      <c r="Q84" s="109"/>
    </row>
    <row r="85" spans="1:19" x14ac:dyDescent="0.3">
      <c r="N85" s="109"/>
      <c r="O85" s="257"/>
      <c r="P85" s="257"/>
      <c r="Q85" s="109"/>
    </row>
    <row r="86" spans="1:19" x14ac:dyDescent="0.3">
      <c r="N86" s="109"/>
      <c r="O86" s="257"/>
      <c r="P86" s="257"/>
      <c r="Q86" s="109"/>
    </row>
    <row r="87" spans="1:19" x14ac:dyDescent="0.3">
      <c r="N87" s="109"/>
      <c r="O87" s="257"/>
      <c r="P87" s="257"/>
      <c r="Q87" s="109"/>
    </row>
    <row r="88" spans="1:19" x14ac:dyDescent="0.3">
      <c r="N88" s="109"/>
      <c r="O88" s="257"/>
      <c r="P88" s="257"/>
      <c r="Q88" s="109"/>
    </row>
    <row r="89" spans="1:19" x14ac:dyDescent="0.3">
      <c r="N89" s="109"/>
      <c r="O89" s="257"/>
      <c r="P89" s="257"/>
      <c r="Q89" s="109"/>
      <c r="S89" s="256"/>
    </row>
    <row r="90" spans="1:19" x14ac:dyDescent="0.3">
      <c r="Q90" s="3"/>
    </row>
    <row r="91" spans="1:19" x14ac:dyDescent="0.3">
      <c r="Q91" s="3"/>
    </row>
    <row r="92" spans="1:19" x14ac:dyDescent="0.3">
      <c r="Q92" s="3"/>
    </row>
    <row r="93" spans="1:19" s="70" customFormat="1" x14ac:dyDescent="0.3">
      <c r="H93" s="3"/>
      <c r="I93" s="3"/>
      <c r="J93" s="3"/>
      <c r="K93" s="3"/>
      <c r="L93" s="3"/>
      <c r="M93" s="3"/>
    </row>
    <row r="94" spans="1:19" s="70" customFormat="1" x14ac:dyDescent="0.3">
      <c r="H94" s="3"/>
      <c r="I94" s="3"/>
      <c r="J94" s="3"/>
      <c r="K94" s="3"/>
      <c r="L94" s="3"/>
      <c r="M94" s="3"/>
    </row>
    <row r="95" spans="1:19" s="70" customFormat="1" x14ac:dyDescent="0.3">
      <c r="H95" s="3"/>
      <c r="I95" s="3"/>
      <c r="J95" s="3"/>
      <c r="K95" s="3"/>
      <c r="L95" s="3"/>
      <c r="M95" s="3"/>
    </row>
    <row r="96" spans="1:19" s="70" customFormat="1" x14ac:dyDescent="0.3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3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3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" thickBot="1" x14ac:dyDescent="0.35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3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3">
      <c r="N101" s="109"/>
      <c r="O101" s="257"/>
      <c r="P101" s="257"/>
      <c r="Q101" s="109"/>
    </row>
    <row r="102" spans="8:17" x14ac:dyDescent="0.3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3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3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3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3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3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3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3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3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3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3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" thickBot="1" x14ac:dyDescent="0.35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3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3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3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3">
      <c r="N117" s="109"/>
      <c r="O117" s="257"/>
    </row>
    <row r="118" spans="8:17" x14ac:dyDescent="0.3">
      <c r="N118" s="109"/>
      <c r="O118" s="257"/>
    </row>
    <row r="119" spans="8:17" x14ac:dyDescent="0.3">
      <c r="N119" s="109"/>
      <c r="O119" s="205"/>
    </row>
    <row r="120" spans="8:17" x14ac:dyDescent="0.3">
      <c r="N120" s="109"/>
    </row>
    <row r="121" spans="8:17" x14ac:dyDescent="0.3">
      <c r="N121" s="109"/>
    </row>
    <row r="122" spans="8:17" x14ac:dyDescent="0.3">
      <c r="N122" s="109"/>
    </row>
    <row r="123" spans="8:17" x14ac:dyDescent="0.3">
      <c r="N123" s="109"/>
    </row>
    <row r="124" spans="8:17" x14ac:dyDescent="0.3">
      <c r="N124" s="109"/>
    </row>
    <row r="125" spans="8:17" x14ac:dyDescent="0.3">
      <c r="N125" s="109"/>
    </row>
    <row r="126" spans="8:17" ht="15" thickBot="1" x14ac:dyDescent="0.35">
      <c r="N126" s="109"/>
      <c r="O126" s="261"/>
      <c r="P126" s="261"/>
    </row>
    <row r="127" spans="8:17" s="70" customFormat="1" x14ac:dyDescent="0.3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3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3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3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3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3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3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3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3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3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3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3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3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3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" thickBot="1" x14ac:dyDescent="0.35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 xr:uid="{00000000-0009-0000-0000-000005000000}"/>
  <mergeCells count="64">
    <mergeCell ref="A32:H32"/>
    <mergeCell ref="H41:L41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972D-579E-494A-9275-AFA07FD7B170}">
  <sheetPr>
    <pageSetUpPr fitToPage="1"/>
  </sheetPr>
  <dimension ref="A1:X141"/>
  <sheetViews>
    <sheetView zoomScale="90" zoomScaleNormal="90" workbookViewId="0">
      <selection activeCell="A10" sqref="A10:XFD10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3.44140625" style="3" bestFit="1" customWidth="1"/>
    <col min="6" max="6" width="12.6640625" style="3" customWidth="1"/>
    <col min="7" max="7" width="11.33203125" style="3" customWidth="1"/>
    <col min="8" max="8" width="12" style="3" customWidth="1"/>
    <col min="9" max="9" width="12.109375" style="3" customWidth="1"/>
    <col min="10" max="10" width="11.44140625" style="3" customWidth="1"/>
    <col min="11" max="11" width="12.109375" style="3" bestFit="1" customWidth="1"/>
    <col min="12" max="12" width="13.33203125" style="3" bestFit="1" customWidth="1"/>
    <col min="13" max="13" width="12.44140625" style="3" customWidth="1"/>
    <col min="14" max="14" width="14.6640625" style="3" customWidth="1"/>
    <col min="15" max="15" width="15" style="3" customWidth="1"/>
    <col min="16" max="16" width="16" style="3" customWidth="1"/>
    <col min="17" max="17" width="11.44140625" style="70" bestFit="1" customWidth="1"/>
    <col min="18" max="18" width="3.44140625" style="3" customWidth="1"/>
    <col min="19" max="19" width="13.109375" style="3" customWidth="1"/>
    <col min="20" max="20" width="12" style="3" bestFit="1" customWidth="1"/>
    <col min="21" max="16384" width="11.44140625" style="3"/>
  </cols>
  <sheetData>
    <row r="1" spans="1:24" x14ac:dyDescent="0.3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3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45745</v>
      </c>
      <c r="P2" s="354"/>
      <c r="Q2" s="5">
        <v>45658</v>
      </c>
    </row>
    <row r="3" spans="1:24" ht="15" thickBot="1" x14ac:dyDescent="0.35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88</v>
      </c>
      <c r="P3" s="359"/>
      <c r="Q3" s="5">
        <v>44197</v>
      </c>
      <c r="R3" s="7"/>
    </row>
    <row r="4" spans="1:24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3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24</v>
      </c>
      <c r="L6" s="16" t="s">
        <v>17</v>
      </c>
      <c r="M6" s="16" t="s">
        <v>24</v>
      </c>
      <c r="N6" s="16" t="s">
        <v>25</v>
      </c>
      <c r="O6" s="16" t="s">
        <v>26</v>
      </c>
      <c r="P6" s="17" t="s">
        <v>27</v>
      </c>
      <c r="Q6" s="18" t="s">
        <v>28</v>
      </c>
      <c r="R6" s="19"/>
    </row>
    <row r="7" spans="1:24" s="31" customFormat="1" ht="15" customHeight="1" x14ac:dyDescent="0.3">
      <c r="A7" s="20" t="s">
        <v>29</v>
      </c>
      <c r="B7" s="21">
        <f>+'28-03-2025'!K7</f>
        <v>2519.889181791933</v>
      </c>
      <c r="C7" s="22">
        <f>L26+L27</f>
        <v>0</v>
      </c>
      <c r="D7" s="23"/>
      <c r="E7" s="23"/>
      <c r="F7" s="24">
        <f t="shared" ref="F7:F10" si="0">+B7+C7+D7+E7</f>
        <v>2519.889181791933</v>
      </c>
      <c r="G7" s="25">
        <f>B46-H7</f>
        <v>143.61014686248333</v>
      </c>
      <c r="H7" s="22"/>
      <c r="I7" s="26"/>
      <c r="J7" s="21">
        <f t="shared" ref="J7:J10" si="1">+G7+H7+I7</f>
        <v>143.61014686248333</v>
      </c>
      <c r="K7" s="21">
        <f t="shared" ref="K7:K10" si="2">+F7-J7</f>
        <v>2376.2790349294496</v>
      </c>
      <c r="L7" s="27">
        <f>+'28-03-2025'!M7</f>
        <v>2519.889181791933</v>
      </c>
      <c r="M7" s="28">
        <v>2376.2790349294496</v>
      </c>
      <c r="N7" s="24">
        <f t="shared" ref="N7:N10" si="3">+G7</f>
        <v>143.61014686248333</v>
      </c>
      <c r="O7" s="24">
        <f>+C46</f>
        <v>7.49</v>
      </c>
      <c r="P7" s="29">
        <f t="shared" ref="P7:P10" si="4">+N7*O7</f>
        <v>1075.6400000000001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3">
      <c r="A8" s="20" t="s">
        <v>30</v>
      </c>
      <c r="B8" s="21">
        <f>+'28-03-2025'!K8</f>
        <v>1467.1869033079647</v>
      </c>
      <c r="C8" s="22">
        <f>L28</f>
        <v>0</v>
      </c>
      <c r="D8" s="33"/>
      <c r="E8" s="23"/>
      <c r="F8" s="24">
        <f t="shared" si="0"/>
        <v>1467.1869033079647</v>
      </c>
      <c r="G8" s="25">
        <f>+B42-H8</f>
        <v>94.263492063492066</v>
      </c>
      <c r="H8" s="22">
        <f>+E8</f>
        <v>0</v>
      </c>
      <c r="I8" s="26"/>
      <c r="J8" s="21">
        <f t="shared" si="1"/>
        <v>94.263492063492066</v>
      </c>
      <c r="K8" s="21">
        <f t="shared" si="2"/>
        <v>1372.9234112444726</v>
      </c>
      <c r="L8" s="27">
        <f>+'28-03-2025'!M8</f>
        <v>1460</v>
      </c>
      <c r="M8" s="28">
        <v>1365</v>
      </c>
      <c r="N8" s="24">
        <f t="shared" si="3"/>
        <v>94.263492063492066</v>
      </c>
      <c r="O8" s="24">
        <f>+C42</f>
        <v>15.75</v>
      </c>
      <c r="P8" s="29">
        <f t="shared" si="4"/>
        <v>1484.65</v>
      </c>
      <c r="Q8" s="30">
        <f t="shared" si="5"/>
        <v>-7.9234112444726179</v>
      </c>
      <c r="S8" s="32"/>
      <c r="T8" s="35">
        <v>150</v>
      </c>
      <c r="U8" s="32"/>
      <c r="V8" s="32"/>
      <c r="W8" s="36"/>
      <c r="X8" s="36"/>
    </row>
    <row r="9" spans="1:24" s="31" customFormat="1" x14ac:dyDescent="0.3">
      <c r="A9" s="37" t="s">
        <v>31</v>
      </c>
      <c r="B9" s="21">
        <f>+'28-03-2025'!K9</f>
        <v>1035.2464684709312</v>
      </c>
      <c r="C9" s="22">
        <f>L29</f>
        <v>0</v>
      </c>
      <c r="D9" s="33"/>
      <c r="E9" s="23"/>
      <c r="F9" s="24">
        <f t="shared" si="0"/>
        <v>1035.2464684709312</v>
      </c>
      <c r="G9" s="25">
        <f>+B43-H9</f>
        <v>50.782372881355933</v>
      </c>
      <c r="H9" s="22">
        <f>+E9</f>
        <v>0</v>
      </c>
      <c r="I9" s="26"/>
      <c r="J9" s="21">
        <f t="shared" si="1"/>
        <v>50.782372881355933</v>
      </c>
      <c r="K9" s="21">
        <f t="shared" si="2"/>
        <v>984.46409558957521</v>
      </c>
      <c r="L9" s="27">
        <f>+'28-03-2025'!M9</f>
        <v>1025</v>
      </c>
      <c r="M9" s="28">
        <v>975</v>
      </c>
      <c r="N9" s="24">
        <f t="shared" si="3"/>
        <v>50.782372881355933</v>
      </c>
      <c r="O9" s="24">
        <f>+C43</f>
        <v>14.75</v>
      </c>
      <c r="P9" s="29">
        <f t="shared" si="4"/>
        <v>749.04</v>
      </c>
      <c r="Q9" s="30">
        <f t="shared" si="5"/>
        <v>-9.4640955895752086</v>
      </c>
      <c r="R9" s="34"/>
      <c r="S9" s="32"/>
      <c r="T9" s="38">
        <v>160</v>
      </c>
      <c r="U9" s="32"/>
    </row>
    <row r="10" spans="1:24" s="31" customFormat="1" ht="15" thickBot="1" x14ac:dyDescent="0.35">
      <c r="A10" s="39" t="s">
        <v>197</v>
      </c>
      <c r="B10" s="21">
        <f>+'28-03-2025'!K10</f>
        <v>1762.1305343892925</v>
      </c>
      <c r="C10" s="40">
        <f>L31</f>
        <v>0</v>
      </c>
      <c r="D10" s="41"/>
      <c r="E10" s="42"/>
      <c r="F10" s="24">
        <f t="shared" si="0"/>
        <v>1762.1305343892925</v>
      </c>
      <c r="G10" s="43">
        <f>+B45-H10</f>
        <v>133.83764082173624</v>
      </c>
      <c r="H10" s="40">
        <f>+E10</f>
        <v>0</v>
      </c>
      <c r="I10" s="26"/>
      <c r="J10" s="44">
        <f t="shared" si="1"/>
        <v>133.83764082173624</v>
      </c>
      <c r="K10" s="44">
        <f t="shared" si="2"/>
        <v>1628.2928935675563</v>
      </c>
      <c r="L10" s="27">
        <f>+'28-03-2025'!M10</f>
        <v>1760</v>
      </c>
      <c r="M10" s="28">
        <v>1630</v>
      </c>
      <c r="N10" s="42">
        <f t="shared" si="3"/>
        <v>133.83764082173624</v>
      </c>
      <c r="O10" s="42">
        <f>+C45</f>
        <v>15.09</v>
      </c>
      <c r="P10" s="45">
        <f t="shared" si="4"/>
        <v>2019.61</v>
      </c>
      <c r="Q10" s="30">
        <f t="shared" si="5"/>
        <v>1.707106432443652</v>
      </c>
      <c r="R10" s="34"/>
      <c r="S10" s="32"/>
      <c r="T10" s="38">
        <v>190</v>
      </c>
      <c r="U10" s="32"/>
    </row>
    <row r="11" spans="1:24" s="31" customFormat="1" ht="15" thickBot="1" x14ac:dyDescent="0.35">
      <c r="A11" s="46" t="s">
        <v>34</v>
      </c>
      <c r="B11" s="21">
        <f t="shared" ref="B11:N11" si="6">SUM(B7:B10)</f>
        <v>6784.4530879601216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6784.4530879601216</v>
      </c>
      <c r="G11" s="21">
        <f t="shared" si="6"/>
        <v>422.49365262906758</v>
      </c>
      <c r="H11" s="21">
        <f t="shared" si="6"/>
        <v>0</v>
      </c>
      <c r="I11" s="21">
        <f t="shared" si="6"/>
        <v>0</v>
      </c>
      <c r="J11" s="21">
        <f t="shared" si="6"/>
        <v>422.49365262906758</v>
      </c>
      <c r="K11" s="21">
        <f t="shared" si="6"/>
        <v>6361.959435331054</v>
      </c>
      <c r="L11" s="27">
        <f t="shared" si="6"/>
        <v>6764.889181791933</v>
      </c>
      <c r="M11" s="21">
        <f t="shared" si="6"/>
        <v>6346.2790349294501</v>
      </c>
      <c r="N11" s="21">
        <f t="shared" si="6"/>
        <v>422.49365262906758</v>
      </c>
      <c r="O11" s="21"/>
      <c r="P11" s="21">
        <f>SUM(P7:P10)</f>
        <v>5328.94</v>
      </c>
      <c r="Q11" s="47"/>
    </row>
    <row r="12" spans="1:24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I12" s="326" t="s">
        <v>36</v>
      </c>
      <c r="J12" s="327"/>
      <c r="K12" s="327"/>
      <c r="L12" s="328"/>
      <c r="M12" s="329" t="s">
        <v>37</v>
      </c>
      <c r="N12" s="330"/>
      <c r="O12" s="330"/>
      <c r="P12" s="331"/>
      <c r="Q12" s="48"/>
      <c r="R12" s="31"/>
    </row>
    <row r="13" spans="1:24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1" t="s">
        <v>44</v>
      </c>
      <c r="J13" s="322"/>
      <c r="K13" s="52" t="s">
        <v>45</v>
      </c>
      <c r="L13" s="51" t="s">
        <v>46</v>
      </c>
      <c r="M13" s="309" t="s">
        <v>47</v>
      </c>
      <c r="N13" s="310"/>
      <c r="O13" s="53" t="s">
        <v>48</v>
      </c>
      <c r="P13" s="54" t="s">
        <v>42</v>
      </c>
      <c r="Q13" s="48"/>
    </row>
    <row r="14" spans="1:24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 t="shared" ref="G14:G30" si="7">+E14*F14</f>
        <v>0</v>
      </c>
      <c r="H14" s="62"/>
      <c r="I14" s="315" t="s">
        <v>52</v>
      </c>
      <c r="J14" s="316"/>
      <c r="K14" s="63"/>
      <c r="L14" s="63"/>
      <c r="M14" s="309" t="s">
        <v>53</v>
      </c>
      <c r="N14" s="310"/>
      <c r="O14" s="64">
        <f>+G11</f>
        <v>422.49365262906758</v>
      </c>
      <c r="P14" s="65">
        <f>+P11</f>
        <v>5328.94</v>
      </c>
      <c r="Q14" s="48"/>
    </row>
    <row r="15" spans="1:24" ht="15" thickBot="1" x14ac:dyDescent="0.35">
      <c r="A15" s="286" t="s">
        <v>54</v>
      </c>
      <c r="B15" s="287"/>
      <c r="C15" s="57" t="s">
        <v>50</v>
      </c>
      <c r="D15" s="58" t="s">
        <v>55</v>
      </c>
      <c r="E15" s="59"/>
      <c r="F15" s="60">
        <v>0.2</v>
      </c>
      <c r="G15" s="61">
        <f t="shared" si="7"/>
        <v>0</v>
      </c>
      <c r="H15" s="62"/>
      <c r="I15" s="317" t="s">
        <v>56</v>
      </c>
      <c r="J15" s="318"/>
      <c r="K15" s="66"/>
      <c r="L15" s="66"/>
      <c r="M15" s="309" t="s">
        <v>57</v>
      </c>
      <c r="N15" s="310"/>
      <c r="O15" s="67" t="s">
        <v>58</v>
      </c>
      <c r="P15" s="65">
        <f>+B38</f>
        <v>1411.02</v>
      </c>
      <c r="Q15" s="48">
        <f>+Q7/60</f>
        <v>0</v>
      </c>
    </row>
    <row r="16" spans="1:24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57</v>
      </c>
      <c r="N16" s="310"/>
      <c r="O16" s="67" t="s">
        <v>29</v>
      </c>
      <c r="P16" s="65">
        <f>+C38</f>
        <v>180.41</v>
      </c>
      <c r="Q16" s="48"/>
    </row>
    <row r="17" spans="1:19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 t="shared" si="7"/>
        <v>0</v>
      </c>
      <c r="H17" s="62"/>
      <c r="I17" s="311" t="s">
        <v>62</v>
      </c>
      <c r="J17" s="312"/>
      <c r="K17" s="313" t="s">
        <v>63</v>
      </c>
      <c r="L17" s="314"/>
      <c r="M17" s="288" t="s">
        <v>64</v>
      </c>
      <c r="N17" s="289"/>
      <c r="O17" s="290"/>
      <c r="P17" s="69">
        <v>0.62999999999965439</v>
      </c>
    </row>
    <row r="18" spans="1:19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 t="shared" si="7"/>
        <v>0</v>
      </c>
      <c r="H18" s="71"/>
      <c r="I18" s="296" t="s">
        <v>65</v>
      </c>
      <c r="J18" s="297"/>
      <c r="K18" s="301" t="s">
        <v>66</v>
      </c>
      <c r="L18" s="302"/>
      <c r="M18" s="360"/>
      <c r="N18" s="360"/>
      <c r="O18" s="361"/>
      <c r="P18" s="69"/>
    </row>
    <row r="19" spans="1:19" ht="15" customHeight="1" x14ac:dyDescent="0.3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 t="shared" si="7"/>
        <v>0</v>
      </c>
      <c r="H19" s="62"/>
      <c r="I19" s="72" t="s">
        <v>68</v>
      </c>
      <c r="J19" s="73">
        <f>+'[1]03'!J25</f>
        <v>4101.5004099999996</v>
      </c>
      <c r="K19" s="72" t="s">
        <v>68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 t="shared" si="7"/>
        <v>0</v>
      </c>
      <c r="H20" s="62"/>
      <c r="I20" s="74" t="s">
        <v>69</v>
      </c>
      <c r="J20" s="75">
        <v>248</v>
      </c>
      <c r="K20" s="76" t="s">
        <v>69</v>
      </c>
      <c r="L20" s="73">
        <f>+E24*(O10-F24)+E25*(O8-F25)+E26*(O9-F26)+E27*(O7-F27)</f>
        <v>201</v>
      </c>
      <c r="M20" s="288" t="s">
        <v>70</v>
      </c>
      <c r="N20" s="289"/>
      <c r="O20" s="290"/>
      <c r="P20" s="77">
        <f>+L20</f>
        <v>201</v>
      </c>
    </row>
    <row r="21" spans="1:19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72</v>
      </c>
      <c r="L21" s="73"/>
      <c r="M21" s="288" t="s">
        <v>73</v>
      </c>
      <c r="N21" s="289"/>
      <c r="O21" s="290"/>
      <c r="P21" s="77">
        <f>+G31</f>
        <v>0</v>
      </c>
    </row>
    <row r="22" spans="1:19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 t="shared" si="7"/>
        <v>0</v>
      </c>
      <c r="H22" s="71"/>
      <c r="I22" s="74" t="s">
        <v>75</v>
      </c>
      <c r="J22" s="75"/>
      <c r="K22" s="76" t="s">
        <v>75</v>
      </c>
      <c r="L22" s="78">
        <v>201</v>
      </c>
      <c r="M22" s="288" t="s">
        <v>76</v>
      </c>
      <c r="N22" s="289"/>
      <c r="O22" s="290"/>
      <c r="P22" s="77">
        <f>+J37+J20+J26+J31+J32</f>
        <v>248</v>
      </c>
    </row>
    <row r="23" spans="1:19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 t="shared" si="7"/>
        <v>0</v>
      </c>
      <c r="H23" s="71"/>
      <c r="I23" s="79" t="s">
        <v>78</v>
      </c>
      <c r="J23" s="80">
        <f>+J19+J20-J22</f>
        <v>4349.5004099999996</v>
      </c>
      <c r="K23" s="81" t="s">
        <v>78</v>
      </c>
      <c r="L23" s="82">
        <f>+L19-L20+L22+L21</f>
        <v>0</v>
      </c>
      <c r="M23" s="294" t="s">
        <v>79</v>
      </c>
      <c r="N23" s="295"/>
      <c r="O23" s="83"/>
      <c r="P23" s="84">
        <f>P14-SUM(P15:P22)</f>
        <v>3287.88</v>
      </c>
      <c r="Q23" s="48"/>
    </row>
    <row r="24" spans="1:19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/>
      <c r="F24" s="60">
        <v>0</v>
      </c>
      <c r="G24" s="61">
        <f t="shared" si="7"/>
        <v>0</v>
      </c>
      <c r="H24" s="71"/>
      <c r="I24" s="296" t="s">
        <v>81</v>
      </c>
      <c r="J24" s="297"/>
      <c r="K24" s="298" t="s">
        <v>82</v>
      </c>
      <c r="L24" s="299"/>
      <c r="M24" s="299"/>
      <c r="N24" s="299"/>
      <c r="O24" s="299"/>
      <c r="P24" s="300"/>
      <c r="Q24" s="85"/>
    </row>
    <row r="25" spans="1:19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 t="shared" si="7"/>
        <v>0</v>
      </c>
      <c r="H25" s="71"/>
      <c r="I25" s="72" t="s">
        <v>68</v>
      </c>
      <c r="J25" s="86">
        <f>+'[3]02'!J30</f>
        <v>2860.0556350000002</v>
      </c>
      <c r="K25" s="87" t="s">
        <v>83</v>
      </c>
      <c r="L25" s="53" t="s">
        <v>84</v>
      </c>
      <c r="M25" s="88" t="s">
        <v>85</v>
      </c>
      <c r="N25" s="88" t="s">
        <v>86</v>
      </c>
      <c r="O25" s="89" t="s">
        <v>87</v>
      </c>
      <c r="P25" s="90" t="s">
        <v>88</v>
      </c>
      <c r="Q25" s="3"/>
    </row>
    <row r="26" spans="1:19" x14ac:dyDescent="0.3">
      <c r="A26" s="286" t="s">
        <v>80</v>
      </c>
      <c r="B26" s="287"/>
      <c r="C26" s="58" t="s">
        <v>50</v>
      </c>
      <c r="D26" s="58" t="s">
        <v>61</v>
      </c>
      <c r="E26" s="59">
        <f>201/14.75</f>
        <v>13.627118644067796</v>
      </c>
      <c r="F26" s="60">
        <v>0</v>
      </c>
      <c r="G26" s="61">
        <f t="shared" si="7"/>
        <v>0</v>
      </c>
      <c r="H26" s="71" t="s">
        <v>194</v>
      </c>
      <c r="I26" s="74" t="s">
        <v>69</v>
      </c>
      <c r="J26" s="86"/>
      <c r="K26" s="91" t="s">
        <v>89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90</v>
      </c>
      <c r="S26" s="48">
        <f>+Q7*-1</f>
        <v>0</v>
      </c>
    </row>
    <row r="27" spans="1:19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 t="shared" si="7"/>
        <v>0</v>
      </c>
      <c r="H27" s="62"/>
      <c r="I27" s="74" t="s">
        <v>75</v>
      </c>
      <c r="J27" s="86"/>
      <c r="K27" s="91" t="s">
        <v>29</v>
      </c>
      <c r="L27" s="92"/>
      <c r="M27" s="94"/>
      <c r="N27" s="94"/>
      <c r="O27" s="95" t="s">
        <v>91</v>
      </c>
      <c r="P27" s="98"/>
      <c r="Q27" s="97"/>
      <c r="S27" s="48" t="e">
        <f>+#REF!*-1</f>
        <v>#REF!</v>
      </c>
    </row>
    <row r="28" spans="1:19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 t="shared" si="7"/>
        <v>0</v>
      </c>
      <c r="H28" s="62"/>
      <c r="I28" s="99" t="s">
        <v>78</v>
      </c>
      <c r="J28" s="86">
        <f>+J25+J26-J27</f>
        <v>2860.0556350000002</v>
      </c>
      <c r="K28" s="91" t="s">
        <v>30</v>
      </c>
      <c r="L28" s="92"/>
      <c r="M28" s="94"/>
      <c r="N28" s="94"/>
      <c r="O28" s="95" t="s">
        <v>93</v>
      </c>
      <c r="P28" s="100">
        <f>13044.36/990</f>
        <v>13.176121212121213</v>
      </c>
      <c r="Q28" s="97">
        <f>+O8-P28</f>
        <v>2.5738787878787868</v>
      </c>
      <c r="S28" s="48">
        <f>+Q8*-1</f>
        <v>7.9234112444726179</v>
      </c>
    </row>
    <row r="29" spans="1:19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 t="shared" si="7"/>
        <v>0</v>
      </c>
      <c r="H29" s="62"/>
      <c r="I29" s="296" t="s">
        <v>94</v>
      </c>
      <c r="J29" s="297"/>
      <c r="K29" s="101" t="s">
        <v>31</v>
      </c>
      <c r="L29" s="92"/>
      <c r="M29" s="94"/>
      <c r="N29" s="94"/>
      <c r="O29" s="95" t="s">
        <v>93</v>
      </c>
      <c r="P29" s="100">
        <f>11892.04/990</f>
        <v>12.012161616161617</v>
      </c>
      <c r="Q29" s="97">
        <f>+O9-P29</f>
        <v>2.7378383838383833</v>
      </c>
      <c r="S29" s="48">
        <f>+Q9*-1</f>
        <v>9.4640955895752086</v>
      </c>
    </row>
    <row r="30" spans="1:19" ht="15" customHeight="1" x14ac:dyDescent="0.3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 t="shared" si="7"/>
        <v>0</v>
      </c>
      <c r="H30" s="62"/>
      <c r="I30" s="72" t="s">
        <v>78</v>
      </c>
      <c r="J30" s="75">
        <f>+'27-03-2025'!J34</f>
        <v>-135</v>
      </c>
      <c r="K30" s="101" t="s">
        <v>32</v>
      </c>
      <c r="L30" s="92"/>
      <c r="M30" s="94"/>
      <c r="N30" s="94"/>
      <c r="O30" s="95" t="s">
        <v>96</v>
      </c>
      <c r="P30" s="100"/>
      <c r="Q30" s="97"/>
      <c r="S30" s="48" t="e">
        <f>+#REF!*-1</f>
        <v>#REF!</v>
      </c>
    </row>
    <row r="31" spans="1:19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0</v>
      </c>
      <c r="H31" s="104"/>
      <c r="I31" s="74" t="s">
        <v>98</v>
      </c>
      <c r="J31" s="105"/>
      <c r="K31" s="106" t="s">
        <v>33</v>
      </c>
      <c r="L31" s="92"/>
      <c r="M31" s="94"/>
      <c r="N31" s="94"/>
      <c r="O31" s="95" t="s">
        <v>91</v>
      </c>
      <c r="P31" s="100">
        <f>6649.01/500</f>
        <v>13.298020000000001</v>
      </c>
      <c r="Q31" s="97">
        <f>+O10-P31</f>
        <v>1.7919799999999988</v>
      </c>
      <c r="R31" s="3" t="s">
        <v>99</v>
      </c>
      <c r="S31" s="48">
        <f t="shared" ref="S31" si="8">+Q10*-1</f>
        <v>-1.707106432443652</v>
      </c>
    </row>
    <row r="32" spans="1:19" ht="15" thickBot="1" x14ac:dyDescent="0.35">
      <c r="A32" s="266"/>
      <c r="B32" s="267"/>
      <c r="C32" s="267"/>
      <c r="D32" s="268"/>
      <c r="E32" s="268"/>
      <c r="F32" s="268"/>
      <c r="G32" s="268"/>
      <c r="H32" s="269"/>
      <c r="I32" s="74" t="s">
        <v>100</v>
      </c>
      <c r="J32" s="105"/>
      <c r="K32" s="107"/>
      <c r="L32" s="108"/>
      <c r="M32" s="94"/>
      <c r="N32" s="94"/>
      <c r="O32" s="95" t="s">
        <v>93</v>
      </c>
      <c r="P32" s="96"/>
      <c r="Q32" s="97"/>
      <c r="R32" s="109"/>
    </row>
    <row r="33" spans="1:18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75</v>
      </c>
      <c r="J33" s="113"/>
      <c r="K33" s="114" t="s">
        <v>106</v>
      </c>
      <c r="L33" s="115">
        <f>+O2</f>
        <v>45745</v>
      </c>
      <c r="M33" s="273" t="s">
        <v>107</v>
      </c>
      <c r="N33" s="274"/>
      <c r="O33" s="274"/>
      <c r="P33" s="275"/>
      <c r="Q33" s="116"/>
      <c r="R33" s="109"/>
    </row>
    <row r="34" spans="1:18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78</v>
      </c>
      <c r="J34" s="124">
        <f>+J30-J31-J32+J33</f>
        <v>-135</v>
      </c>
      <c r="K34" s="118" t="s">
        <v>58</v>
      </c>
      <c r="L34" s="125">
        <v>2258.5</v>
      </c>
      <c r="M34" s="276"/>
      <c r="N34" s="276"/>
      <c r="O34" s="276"/>
      <c r="P34" s="277"/>
      <c r="Q34" s="116"/>
      <c r="R34" s="109"/>
    </row>
    <row r="35" spans="1:18" ht="15.75" customHeight="1" thickBot="1" x14ac:dyDescent="0.35">
      <c r="A35" s="126" t="s">
        <v>109</v>
      </c>
      <c r="B35" s="127">
        <v>790.27</v>
      </c>
      <c r="C35" s="127"/>
      <c r="D35" s="128" t="s">
        <v>110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111</v>
      </c>
      <c r="J35" s="280"/>
      <c r="K35" s="133" t="s">
        <v>29</v>
      </c>
      <c r="L35" s="134">
        <v>895.2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5">
      <c r="A36" s="135" t="s">
        <v>112</v>
      </c>
      <c r="B36" s="136">
        <v>620.75</v>
      </c>
      <c r="C36" s="136">
        <v>180.41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137" t="s">
        <v>68</v>
      </c>
      <c r="J36" s="138">
        <f>+'03-03-2025'!I39</f>
        <v>274.83</v>
      </c>
      <c r="K36" s="128" t="s">
        <v>113</v>
      </c>
      <c r="L36" s="134">
        <v>134.18</v>
      </c>
      <c r="M36" s="281" t="s">
        <v>114</v>
      </c>
      <c r="N36" s="281"/>
      <c r="O36" s="140">
        <f>+L33</f>
        <v>45745</v>
      </c>
      <c r="P36" s="140"/>
      <c r="Q36" s="116"/>
      <c r="R36" s="109"/>
    </row>
    <row r="37" spans="1:18" ht="16.2" thickBot="1" x14ac:dyDescent="0.35">
      <c r="A37" s="135"/>
      <c r="B37" s="141"/>
      <c r="C37" s="142"/>
      <c r="D37" s="128" t="s">
        <v>33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69</v>
      </c>
      <c r="J37" s="143"/>
      <c r="K37" s="144" t="s">
        <v>115</v>
      </c>
      <c r="L37" s="265"/>
      <c r="M37" s="146" t="s">
        <v>58</v>
      </c>
      <c r="N37" s="147" t="s">
        <v>116</v>
      </c>
      <c r="O37" s="148">
        <f>+L34</f>
        <v>2258.5</v>
      </c>
      <c r="P37" s="149"/>
      <c r="Q37" s="150"/>
      <c r="R37" s="109"/>
    </row>
    <row r="38" spans="1:18" ht="16.2" thickBot="1" x14ac:dyDescent="0.35">
      <c r="A38" s="151" t="s">
        <v>117</v>
      </c>
      <c r="B38" s="152">
        <f>SUM(B35:B37)</f>
        <v>1411.02</v>
      </c>
      <c r="C38" s="153">
        <f>SUM(C35:C37)</f>
        <v>180.41</v>
      </c>
      <c r="D38" s="144" t="s">
        <v>29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75</v>
      </c>
      <c r="J38" s="158"/>
      <c r="K38" s="159" t="s">
        <v>97</v>
      </c>
      <c r="L38" s="160">
        <f>SUM(L34:L37)</f>
        <v>3287.8799999999997</v>
      </c>
      <c r="M38" s="161" t="s">
        <v>29</v>
      </c>
      <c r="N38" s="162" t="s">
        <v>118</v>
      </c>
      <c r="O38" s="163">
        <f>+L35</f>
        <v>895.2</v>
      </c>
      <c r="P38" s="164"/>
      <c r="Q38" s="150"/>
      <c r="R38" s="109"/>
    </row>
    <row r="39" spans="1:18" ht="24.6" thickTop="1" thickBot="1" x14ac:dyDescent="0.5">
      <c r="A39" s="165" t="s">
        <v>119</v>
      </c>
      <c r="B39" s="166">
        <f>SUM(B38:C38)</f>
        <v>1591.43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78</v>
      </c>
      <c r="J39" s="124">
        <f>+J36+J37-J38</f>
        <v>274.83</v>
      </c>
      <c r="K39" s="173" t="s">
        <v>120</v>
      </c>
      <c r="L39" s="174">
        <f>+P23-L38</f>
        <v>0</v>
      </c>
      <c r="M39" s="282" t="s">
        <v>97</v>
      </c>
      <c r="N39" s="283"/>
      <c r="O39" s="284">
        <f>SUM(O37:P38)</f>
        <v>3153.7</v>
      </c>
      <c r="P39" s="285"/>
      <c r="Q39" s="150"/>
      <c r="R39" s="109"/>
    </row>
    <row r="40" spans="1:18" ht="15" thickBot="1" x14ac:dyDescent="0.35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79"/>
      <c r="F41" s="180"/>
      <c r="G41" s="183"/>
      <c r="H41" s="270" t="s">
        <v>125</v>
      </c>
      <c r="I41" s="271"/>
      <c r="J41" s="271"/>
      <c r="K41" s="271"/>
      <c r="L41" s="272"/>
      <c r="P41" s="181"/>
      <c r="Q41" s="150"/>
    </row>
    <row r="42" spans="1:18" ht="15.6" x14ac:dyDescent="0.3">
      <c r="A42" s="182" t="s">
        <v>30</v>
      </c>
      <c r="B42" s="183">
        <f>IF(D42&gt;"0",0,(D42/C42))</f>
        <v>94.263492063492066</v>
      </c>
      <c r="C42" s="184">
        <v>15.75</v>
      </c>
      <c r="D42" s="185">
        <v>1484.65</v>
      </c>
      <c r="E42" s="186"/>
      <c r="F42" s="186"/>
      <c r="G42" s="183"/>
      <c r="H42" s="187" t="s">
        <v>126</v>
      </c>
      <c r="I42" s="188"/>
      <c r="J42" s="189">
        <v>2.0185</v>
      </c>
      <c r="K42" s="190">
        <f>+I42/J42</f>
        <v>0</v>
      </c>
      <c r="L42" s="191" t="s">
        <v>127</v>
      </c>
      <c r="M42" s="192"/>
      <c r="N42" s="193" t="s">
        <v>2</v>
      </c>
      <c r="O42" s="194"/>
      <c r="Q42" s="3"/>
    </row>
    <row r="43" spans="1:18" ht="15.6" x14ac:dyDescent="0.3">
      <c r="A43" s="182" t="s">
        <v>31</v>
      </c>
      <c r="B43" s="183">
        <f>IF(D43&gt;"0",0,(D43/C43))</f>
        <v>50.782372881355933</v>
      </c>
      <c r="C43" s="184">
        <v>14.75</v>
      </c>
      <c r="D43" s="185">
        <v>749.04</v>
      </c>
      <c r="E43" s="186"/>
      <c r="F43" s="186"/>
      <c r="G43" s="183"/>
      <c r="H43" s="195" t="s">
        <v>128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129</v>
      </c>
      <c r="M43" s="200"/>
      <c r="N43" s="193" t="s">
        <v>130</v>
      </c>
      <c r="O43" s="194"/>
      <c r="P43" s="201"/>
      <c r="Q43" s="3"/>
    </row>
    <row r="44" spans="1:18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6" x14ac:dyDescent="0.3">
      <c r="A45" s="182" t="s">
        <v>131</v>
      </c>
      <c r="B45" s="183">
        <f>IF(D45&gt;"0",0,(D45/C45))</f>
        <v>133.83764082173624</v>
      </c>
      <c r="C45" s="184">
        <v>15.09</v>
      </c>
      <c r="D45" s="185">
        <v>2019.61</v>
      </c>
      <c r="E45" s="186"/>
      <c r="F45" s="186"/>
      <c r="G45" s="183"/>
      <c r="H45" s="206" t="s">
        <v>132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34</v>
      </c>
      <c r="N45" s="211" t="s">
        <v>133</v>
      </c>
      <c r="O45" s="3" t="s">
        <v>116</v>
      </c>
      <c r="P45" s="201"/>
      <c r="Q45" s="3"/>
      <c r="R45" s="201"/>
    </row>
    <row r="46" spans="1:18" ht="15.6" x14ac:dyDescent="0.3">
      <c r="A46" s="182" t="s">
        <v>29</v>
      </c>
      <c r="B46" s="183">
        <f>IF(D46&gt;"0",0,(D46/C46))</f>
        <v>143.61014686248333</v>
      </c>
      <c r="C46" s="184">
        <v>7.49</v>
      </c>
      <c r="D46" s="185">
        <v>1075.6400000000001</v>
      </c>
      <c r="E46" s="186"/>
      <c r="F46" s="186"/>
      <c r="G46" s="183"/>
      <c r="H46" s="262">
        <f>(L34+B38+P21+P22+P20+L36)-SUM(D42:D45)+(P18+P19)</f>
        <v>-0.5999999999994543</v>
      </c>
      <c r="I46" s="203" t="s">
        <v>134</v>
      </c>
      <c r="J46" s="196" t="s">
        <v>135</v>
      </c>
      <c r="K46" s="214">
        <v>2.1061999999999999</v>
      </c>
      <c r="L46" s="215"/>
      <c r="M46" s="200"/>
      <c r="N46" s="3" t="s">
        <v>136</v>
      </c>
      <c r="O46" s="194"/>
      <c r="P46" s="201"/>
      <c r="Q46" s="3"/>
      <c r="R46" s="201"/>
    </row>
    <row r="47" spans="1:18" ht="16.5" customHeight="1" thickBot="1" x14ac:dyDescent="0.35">
      <c r="A47" s="180"/>
      <c r="B47" s="216">
        <f>SUM(B42:B46)</f>
        <v>422.49365262906758</v>
      </c>
      <c r="C47" s="216"/>
      <c r="D47" s="217">
        <f>SUM(D42:D46)</f>
        <v>5328.9400000000005</v>
      </c>
      <c r="E47" s="217">
        <v>5328.9400000000005</v>
      </c>
      <c r="F47" s="186"/>
      <c r="G47" s="183"/>
      <c r="H47" s="263">
        <f>(C36+L35+L37)-D46</f>
        <v>-2.9999999999972715E-2</v>
      </c>
      <c r="I47" s="220" t="s">
        <v>90</v>
      </c>
      <c r="J47" s="221" t="s">
        <v>137</v>
      </c>
      <c r="K47" s="222">
        <v>2.0185</v>
      </c>
      <c r="L47" s="223" t="e">
        <f>+K45-K43</f>
        <v>#DIV/0!</v>
      </c>
      <c r="M47" s="200"/>
      <c r="N47" s="205" t="s">
        <v>138</v>
      </c>
      <c r="O47" s="194"/>
      <c r="P47" s="201"/>
      <c r="Q47" s="3"/>
      <c r="R47" s="201"/>
    </row>
    <row r="48" spans="1:18" ht="16.2" thickTop="1" x14ac:dyDescent="0.3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3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6" x14ac:dyDescent="0.3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6" x14ac:dyDescent="0.3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6" x14ac:dyDescent="0.3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6" x14ac:dyDescent="0.3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6" x14ac:dyDescent="0.3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6" x14ac:dyDescent="0.3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6" x14ac:dyDescent="0.3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6" x14ac:dyDescent="0.3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6" x14ac:dyDescent="0.3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6" x14ac:dyDescent="0.3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6" x14ac:dyDescent="0.3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6" x14ac:dyDescent="0.3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6" x14ac:dyDescent="0.3">
      <c r="A62" s="244"/>
      <c r="D62" s="229"/>
      <c r="F62" s="250"/>
      <c r="G62" s="246"/>
      <c r="N62" s="109"/>
      <c r="O62" s="109"/>
      <c r="P62" s="109"/>
      <c r="Q62" s="3"/>
    </row>
    <row r="63" spans="1:17" x14ac:dyDescent="0.3">
      <c r="A63" s="238"/>
      <c r="D63" s="109"/>
      <c r="F63" s="249"/>
      <c r="G63" s="246"/>
      <c r="N63" s="109"/>
      <c r="O63" s="109"/>
      <c r="P63" s="109"/>
      <c r="Q63" s="3"/>
    </row>
    <row r="64" spans="1:17" x14ac:dyDescent="0.3">
      <c r="A64" s="238"/>
      <c r="F64" s="249"/>
      <c r="G64" s="246"/>
      <c r="N64" s="109"/>
      <c r="O64" s="109"/>
      <c r="P64" s="109"/>
      <c r="Q64" s="3"/>
    </row>
    <row r="65" spans="1:20" x14ac:dyDescent="0.3">
      <c r="A65" s="238">
        <v>84</v>
      </c>
      <c r="F65" s="251"/>
      <c r="G65" s="246"/>
      <c r="N65" s="109"/>
      <c r="Q65" s="3"/>
    </row>
    <row r="66" spans="1:20" x14ac:dyDescent="0.3">
      <c r="A66" s="244" t="s">
        <v>131</v>
      </c>
      <c r="F66" s="249"/>
      <c r="G66" s="246"/>
      <c r="N66" s="109"/>
      <c r="Q66" s="3"/>
    </row>
    <row r="67" spans="1:20" x14ac:dyDescent="0.3">
      <c r="A67" s="85"/>
      <c r="F67" s="247"/>
      <c r="G67" s="246"/>
      <c r="N67" s="109"/>
      <c r="Q67" s="3"/>
    </row>
    <row r="68" spans="1:20" x14ac:dyDescent="0.3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3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3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3">
      <c r="A71" s="244" t="s">
        <v>131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3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3">
      <c r="A73" s="244" t="s">
        <v>29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3">
      <c r="A74" s="244" t="s">
        <v>29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3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3">
      <c r="A76" s="244" t="s">
        <v>29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3">
      <c r="A77" s="244" t="s">
        <v>29</v>
      </c>
      <c r="F77" s="255"/>
      <c r="G77" s="254"/>
      <c r="N77" s="109"/>
      <c r="O77" s="109"/>
      <c r="P77" s="109"/>
      <c r="Q77" s="109"/>
      <c r="R77" s="200"/>
    </row>
    <row r="78" spans="1:20" x14ac:dyDescent="0.3">
      <c r="A78" s="85"/>
      <c r="F78" s="255"/>
      <c r="G78" s="228"/>
      <c r="N78" s="109"/>
      <c r="O78" s="109"/>
      <c r="P78" s="109"/>
      <c r="Q78" s="109"/>
      <c r="R78" s="200"/>
    </row>
    <row r="79" spans="1:20" x14ac:dyDescent="0.3">
      <c r="A79" s="85"/>
      <c r="F79" s="239"/>
      <c r="G79" s="228"/>
      <c r="N79" s="109"/>
      <c r="O79" s="109"/>
      <c r="P79" s="109"/>
      <c r="Q79" s="109"/>
      <c r="R79" s="200"/>
    </row>
    <row r="80" spans="1:20" x14ac:dyDescent="0.3">
      <c r="A80" s="85"/>
      <c r="F80" s="241"/>
      <c r="G80" s="228"/>
      <c r="N80" s="109"/>
      <c r="O80" s="109"/>
      <c r="P80" s="109"/>
      <c r="Q80" s="109"/>
      <c r="R80" s="200"/>
    </row>
    <row r="81" spans="1:19" x14ac:dyDescent="0.3">
      <c r="A81" s="85"/>
      <c r="F81" s="241"/>
      <c r="G81" s="228"/>
      <c r="N81" s="109"/>
      <c r="O81" s="109"/>
      <c r="P81" s="109"/>
      <c r="Q81" s="109"/>
      <c r="R81" s="200"/>
    </row>
    <row r="82" spans="1:19" x14ac:dyDescent="0.3">
      <c r="A82" s="85"/>
      <c r="F82" s="228"/>
      <c r="G82" s="228"/>
      <c r="N82" s="109"/>
      <c r="O82" s="109"/>
      <c r="P82" s="109"/>
      <c r="Q82" s="109"/>
    </row>
    <row r="83" spans="1:19" x14ac:dyDescent="0.3">
      <c r="N83" s="109"/>
      <c r="O83" s="109"/>
      <c r="P83" s="109"/>
      <c r="Q83" s="109"/>
    </row>
    <row r="84" spans="1:19" x14ac:dyDescent="0.3">
      <c r="N84" s="109"/>
      <c r="O84" s="257"/>
      <c r="P84" s="257"/>
      <c r="Q84" s="109"/>
    </row>
    <row r="85" spans="1:19" x14ac:dyDescent="0.3">
      <c r="N85" s="109"/>
      <c r="O85" s="257"/>
      <c r="P85" s="257"/>
      <c r="Q85" s="109"/>
    </row>
    <row r="86" spans="1:19" x14ac:dyDescent="0.3">
      <c r="N86" s="109"/>
      <c r="O86" s="257"/>
      <c r="P86" s="257"/>
      <c r="Q86" s="109"/>
    </row>
    <row r="87" spans="1:19" x14ac:dyDescent="0.3">
      <c r="N87" s="109"/>
      <c r="O87" s="257"/>
      <c r="P87" s="257"/>
      <c r="Q87" s="109"/>
    </row>
    <row r="88" spans="1:19" x14ac:dyDescent="0.3">
      <c r="N88" s="109"/>
      <c r="O88" s="257"/>
      <c r="P88" s="257"/>
      <c r="Q88" s="109"/>
    </row>
    <row r="89" spans="1:19" x14ac:dyDescent="0.3">
      <c r="N89" s="109"/>
      <c r="O89" s="257"/>
      <c r="P89" s="257"/>
      <c r="Q89" s="109"/>
      <c r="S89" s="256"/>
    </row>
    <row r="90" spans="1:19" x14ac:dyDescent="0.3">
      <c r="Q90" s="3"/>
    </row>
    <row r="91" spans="1:19" x14ac:dyDescent="0.3">
      <c r="Q91" s="3"/>
    </row>
    <row r="92" spans="1:19" x14ac:dyDescent="0.3">
      <c r="Q92" s="3"/>
    </row>
    <row r="93" spans="1:19" s="70" customFormat="1" x14ac:dyDescent="0.3">
      <c r="H93" s="3"/>
      <c r="I93" s="3"/>
      <c r="J93" s="3"/>
      <c r="K93" s="3"/>
      <c r="L93" s="3"/>
      <c r="M93" s="3"/>
    </row>
    <row r="94" spans="1:19" s="70" customFormat="1" x14ac:dyDescent="0.3">
      <c r="H94" s="3"/>
      <c r="I94" s="3"/>
      <c r="J94" s="3"/>
      <c r="K94" s="3"/>
      <c r="L94" s="3"/>
      <c r="M94" s="3"/>
    </row>
    <row r="95" spans="1:19" s="70" customFormat="1" x14ac:dyDescent="0.3">
      <c r="H95" s="3"/>
      <c r="I95" s="3"/>
      <c r="J95" s="3"/>
      <c r="K95" s="3"/>
      <c r="L95" s="3"/>
      <c r="M95" s="3"/>
    </row>
    <row r="96" spans="1:19" s="70" customFormat="1" x14ac:dyDescent="0.3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3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3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" thickBot="1" x14ac:dyDescent="0.35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3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3">
      <c r="N101" s="109"/>
      <c r="O101" s="257"/>
      <c r="P101" s="257"/>
      <c r="Q101" s="109"/>
    </row>
    <row r="102" spans="8:17" x14ac:dyDescent="0.3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3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3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3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3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3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3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3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3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3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3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" thickBot="1" x14ac:dyDescent="0.35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3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3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3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3">
      <c r="N117" s="109"/>
      <c r="O117" s="257"/>
    </row>
    <row r="118" spans="8:17" x14ac:dyDescent="0.3">
      <c r="N118" s="109"/>
      <c r="O118" s="257"/>
    </row>
    <row r="119" spans="8:17" x14ac:dyDescent="0.3">
      <c r="N119" s="109"/>
      <c r="O119" s="205"/>
    </row>
    <row r="120" spans="8:17" x14ac:dyDescent="0.3">
      <c r="N120" s="109"/>
    </row>
    <row r="121" spans="8:17" x14ac:dyDescent="0.3">
      <c r="N121" s="109"/>
    </row>
    <row r="122" spans="8:17" x14ac:dyDescent="0.3">
      <c r="N122" s="109"/>
    </row>
    <row r="123" spans="8:17" x14ac:dyDescent="0.3">
      <c r="N123" s="109"/>
    </row>
    <row r="124" spans="8:17" x14ac:dyDescent="0.3">
      <c r="N124" s="109"/>
    </row>
    <row r="125" spans="8:17" x14ac:dyDescent="0.3">
      <c r="N125" s="109"/>
    </row>
    <row r="126" spans="8:17" ht="15" thickBot="1" x14ac:dyDescent="0.35">
      <c r="N126" s="109"/>
      <c r="O126" s="261"/>
      <c r="P126" s="261"/>
    </row>
    <row r="127" spans="8:17" s="70" customFormat="1" x14ac:dyDescent="0.3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3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3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3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3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3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3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3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3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3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3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3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3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3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" thickBot="1" x14ac:dyDescent="0.35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 xr:uid="{00000000-0009-0000-0000-000005000000}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5F8D-C933-4E4A-8531-BCAF6BBACB75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45719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62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+'02-03-2025'!J7</f>
        <v>2497.5591845335939</v>
      </c>
      <c r="C7" s="22">
        <f>K26+K27</f>
        <v>1406.98538518702</v>
      </c>
      <c r="D7" s="23"/>
      <c r="E7" s="24">
        <f>+B7+C7+D7</f>
        <v>3904.5445697206142</v>
      </c>
      <c r="F7" s="25">
        <f>B46-G7</f>
        <v>201.13217623497997</v>
      </c>
      <c r="G7" s="22"/>
      <c r="H7" s="26"/>
      <c r="I7" s="21">
        <f t="shared" ref="I7:I10" si="0">+F7+G7+H7</f>
        <v>201.13217623497997</v>
      </c>
      <c r="J7" s="21">
        <f t="shared" ref="J7:J10" si="1">+E7-I7</f>
        <v>3703.4123934856343</v>
      </c>
      <c r="K7" s="27">
        <f>+'02-03-2025'!L7</f>
        <v>2497.5591845335939</v>
      </c>
      <c r="L7" s="28">
        <v>3703.4123934856343</v>
      </c>
      <c r="M7" s="24">
        <f t="shared" ref="M7:M10" si="2">+F7</f>
        <v>201.13217623497997</v>
      </c>
      <c r="N7" s="24">
        <f>+C46</f>
        <v>7.49</v>
      </c>
      <c r="O7" s="29">
        <f t="shared" ref="O7:O10" si="3">+M7*N7</f>
        <v>1506.48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+'02-03-2025'!J8</f>
        <v>1310.6247631080228</v>
      </c>
      <c r="C8" s="22">
        <f>K28</f>
        <v>0</v>
      </c>
      <c r="D8" s="33"/>
      <c r="E8" s="24">
        <f>+B8+C8+D8</f>
        <v>1310.6247631080228</v>
      </c>
      <c r="F8" s="25">
        <f>+B42-G8</f>
        <v>114.38850284270373</v>
      </c>
      <c r="G8" s="22"/>
      <c r="H8" s="26"/>
      <c r="I8" s="21">
        <f t="shared" si="0"/>
        <v>114.38850284270373</v>
      </c>
      <c r="J8" s="21">
        <f t="shared" si="1"/>
        <v>1196.2362602653191</v>
      </c>
      <c r="K8" s="27">
        <f>+'02-03-2025'!L8</f>
        <v>1310</v>
      </c>
      <c r="L8" s="28">
        <v>1195</v>
      </c>
      <c r="M8" s="24">
        <f t="shared" si="2"/>
        <v>114.38850284270373</v>
      </c>
      <c r="N8" s="24">
        <f>+C42</f>
        <v>15.83</v>
      </c>
      <c r="O8" s="29">
        <f t="shared" si="3"/>
        <v>1810.77</v>
      </c>
      <c r="P8" s="30">
        <f t="shared" si="4"/>
        <v>-1.2362602653190606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+'02-03-2025'!J9</f>
        <v>686.18346774193549</v>
      </c>
      <c r="C9" s="22">
        <f>K29</f>
        <v>500</v>
      </c>
      <c r="D9" s="33"/>
      <c r="E9" s="24">
        <f>+B9+C9+D9</f>
        <v>1186.1834677419356</v>
      </c>
      <c r="F9" s="25">
        <f>+B43-G9</f>
        <v>189.16801075268816</v>
      </c>
      <c r="G9" s="22"/>
      <c r="H9" s="26"/>
      <c r="I9" s="21">
        <f t="shared" si="0"/>
        <v>189.16801075268816</v>
      </c>
      <c r="J9" s="21">
        <f t="shared" si="1"/>
        <v>997.01545698924747</v>
      </c>
      <c r="K9" s="27">
        <f>+'02-03-2025'!L9</f>
        <v>685</v>
      </c>
      <c r="L9" s="28">
        <v>995</v>
      </c>
      <c r="M9" s="24">
        <f t="shared" si="2"/>
        <v>189.16801075268816</v>
      </c>
      <c r="N9" s="24">
        <f>+C43</f>
        <v>14.88</v>
      </c>
      <c r="O9" s="29">
        <f t="shared" si="3"/>
        <v>2814.82</v>
      </c>
      <c r="P9" s="30">
        <f t="shared" si="4"/>
        <v>-2.0154569892474683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+'02-03-2025'!J10</f>
        <v>1357.6354098360657</v>
      </c>
      <c r="C10" s="40">
        <f>K31</f>
        <v>0</v>
      </c>
      <c r="D10" s="41"/>
      <c r="E10" s="24">
        <f>+B10+C10+D10</f>
        <v>1357.6354098360657</v>
      </c>
      <c r="F10" s="43">
        <f>+B45-G10</f>
        <v>63.452459016393441</v>
      </c>
      <c r="G10" s="40"/>
      <c r="H10" s="26"/>
      <c r="I10" s="44">
        <f t="shared" si="0"/>
        <v>63.452459016393441</v>
      </c>
      <c r="J10" s="44">
        <f t="shared" si="1"/>
        <v>1294.1829508196722</v>
      </c>
      <c r="K10" s="27">
        <f>+'02-03-2025'!L10</f>
        <v>1358</v>
      </c>
      <c r="L10" s="28">
        <v>1295</v>
      </c>
      <c r="M10" s="42">
        <f t="shared" si="2"/>
        <v>63.452459016393441</v>
      </c>
      <c r="N10" s="42">
        <f>+C45</f>
        <v>15.25</v>
      </c>
      <c r="O10" s="45">
        <f t="shared" si="3"/>
        <v>967.65</v>
      </c>
      <c r="P10" s="30">
        <f t="shared" si="4"/>
        <v>0.81704918032778551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5852.0028252196171</v>
      </c>
      <c r="C11" s="21">
        <f t="shared" si="5"/>
        <v>1906.98538518702</v>
      </c>
      <c r="D11" s="21">
        <f t="shared" si="5"/>
        <v>0</v>
      </c>
      <c r="E11" s="21">
        <f t="shared" si="5"/>
        <v>7758.9882104066382</v>
      </c>
      <c r="F11" s="21">
        <f t="shared" si="5"/>
        <v>568.14114884676519</v>
      </c>
      <c r="G11" s="21">
        <f t="shared" si="5"/>
        <v>0</v>
      </c>
      <c r="H11" s="21">
        <f t="shared" si="5"/>
        <v>0</v>
      </c>
      <c r="I11" s="21">
        <f t="shared" si="5"/>
        <v>568.14114884676519</v>
      </c>
      <c r="J11" s="21">
        <f t="shared" si="5"/>
        <v>7190.8470615598735</v>
      </c>
      <c r="K11" s="27">
        <f t="shared" si="5"/>
        <v>5850.5591845335939</v>
      </c>
      <c r="L11" s="21">
        <f t="shared" si="5"/>
        <v>7188.4123934856343</v>
      </c>
      <c r="M11" s="21">
        <f t="shared" si="5"/>
        <v>568.14114884676519</v>
      </c>
      <c r="N11" s="21"/>
      <c r="O11" s="21">
        <f>SUM(O7:O10)</f>
        <v>7099.7199999999993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568.14114884676519</v>
      </c>
      <c r="O14" s="65">
        <f>+O11</f>
        <v>7099.7199999999993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141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1796.46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448.48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0.32343999999920925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>
        <v>210</v>
      </c>
      <c r="L22" s="288" t="s">
        <v>76</v>
      </c>
      <c r="M22" s="289"/>
      <c r="N22" s="290"/>
      <c r="O22" s="77">
        <f>+I37+I20+I26+I31+I32</f>
        <v>210.67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 t="s">
        <v>143</v>
      </c>
      <c r="H26" s="74" t="s">
        <v>69</v>
      </c>
      <c r="I26" s="86"/>
      <c r="J26" s="91" t="s">
        <v>89</v>
      </c>
      <c r="K26" s="92">
        <f>+J42</f>
        <v>1406.98538518702</v>
      </c>
      <c r="L26" s="93" t="s">
        <v>144</v>
      </c>
      <c r="M26" s="94" t="s">
        <v>145</v>
      </c>
      <c r="N26" s="95" t="s">
        <v>146</v>
      </c>
      <c r="O26" s="96" t="str">
        <f>+H42&amp;"   "&amp;"kg"</f>
        <v>2840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1.2362602653190606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>
        <v>500</v>
      </c>
      <c r="L29" s="94"/>
      <c r="M29" s="94"/>
      <c r="N29" s="95" t="s">
        <v>91</v>
      </c>
      <c r="O29" s="100">
        <f>6258.25/500</f>
        <v>12.516500000000001</v>
      </c>
      <c r="P29" s="97">
        <f>+N9-O29</f>
        <v>2.3635000000000002</v>
      </c>
      <c r="R29" s="48">
        <f>+P9*-1</f>
        <v>2.0154569892474683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v>-150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40</v>
      </c>
      <c r="J31" s="106" t="s">
        <v>33</v>
      </c>
      <c r="K31" s="92"/>
      <c r="L31" s="94"/>
      <c r="M31" s="94"/>
      <c r="N31" s="95" t="s">
        <v>93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-0.81704918032778551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45719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-190</v>
      </c>
      <c r="J34" s="118" t="s">
        <v>58</v>
      </c>
      <c r="K34" s="125">
        <f>4349.8-K35</f>
        <v>3292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1371.2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1057.8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425.26</v>
      </c>
      <c r="C36" s="136">
        <v>448.48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+'[1]25'!J41</f>
        <v>104.16</v>
      </c>
      <c r="J36" s="128" t="s">
        <v>113</v>
      </c>
      <c r="K36" s="139">
        <v>80</v>
      </c>
      <c r="L36" s="281" t="s">
        <v>114</v>
      </c>
      <c r="M36" s="281"/>
      <c r="N36" s="140">
        <f>+K33</f>
        <v>45719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>
        <v>170.67</v>
      </c>
      <c r="J37" s="144" t="s">
        <v>115</v>
      </c>
      <c r="K37" s="145"/>
      <c r="L37" s="146" t="s">
        <v>58</v>
      </c>
      <c r="M37" s="147" t="s">
        <v>116</v>
      </c>
      <c r="N37" s="148">
        <f>+K34</f>
        <v>3292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1796.46</v>
      </c>
      <c r="C38" s="153">
        <f>SUM(C35:C37)</f>
        <v>448.48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4429.8</v>
      </c>
      <c r="L38" s="161" t="s">
        <v>29</v>
      </c>
      <c r="M38" s="162" t="s">
        <v>118</v>
      </c>
      <c r="N38" s="163">
        <f>+K35</f>
        <v>1057.8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2244.94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4349.8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114.38850284270373</v>
      </c>
      <c r="C42" s="184">
        <v>15.83</v>
      </c>
      <c r="D42" s="185">
        <v>1810.77</v>
      </c>
      <c r="E42" s="186"/>
      <c r="F42" s="186"/>
      <c r="G42" s="187" t="s">
        <v>126</v>
      </c>
      <c r="H42" s="188" t="s">
        <v>142</v>
      </c>
      <c r="I42" s="189">
        <v>2.0185</v>
      </c>
      <c r="J42" s="190">
        <f>+H42/I42</f>
        <v>1406.98538518702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189.16801075268816</v>
      </c>
      <c r="C43" s="184">
        <v>14.88</v>
      </c>
      <c r="D43" s="185">
        <v>2814.82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63.452459016393441</v>
      </c>
      <c r="C45" s="184">
        <v>15.25</v>
      </c>
      <c r="D45" s="185">
        <v>967.65</v>
      </c>
      <c r="E45" s="186"/>
      <c r="F45" s="186"/>
      <c r="G45" s="206" t="s">
        <v>132</v>
      </c>
      <c r="H45" s="207">
        <f>+J45/I45</f>
        <v>2.3254654465600595</v>
      </c>
      <c r="I45" s="208">
        <f>+I43</f>
        <v>3.7854000000000001</v>
      </c>
      <c r="J45" s="209">
        <f>+K45/H42</f>
        <v>8.8028169014084501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201.13217623497997</v>
      </c>
      <c r="C46" s="184">
        <v>7.49</v>
      </c>
      <c r="D46" s="185">
        <v>1506.48</v>
      </c>
      <c r="E46" s="186"/>
      <c r="F46" s="212"/>
      <c r="G46" s="213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568.1411488467653</v>
      </c>
      <c r="C47" s="216"/>
      <c r="D47" s="217">
        <f>SUM(D42:D46)</f>
        <v>7099.7199999999993</v>
      </c>
      <c r="E47" s="186"/>
      <c r="F47" s="218"/>
      <c r="G47" s="219">
        <f>(C36+K35+K37)-D46</f>
        <v>-0.20000000000004547</v>
      </c>
      <c r="H47" s="220" t="s">
        <v>90</v>
      </c>
      <c r="I47" s="221" t="s">
        <v>137</v>
      </c>
      <c r="J47" s="222">
        <v>2.0185</v>
      </c>
      <c r="K47" s="223">
        <f>+J45-J43</f>
        <v>1.3128169014084499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EE39-47C8-426C-BD13-31B75A1FCF84}">
  <sheetPr>
    <pageSetUpPr fitToPage="1"/>
  </sheetPr>
  <dimension ref="A1:X141"/>
  <sheetViews>
    <sheetView zoomScale="90" zoomScaleNormal="90" workbookViewId="0">
      <selection activeCell="F20" sqref="F20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3.44140625" style="3" bestFit="1" customWidth="1"/>
    <col min="6" max="6" width="12.6640625" style="3" customWidth="1"/>
    <col min="7" max="7" width="11.33203125" style="3" customWidth="1"/>
    <col min="8" max="8" width="12" style="3" customWidth="1"/>
    <col min="9" max="9" width="12.109375" style="3" customWidth="1"/>
    <col min="10" max="10" width="11.44140625" style="3" customWidth="1"/>
    <col min="11" max="11" width="12.109375" style="3" bestFit="1" customWidth="1"/>
    <col min="12" max="12" width="13.33203125" style="3" bestFit="1" customWidth="1"/>
    <col min="13" max="13" width="12.44140625" style="3" customWidth="1"/>
    <col min="14" max="14" width="14.6640625" style="3" customWidth="1"/>
    <col min="15" max="15" width="15" style="3" customWidth="1"/>
    <col min="16" max="16" width="16" style="3" customWidth="1"/>
    <col min="17" max="17" width="11.44140625" style="70" bestFit="1" customWidth="1"/>
    <col min="18" max="18" width="3.44140625" style="3" customWidth="1"/>
    <col min="19" max="19" width="13.109375" style="3" customWidth="1"/>
    <col min="20" max="20" width="12" style="3" bestFit="1" customWidth="1"/>
    <col min="21" max="16384" width="11.44140625" style="3"/>
  </cols>
  <sheetData>
    <row r="1" spans="1:24" x14ac:dyDescent="0.3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3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45746</v>
      </c>
      <c r="P2" s="354"/>
      <c r="Q2" s="5">
        <v>45658</v>
      </c>
    </row>
    <row r="3" spans="1:24" ht="15" thickBot="1" x14ac:dyDescent="0.35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89</v>
      </c>
      <c r="P3" s="359"/>
      <c r="Q3" s="5">
        <v>44197</v>
      </c>
      <c r="R3" s="7"/>
    </row>
    <row r="4" spans="1:24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3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24</v>
      </c>
      <c r="L6" s="16" t="s">
        <v>17</v>
      </c>
      <c r="M6" s="16" t="s">
        <v>24</v>
      </c>
      <c r="N6" s="16" t="s">
        <v>25</v>
      </c>
      <c r="O6" s="16" t="s">
        <v>26</v>
      </c>
      <c r="P6" s="17" t="s">
        <v>27</v>
      </c>
      <c r="Q6" s="18" t="s">
        <v>28</v>
      </c>
      <c r="R6" s="19"/>
    </row>
    <row r="7" spans="1:24" s="31" customFormat="1" ht="15" customHeight="1" x14ac:dyDescent="0.3">
      <c r="A7" s="20" t="s">
        <v>29</v>
      </c>
      <c r="B7" s="21">
        <f>+'29-03-2025'!K7</f>
        <v>2376.2790349294496</v>
      </c>
      <c r="C7" s="22">
        <f>L26+L27</f>
        <v>0</v>
      </c>
      <c r="D7" s="23"/>
      <c r="E7" s="23"/>
      <c r="F7" s="24">
        <f t="shared" ref="F7:F10" si="0">+B7+C7+D7+E7</f>
        <v>2376.2790349294496</v>
      </c>
      <c r="G7" s="25">
        <f>B46-H7</f>
        <v>125.17489986648864</v>
      </c>
      <c r="H7" s="22"/>
      <c r="I7" s="26"/>
      <c r="J7" s="21">
        <f t="shared" ref="J7:J10" si="1">+G7+H7+I7</f>
        <v>125.17489986648864</v>
      </c>
      <c r="K7" s="21">
        <f t="shared" ref="K7:K10" si="2">+F7-J7</f>
        <v>2251.1041350629612</v>
      </c>
      <c r="L7" s="27">
        <f>+'29-03-2025'!M7</f>
        <v>2376.2790349294496</v>
      </c>
      <c r="M7" s="28">
        <v>2251.1041350629612</v>
      </c>
      <c r="N7" s="24">
        <f t="shared" ref="N7:N10" si="3">+G7</f>
        <v>125.17489986648864</v>
      </c>
      <c r="O7" s="24">
        <f>+C46</f>
        <v>7.49</v>
      </c>
      <c r="P7" s="29">
        <f t="shared" ref="P7:P10" si="4">+N7*O7</f>
        <v>937.56</v>
      </c>
      <c r="Q7" s="30">
        <f t="shared" ref="Q7:Q10" si="5">(M7-K7)</f>
        <v>0</v>
      </c>
      <c r="S7" s="32"/>
      <c r="T7" s="32"/>
      <c r="U7" s="32"/>
      <c r="V7" s="32"/>
      <c r="W7" s="32"/>
      <c r="X7" s="32"/>
    </row>
    <row r="8" spans="1:24" s="31" customFormat="1" x14ac:dyDescent="0.3">
      <c r="A8" s="20" t="s">
        <v>30</v>
      </c>
      <c r="B8" s="21">
        <f>+'29-03-2025'!K8</f>
        <v>1372.9234112444726</v>
      </c>
      <c r="C8" s="22">
        <f>L28</f>
        <v>0</v>
      </c>
      <c r="D8" s="33"/>
      <c r="E8" s="23"/>
      <c r="F8" s="24">
        <f t="shared" si="0"/>
        <v>1372.9234112444726</v>
      </c>
      <c r="G8" s="25">
        <f>+B42-H8</f>
        <v>61.206349206349209</v>
      </c>
      <c r="H8" s="22">
        <f>+E8</f>
        <v>0</v>
      </c>
      <c r="I8" s="26"/>
      <c r="J8" s="21">
        <f t="shared" si="1"/>
        <v>61.206349206349209</v>
      </c>
      <c r="K8" s="21">
        <f t="shared" si="2"/>
        <v>1311.7170620381235</v>
      </c>
      <c r="L8" s="27">
        <f>+'29-03-2025'!M8</f>
        <v>1365</v>
      </c>
      <c r="M8" s="28">
        <v>1305</v>
      </c>
      <c r="N8" s="24">
        <f t="shared" si="3"/>
        <v>61.206349206349209</v>
      </c>
      <c r="O8" s="24">
        <f>+C42</f>
        <v>15.75</v>
      </c>
      <c r="P8" s="29">
        <f t="shared" si="4"/>
        <v>964</v>
      </c>
      <c r="Q8" s="30">
        <f t="shared" si="5"/>
        <v>-6.7170620381234585</v>
      </c>
      <c r="S8" s="32"/>
      <c r="T8" s="35">
        <v>150</v>
      </c>
      <c r="U8" s="32"/>
      <c r="V8" s="32"/>
      <c r="W8" s="36"/>
      <c r="X8" s="36"/>
    </row>
    <row r="9" spans="1:24" s="31" customFormat="1" x14ac:dyDescent="0.3">
      <c r="A9" s="37" t="s">
        <v>31</v>
      </c>
      <c r="B9" s="21">
        <f>+'29-03-2025'!K9</f>
        <v>984.46409558957521</v>
      </c>
      <c r="C9" s="22">
        <f>L29</f>
        <v>0</v>
      </c>
      <c r="D9" s="33"/>
      <c r="E9" s="23"/>
      <c r="F9" s="24">
        <f t="shared" si="0"/>
        <v>984.46409558957521</v>
      </c>
      <c r="G9" s="25">
        <f>+B43-H9</f>
        <v>67.679322033898302</v>
      </c>
      <c r="H9" s="22">
        <f>+E9</f>
        <v>0</v>
      </c>
      <c r="I9" s="26"/>
      <c r="J9" s="21">
        <f t="shared" si="1"/>
        <v>67.679322033898302</v>
      </c>
      <c r="K9" s="21">
        <f t="shared" si="2"/>
        <v>916.78477355567691</v>
      </c>
      <c r="L9" s="27">
        <f>+'29-03-2025'!M9</f>
        <v>975</v>
      </c>
      <c r="M9" s="28">
        <v>905</v>
      </c>
      <c r="N9" s="24">
        <f t="shared" si="3"/>
        <v>67.679322033898302</v>
      </c>
      <c r="O9" s="24">
        <f>+C43</f>
        <v>14.75</v>
      </c>
      <c r="P9" s="29">
        <f t="shared" si="4"/>
        <v>998.27</v>
      </c>
      <c r="Q9" s="30">
        <f t="shared" si="5"/>
        <v>-11.784773555676907</v>
      </c>
      <c r="R9" s="34"/>
      <c r="S9" s="32"/>
      <c r="T9" s="38">
        <v>160</v>
      </c>
      <c r="U9" s="32"/>
    </row>
    <row r="10" spans="1:24" s="31" customFormat="1" ht="15" thickBot="1" x14ac:dyDescent="0.35">
      <c r="A10" s="39" t="s">
        <v>197</v>
      </c>
      <c r="B10" s="21">
        <f>+'29-03-2025'!K10</f>
        <v>1628.2928935675563</v>
      </c>
      <c r="C10" s="40">
        <f>L31</f>
        <v>0</v>
      </c>
      <c r="D10" s="41"/>
      <c r="E10" s="42"/>
      <c r="F10" s="24">
        <f t="shared" si="0"/>
        <v>1628.2928935675563</v>
      </c>
      <c r="G10" s="43">
        <f>+B45-H10</f>
        <v>47.159045725646124</v>
      </c>
      <c r="H10" s="40">
        <f>+E10</f>
        <v>0</v>
      </c>
      <c r="I10" s="26"/>
      <c r="J10" s="44">
        <f t="shared" si="1"/>
        <v>47.159045725646124</v>
      </c>
      <c r="K10" s="44">
        <f t="shared" si="2"/>
        <v>1581.1338478419102</v>
      </c>
      <c r="L10" s="27">
        <f>+'29-03-2025'!M10</f>
        <v>1630</v>
      </c>
      <c r="M10" s="28">
        <v>1582</v>
      </c>
      <c r="N10" s="42">
        <f t="shared" si="3"/>
        <v>47.159045725646124</v>
      </c>
      <c r="O10" s="42">
        <f>+C45</f>
        <v>15.09</v>
      </c>
      <c r="P10" s="45">
        <f t="shared" si="4"/>
        <v>711.63</v>
      </c>
      <c r="Q10" s="30">
        <f t="shared" si="5"/>
        <v>0.86615215808978974</v>
      </c>
      <c r="R10" s="34"/>
      <c r="S10" s="32"/>
      <c r="T10" s="38">
        <v>190</v>
      </c>
      <c r="U10" s="32"/>
    </row>
    <row r="11" spans="1:24" s="31" customFormat="1" ht="15" thickBot="1" x14ac:dyDescent="0.35">
      <c r="A11" s="46" t="s">
        <v>34</v>
      </c>
      <c r="B11" s="21">
        <f t="shared" ref="B11:N11" si="6">SUM(B7:B10)</f>
        <v>6361.959435331054</v>
      </c>
      <c r="C11" s="21">
        <f t="shared" si="6"/>
        <v>0</v>
      </c>
      <c r="D11" s="21">
        <f t="shared" si="6"/>
        <v>0</v>
      </c>
      <c r="E11" s="21">
        <f t="shared" si="6"/>
        <v>0</v>
      </c>
      <c r="F11" s="21">
        <f t="shared" si="6"/>
        <v>6361.959435331054</v>
      </c>
      <c r="G11" s="21">
        <f t="shared" si="6"/>
        <v>301.21961683238226</v>
      </c>
      <c r="H11" s="21">
        <f t="shared" si="6"/>
        <v>0</v>
      </c>
      <c r="I11" s="21">
        <f t="shared" si="6"/>
        <v>0</v>
      </c>
      <c r="J11" s="21">
        <f t="shared" si="6"/>
        <v>301.21961683238226</v>
      </c>
      <c r="K11" s="21">
        <f t="shared" si="6"/>
        <v>6060.7398184986714</v>
      </c>
      <c r="L11" s="27">
        <f t="shared" si="6"/>
        <v>6346.2790349294501</v>
      </c>
      <c r="M11" s="21">
        <f t="shared" si="6"/>
        <v>6043.1041350629612</v>
      </c>
      <c r="N11" s="21">
        <f t="shared" si="6"/>
        <v>301.21961683238226</v>
      </c>
      <c r="O11" s="21"/>
      <c r="P11" s="21">
        <f>SUM(P7:P10)</f>
        <v>3611.46</v>
      </c>
      <c r="Q11" s="47"/>
    </row>
    <row r="12" spans="1:24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I12" s="326" t="s">
        <v>36</v>
      </c>
      <c r="J12" s="327"/>
      <c r="K12" s="327"/>
      <c r="L12" s="328"/>
      <c r="M12" s="329" t="s">
        <v>37</v>
      </c>
      <c r="N12" s="330"/>
      <c r="O12" s="330"/>
      <c r="P12" s="331"/>
      <c r="Q12" s="48"/>
      <c r="R12" s="31"/>
    </row>
    <row r="13" spans="1:24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1" t="s">
        <v>44</v>
      </c>
      <c r="J13" s="322"/>
      <c r="K13" s="52" t="s">
        <v>45</v>
      </c>
      <c r="L13" s="51" t="s">
        <v>46</v>
      </c>
      <c r="M13" s="309" t="s">
        <v>47</v>
      </c>
      <c r="N13" s="310"/>
      <c r="O13" s="53" t="s">
        <v>48</v>
      </c>
      <c r="P13" s="54" t="s">
        <v>42</v>
      </c>
      <c r="Q13" s="48"/>
    </row>
    <row r="14" spans="1:24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 t="shared" ref="G14:G30" si="7">+E14*F14</f>
        <v>0</v>
      </c>
      <c r="H14" s="62"/>
      <c r="I14" s="315" t="s">
        <v>52</v>
      </c>
      <c r="J14" s="316"/>
      <c r="K14" s="63"/>
      <c r="L14" s="63"/>
      <c r="M14" s="309" t="s">
        <v>53</v>
      </c>
      <c r="N14" s="310"/>
      <c r="O14" s="64">
        <f>+G11</f>
        <v>301.21961683238226</v>
      </c>
      <c r="P14" s="65">
        <f>+P11</f>
        <v>3611.46</v>
      </c>
      <c r="Q14" s="48"/>
    </row>
    <row r="15" spans="1:24" ht="15" thickBot="1" x14ac:dyDescent="0.35">
      <c r="A15" s="286" t="s">
        <v>54</v>
      </c>
      <c r="B15" s="287"/>
      <c r="C15" s="57" t="s">
        <v>50</v>
      </c>
      <c r="D15" s="58" t="s">
        <v>55</v>
      </c>
      <c r="E15" s="59"/>
      <c r="F15" s="60">
        <v>0.2</v>
      </c>
      <c r="G15" s="61">
        <f t="shared" si="7"/>
        <v>0</v>
      </c>
      <c r="H15" s="62"/>
      <c r="I15" s="317" t="s">
        <v>56</v>
      </c>
      <c r="J15" s="318"/>
      <c r="K15" s="66"/>
      <c r="L15" s="66"/>
      <c r="M15" s="309" t="s">
        <v>57</v>
      </c>
      <c r="N15" s="310"/>
      <c r="O15" s="67" t="s">
        <v>58</v>
      </c>
      <c r="P15" s="65">
        <f>+B38</f>
        <v>570.79999999999995</v>
      </c>
      <c r="Q15" s="48">
        <f>+Q7/60</f>
        <v>0</v>
      </c>
    </row>
    <row r="16" spans="1:24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 t="shared" si="7"/>
        <v>0</v>
      </c>
      <c r="H16" s="62"/>
      <c r="I16" s="306"/>
      <c r="J16" s="307"/>
      <c r="K16" s="307"/>
      <c r="L16" s="308"/>
      <c r="M16" s="309" t="s">
        <v>57</v>
      </c>
      <c r="N16" s="310"/>
      <c r="O16" s="67" t="s">
        <v>29</v>
      </c>
      <c r="P16" s="65">
        <f>+C38</f>
        <v>185</v>
      </c>
      <c r="Q16" s="48"/>
    </row>
    <row r="17" spans="1:19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 t="shared" si="7"/>
        <v>0</v>
      </c>
      <c r="H17" s="62"/>
      <c r="I17" s="311" t="s">
        <v>62</v>
      </c>
      <c r="J17" s="312"/>
      <c r="K17" s="313" t="s">
        <v>63</v>
      </c>
      <c r="L17" s="314"/>
      <c r="M17" s="288" t="s">
        <v>64</v>
      </c>
      <c r="N17" s="289"/>
      <c r="O17" s="290"/>
      <c r="P17" s="69">
        <v>5.999999999994543E-2</v>
      </c>
    </row>
    <row r="18" spans="1:19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 t="shared" si="7"/>
        <v>0</v>
      </c>
      <c r="H18" s="71"/>
      <c r="I18" s="296" t="s">
        <v>65</v>
      </c>
      <c r="J18" s="297"/>
      <c r="K18" s="301" t="s">
        <v>66</v>
      </c>
      <c r="L18" s="302"/>
      <c r="M18" s="360"/>
      <c r="N18" s="360"/>
      <c r="O18" s="361"/>
      <c r="P18" s="69"/>
    </row>
    <row r="19" spans="1:19" ht="15" customHeight="1" x14ac:dyDescent="0.3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 t="shared" si="7"/>
        <v>0</v>
      </c>
      <c r="H19" s="62"/>
      <c r="I19" s="72" t="s">
        <v>68</v>
      </c>
      <c r="J19" s="73">
        <f>+'[1]03'!J25</f>
        <v>4101.5004099999996</v>
      </c>
      <c r="K19" s="72" t="s">
        <v>68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 t="shared" si="7"/>
        <v>0</v>
      </c>
      <c r="H20" s="62"/>
      <c r="I20" s="74" t="s">
        <v>69</v>
      </c>
      <c r="J20" s="75"/>
      <c r="K20" s="76" t="s">
        <v>69</v>
      </c>
      <c r="L20" s="73">
        <f>+E24*(O10-F24)+E25*(O8-F25)+E26*(O9-F26)+E27*(O7-F27)</f>
        <v>0</v>
      </c>
      <c r="M20" s="288" t="s">
        <v>70</v>
      </c>
      <c r="N20" s="289"/>
      <c r="O20" s="290"/>
      <c r="P20" s="77">
        <f>+L20</f>
        <v>0</v>
      </c>
    </row>
    <row r="21" spans="1:19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 t="shared" si="7"/>
        <v>0</v>
      </c>
      <c r="H21" s="62"/>
      <c r="I21" s="74"/>
      <c r="J21" s="73"/>
      <c r="K21" s="76" t="s">
        <v>72</v>
      </c>
      <c r="L21" s="73"/>
      <c r="M21" s="288" t="s">
        <v>73</v>
      </c>
      <c r="N21" s="289"/>
      <c r="O21" s="290"/>
      <c r="P21" s="77">
        <f>+G31</f>
        <v>0</v>
      </c>
    </row>
    <row r="22" spans="1:19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 t="shared" si="7"/>
        <v>0</v>
      </c>
      <c r="H22" s="71"/>
      <c r="I22" s="74" t="s">
        <v>75</v>
      </c>
      <c r="J22" s="75"/>
      <c r="K22" s="76" t="s">
        <v>75</v>
      </c>
      <c r="L22" s="78"/>
      <c r="M22" s="288" t="s">
        <v>76</v>
      </c>
      <c r="N22" s="289"/>
      <c r="O22" s="290"/>
      <c r="P22" s="77">
        <f>+J37+J20+J26+J31+J32</f>
        <v>0</v>
      </c>
    </row>
    <row r="23" spans="1:19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 t="shared" si="7"/>
        <v>0</v>
      </c>
      <c r="H23" s="71"/>
      <c r="I23" s="79" t="s">
        <v>78</v>
      </c>
      <c r="J23" s="80">
        <f>+J19+J20-J22</f>
        <v>4101.5004099999996</v>
      </c>
      <c r="K23" s="81" t="s">
        <v>78</v>
      </c>
      <c r="L23" s="82">
        <f>+L19-L20+L22+L21</f>
        <v>0</v>
      </c>
      <c r="M23" s="294" t="s">
        <v>79</v>
      </c>
      <c r="N23" s="295"/>
      <c r="O23" s="83"/>
      <c r="P23" s="84">
        <f>P14-SUM(P15:P22)</f>
        <v>2855.6000000000004</v>
      </c>
      <c r="Q23" s="48"/>
    </row>
    <row r="24" spans="1:19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/>
      <c r="F24" s="60">
        <v>0</v>
      </c>
      <c r="G24" s="61">
        <f t="shared" si="7"/>
        <v>0</v>
      </c>
      <c r="H24" s="71"/>
      <c r="I24" s="296" t="s">
        <v>81</v>
      </c>
      <c r="J24" s="297"/>
      <c r="K24" s="298" t="s">
        <v>82</v>
      </c>
      <c r="L24" s="299"/>
      <c r="M24" s="299"/>
      <c r="N24" s="299"/>
      <c r="O24" s="299"/>
      <c r="P24" s="300"/>
      <c r="Q24" s="85"/>
    </row>
    <row r="25" spans="1:19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 t="shared" si="7"/>
        <v>0</v>
      </c>
      <c r="H25" s="71"/>
      <c r="I25" s="72" t="s">
        <v>68</v>
      </c>
      <c r="J25" s="86">
        <f>+'[3]02'!J30</f>
        <v>2860.0556350000002</v>
      </c>
      <c r="K25" s="87" t="s">
        <v>83</v>
      </c>
      <c r="L25" s="53" t="s">
        <v>84</v>
      </c>
      <c r="M25" s="88" t="s">
        <v>85</v>
      </c>
      <c r="N25" s="88" t="s">
        <v>86</v>
      </c>
      <c r="O25" s="89" t="s">
        <v>87</v>
      </c>
      <c r="P25" s="90" t="s">
        <v>88</v>
      </c>
      <c r="Q25" s="3"/>
    </row>
    <row r="26" spans="1:19" x14ac:dyDescent="0.3">
      <c r="A26" s="286" t="s">
        <v>80</v>
      </c>
      <c r="B26" s="287"/>
      <c r="C26" s="58" t="s">
        <v>50</v>
      </c>
      <c r="D26" s="58" t="s">
        <v>61</v>
      </c>
      <c r="E26" s="59"/>
      <c r="F26" s="60">
        <v>0</v>
      </c>
      <c r="G26" s="61">
        <f t="shared" si="7"/>
        <v>0</v>
      </c>
      <c r="H26" s="71"/>
      <c r="I26" s="74" t="s">
        <v>69</v>
      </c>
      <c r="J26" s="86"/>
      <c r="K26" s="91" t="s">
        <v>89</v>
      </c>
      <c r="L26" s="92">
        <f>+K42</f>
        <v>0</v>
      </c>
      <c r="M26" s="94"/>
      <c r="N26" s="94"/>
      <c r="O26" s="95"/>
      <c r="P26" s="96" t="str">
        <f>+I42&amp;"   "&amp;"kg"</f>
        <v xml:space="preserve">   kg</v>
      </c>
      <c r="Q26" s="97">
        <f>14028.78/1912.31</f>
        <v>7.336038612986389</v>
      </c>
      <c r="R26" s="3" t="s">
        <v>90</v>
      </c>
      <c r="S26" s="48">
        <f>+Q7*-1</f>
        <v>0</v>
      </c>
    </row>
    <row r="27" spans="1:19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 t="shared" si="7"/>
        <v>0</v>
      </c>
      <c r="H27" s="62"/>
      <c r="I27" s="74" t="s">
        <v>75</v>
      </c>
      <c r="J27" s="86"/>
      <c r="K27" s="91" t="s">
        <v>29</v>
      </c>
      <c r="L27" s="92"/>
      <c r="M27" s="94"/>
      <c r="N27" s="94"/>
      <c r="O27" s="95" t="s">
        <v>91</v>
      </c>
      <c r="P27" s="98"/>
      <c r="Q27" s="97"/>
      <c r="S27" s="48" t="e">
        <f>+#REF!*-1</f>
        <v>#REF!</v>
      </c>
    </row>
    <row r="28" spans="1:19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 t="shared" si="7"/>
        <v>0</v>
      </c>
      <c r="H28" s="62"/>
      <c r="I28" s="99" t="s">
        <v>78</v>
      </c>
      <c r="J28" s="86">
        <f>+J25+J26-J27</f>
        <v>2860.0556350000002</v>
      </c>
      <c r="K28" s="91" t="s">
        <v>30</v>
      </c>
      <c r="L28" s="92"/>
      <c r="M28" s="94"/>
      <c r="N28" s="94"/>
      <c r="O28" s="95" t="s">
        <v>93</v>
      </c>
      <c r="P28" s="100">
        <f>13044.36/990</f>
        <v>13.176121212121213</v>
      </c>
      <c r="Q28" s="97">
        <f>+O8-P28</f>
        <v>2.5738787878787868</v>
      </c>
      <c r="S28" s="48">
        <f>+Q8*-1</f>
        <v>6.7170620381234585</v>
      </c>
    </row>
    <row r="29" spans="1:19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 t="shared" si="7"/>
        <v>0</v>
      </c>
      <c r="H29" s="62"/>
      <c r="I29" s="296" t="s">
        <v>94</v>
      </c>
      <c r="J29" s="297"/>
      <c r="K29" s="101" t="s">
        <v>31</v>
      </c>
      <c r="L29" s="92"/>
      <c r="M29" s="94"/>
      <c r="N29" s="94"/>
      <c r="O29" s="95" t="s">
        <v>93</v>
      </c>
      <c r="P29" s="100">
        <f>11892.04/990</f>
        <v>12.012161616161617</v>
      </c>
      <c r="Q29" s="97">
        <f>+O9-P29</f>
        <v>2.7378383838383833</v>
      </c>
      <c r="S29" s="48">
        <f>+Q9*-1</f>
        <v>11.784773555676907</v>
      </c>
    </row>
    <row r="30" spans="1:19" ht="15" customHeight="1" x14ac:dyDescent="0.3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 t="shared" si="7"/>
        <v>0</v>
      </c>
      <c r="H30" s="62"/>
      <c r="I30" s="72" t="s">
        <v>78</v>
      </c>
      <c r="J30" s="75">
        <f>+'27-03-2025'!J34</f>
        <v>-135</v>
      </c>
      <c r="K30" s="101" t="s">
        <v>32</v>
      </c>
      <c r="L30" s="92"/>
      <c r="M30" s="94"/>
      <c r="N30" s="94"/>
      <c r="O30" s="95" t="s">
        <v>96</v>
      </c>
      <c r="P30" s="100"/>
      <c r="Q30" s="97"/>
      <c r="S30" s="48" t="e">
        <f>+#REF!*-1</f>
        <v>#REF!</v>
      </c>
    </row>
    <row r="31" spans="1:19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0</v>
      </c>
      <c r="H31" s="104"/>
      <c r="I31" s="74" t="s">
        <v>98</v>
      </c>
      <c r="J31" s="105"/>
      <c r="K31" s="106" t="s">
        <v>33</v>
      </c>
      <c r="L31" s="92"/>
      <c r="M31" s="94"/>
      <c r="N31" s="94"/>
      <c r="O31" s="95" t="s">
        <v>91</v>
      </c>
      <c r="P31" s="100">
        <f>6649.01/500</f>
        <v>13.298020000000001</v>
      </c>
      <c r="Q31" s="97">
        <f>+O10-P31</f>
        <v>1.7919799999999988</v>
      </c>
      <c r="R31" s="3" t="s">
        <v>99</v>
      </c>
      <c r="S31" s="48">
        <f t="shared" ref="S31" si="8">+Q10*-1</f>
        <v>-0.86615215808978974</v>
      </c>
    </row>
    <row r="32" spans="1:19" ht="15" thickBot="1" x14ac:dyDescent="0.35">
      <c r="A32" s="266"/>
      <c r="B32" s="267"/>
      <c r="C32" s="267"/>
      <c r="D32" s="268"/>
      <c r="E32" s="268"/>
      <c r="F32" s="268"/>
      <c r="G32" s="268"/>
      <c r="H32" s="269"/>
      <c r="I32" s="74" t="s">
        <v>100</v>
      </c>
      <c r="J32" s="105"/>
      <c r="K32" s="107"/>
      <c r="L32" s="108"/>
      <c r="M32" s="94"/>
      <c r="N32" s="94"/>
      <c r="O32" s="95" t="s">
        <v>93</v>
      </c>
      <c r="P32" s="96"/>
      <c r="Q32" s="97"/>
      <c r="R32" s="109"/>
    </row>
    <row r="33" spans="1:18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75</v>
      </c>
      <c r="J33" s="113"/>
      <c r="K33" s="114" t="s">
        <v>106</v>
      </c>
      <c r="L33" s="115">
        <f>+O2</f>
        <v>45746</v>
      </c>
      <c r="M33" s="273" t="s">
        <v>107</v>
      </c>
      <c r="N33" s="274"/>
      <c r="O33" s="274"/>
      <c r="P33" s="275"/>
      <c r="Q33" s="116"/>
      <c r="R33" s="109"/>
    </row>
    <row r="34" spans="1:18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78</v>
      </c>
      <c r="J34" s="124">
        <f>+J30-J31-J32+J33</f>
        <v>-135</v>
      </c>
      <c r="K34" s="118" t="s">
        <v>58</v>
      </c>
      <c r="L34" s="125">
        <v>2103.1</v>
      </c>
      <c r="M34" s="276"/>
      <c r="N34" s="276"/>
      <c r="O34" s="276"/>
      <c r="P34" s="277"/>
      <c r="Q34" s="116"/>
      <c r="R34" s="109"/>
    </row>
    <row r="35" spans="1:18" ht="15.75" customHeight="1" thickBot="1" x14ac:dyDescent="0.35">
      <c r="A35" s="126" t="s">
        <v>109</v>
      </c>
      <c r="B35" s="127">
        <v>537</v>
      </c>
      <c r="C35" s="127"/>
      <c r="D35" s="128" t="s">
        <v>110</v>
      </c>
      <c r="E35" s="129"/>
      <c r="F35" s="130">
        <f>+C43</f>
        <v>14.75</v>
      </c>
      <c r="G35" s="131">
        <v>15.08</v>
      </c>
      <c r="H35" s="132">
        <f>+E35*(F35-G35)</f>
        <v>0</v>
      </c>
      <c r="I35" s="280" t="s">
        <v>111</v>
      </c>
      <c r="J35" s="280"/>
      <c r="K35" s="133" t="s">
        <v>29</v>
      </c>
      <c r="L35" s="134">
        <v>752.5</v>
      </c>
      <c r="M35" s="278"/>
      <c r="N35" s="278"/>
      <c r="O35" s="278"/>
      <c r="P35" s="279"/>
      <c r="Q35" s="116"/>
      <c r="R35" s="109"/>
    </row>
    <row r="36" spans="1:18" ht="15.75" customHeight="1" thickBot="1" x14ac:dyDescent="0.35">
      <c r="A36" s="135" t="s">
        <v>112</v>
      </c>
      <c r="B36" s="136">
        <v>33.799999999999997</v>
      </c>
      <c r="C36" s="136">
        <v>185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137" t="s">
        <v>68</v>
      </c>
      <c r="J36" s="138">
        <f>+'03-03-2025'!I39</f>
        <v>274.83</v>
      </c>
      <c r="K36" s="128" t="s">
        <v>113</v>
      </c>
      <c r="L36" s="134"/>
      <c r="M36" s="281" t="s">
        <v>114</v>
      </c>
      <c r="N36" s="281"/>
      <c r="O36" s="140">
        <f>+L33</f>
        <v>45746</v>
      </c>
      <c r="P36" s="140"/>
      <c r="Q36" s="116"/>
      <c r="R36" s="109"/>
    </row>
    <row r="37" spans="1:18" ht="16.2" thickBot="1" x14ac:dyDescent="0.35">
      <c r="A37" s="135"/>
      <c r="B37" s="141"/>
      <c r="C37" s="142"/>
      <c r="D37" s="128" t="s">
        <v>33</v>
      </c>
      <c r="E37" s="129"/>
      <c r="F37" s="130">
        <f>+C45</f>
        <v>15.09</v>
      </c>
      <c r="G37" s="131">
        <v>14.18</v>
      </c>
      <c r="H37" s="132">
        <f>+E37*(F37-G37)</f>
        <v>0</v>
      </c>
      <c r="I37" s="76" t="s">
        <v>69</v>
      </c>
      <c r="J37" s="143"/>
      <c r="K37" s="144" t="s">
        <v>115</v>
      </c>
      <c r="L37" s="265"/>
      <c r="M37" s="146" t="s">
        <v>58</v>
      </c>
      <c r="N37" s="147" t="s">
        <v>116</v>
      </c>
      <c r="O37" s="148">
        <f>+L34</f>
        <v>2103.1</v>
      </c>
      <c r="P37" s="149"/>
      <c r="Q37" s="150"/>
      <c r="R37" s="109"/>
    </row>
    <row r="38" spans="1:18" ht="16.2" thickBot="1" x14ac:dyDescent="0.35">
      <c r="A38" s="151" t="s">
        <v>117</v>
      </c>
      <c r="B38" s="152">
        <f>SUM(B35:B37)</f>
        <v>570.79999999999995</v>
      </c>
      <c r="C38" s="153">
        <f>SUM(C35:C37)</f>
        <v>185</v>
      </c>
      <c r="D38" s="144" t="s">
        <v>29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75</v>
      </c>
      <c r="J38" s="158"/>
      <c r="K38" s="159" t="s">
        <v>97</v>
      </c>
      <c r="L38" s="160">
        <f>SUM(L34:L37)</f>
        <v>2855.6</v>
      </c>
      <c r="M38" s="161" t="s">
        <v>29</v>
      </c>
      <c r="N38" s="162" t="s">
        <v>118</v>
      </c>
      <c r="O38" s="163">
        <f>+L35</f>
        <v>752.5</v>
      </c>
      <c r="P38" s="164"/>
      <c r="Q38" s="150"/>
      <c r="R38" s="109"/>
    </row>
    <row r="39" spans="1:18" ht="24.6" thickTop="1" thickBot="1" x14ac:dyDescent="0.5">
      <c r="A39" s="165" t="s">
        <v>119</v>
      </c>
      <c r="B39" s="166">
        <f>SUM(B38:C38)</f>
        <v>755.8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78</v>
      </c>
      <c r="J39" s="124">
        <f>+J36+J37-J38</f>
        <v>274.83</v>
      </c>
      <c r="K39" s="173" t="s">
        <v>120</v>
      </c>
      <c r="L39" s="174">
        <f>+P23-L38</f>
        <v>0</v>
      </c>
      <c r="M39" s="282" t="s">
        <v>97</v>
      </c>
      <c r="N39" s="283"/>
      <c r="O39" s="284">
        <f>SUM(O37:P38)</f>
        <v>2855.6</v>
      </c>
      <c r="P39" s="285"/>
      <c r="Q39" s="150"/>
      <c r="R39" s="109"/>
    </row>
    <row r="40" spans="1:18" ht="15" thickBot="1" x14ac:dyDescent="0.35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79"/>
      <c r="F41" s="180"/>
      <c r="G41" s="183"/>
      <c r="H41" s="270" t="s">
        <v>125</v>
      </c>
      <c r="I41" s="271"/>
      <c r="J41" s="271"/>
      <c r="K41" s="271"/>
      <c r="L41" s="272"/>
      <c r="P41" s="181"/>
      <c r="Q41" s="150"/>
    </row>
    <row r="42" spans="1:18" ht="15.6" x14ac:dyDescent="0.3">
      <c r="A42" s="182" t="s">
        <v>30</v>
      </c>
      <c r="B42" s="183">
        <f>IF(D42&gt;"0",0,(D42/C42))</f>
        <v>61.206349206349209</v>
      </c>
      <c r="C42" s="184">
        <v>15.75</v>
      </c>
      <c r="D42" s="185">
        <v>964</v>
      </c>
      <c r="E42" s="186"/>
      <c r="F42" s="186"/>
      <c r="G42" s="183"/>
      <c r="H42" s="187" t="s">
        <v>126</v>
      </c>
      <c r="I42" s="188"/>
      <c r="J42" s="189">
        <v>2.0185</v>
      </c>
      <c r="K42" s="190">
        <f>+I42/J42</f>
        <v>0</v>
      </c>
      <c r="L42" s="191" t="s">
        <v>127</v>
      </c>
      <c r="M42" s="192"/>
      <c r="N42" s="193" t="s">
        <v>2</v>
      </c>
      <c r="O42" s="194"/>
      <c r="Q42" s="3"/>
    </row>
    <row r="43" spans="1:18" ht="15.6" x14ac:dyDescent="0.3">
      <c r="A43" s="182" t="s">
        <v>31</v>
      </c>
      <c r="B43" s="183">
        <f>IF(D43&gt;"0",0,(D43/C43))</f>
        <v>67.679322033898302</v>
      </c>
      <c r="C43" s="184">
        <v>14.75</v>
      </c>
      <c r="D43" s="185">
        <v>998.27</v>
      </c>
      <c r="E43" s="186"/>
      <c r="F43" s="186"/>
      <c r="G43" s="183"/>
      <c r="H43" s="195" t="s">
        <v>128</v>
      </c>
      <c r="I43" s="196">
        <f>+K43/J43</f>
        <v>1.9786548317218788</v>
      </c>
      <c r="J43" s="197">
        <v>3.7854000000000001</v>
      </c>
      <c r="K43" s="198">
        <f>+C46</f>
        <v>7.49</v>
      </c>
      <c r="L43" s="199" t="s">
        <v>129</v>
      </c>
      <c r="M43" s="200"/>
      <c r="N43" s="193" t="s">
        <v>130</v>
      </c>
      <c r="O43" s="194"/>
      <c r="P43" s="201"/>
      <c r="Q43" s="3"/>
    </row>
    <row r="44" spans="1:18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H44" s="202"/>
      <c r="I44" s="203"/>
      <c r="J44" s="203"/>
      <c r="K44" s="203"/>
      <c r="L44" s="204"/>
      <c r="M44" s="200"/>
      <c r="N44" s="205"/>
      <c r="O44" s="194"/>
      <c r="Q44" s="3"/>
    </row>
    <row r="45" spans="1:18" ht="15.6" x14ac:dyDescent="0.3">
      <c r="A45" s="182" t="s">
        <v>131</v>
      </c>
      <c r="B45" s="183">
        <f>IF(D45&gt;"0",0,(D45/C45))</f>
        <v>47.159045725646124</v>
      </c>
      <c r="C45" s="184">
        <v>15.09</v>
      </c>
      <c r="D45" s="185">
        <v>711.63</v>
      </c>
      <c r="E45" s="186"/>
      <c r="F45" s="186"/>
      <c r="G45" s="183"/>
      <c r="H45" s="206" t="s">
        <v>132</v>
      </c>
      <c r="I45" s="207" t="e">
        <f>+K45/J45</f>
        <v>#DIV/0!</v>
      </c>
      <c r="J45" s="208">
        <f>+J43</f>
        <v>3.7854000000000001</v>
      </c>
      <c r="K45" s="209" t="e">
        <f>+L45/I42</f>
        <v>#DIV/0!</v>
      </c>
      <c r="L45" s="210">
        <v>25000</v>
      </c>
      <c r="M45" s="200" t="s">
        <v>34</v>
      </c>
      <c r="N45" s="211" t="s">
        <v>133</v>
      </c>
      <c r="O45" s="3" t="s">
        <v>116</v>
      </c>
      <c r="P45" s="201"/>
      <c r="Q45" s="3"/>
      <c r="R45" s="201"/>
    </row>
    <row r="46" spans="1:18" ht="15.6" x14ac:dyDescent="0.3">
      <c r="A46" s="182" t="s">
        <v>29</v>
      </c>
      <c r="B46" s="183">
        <f>IF(D46&gt;"0",0,(D46/C46))</f>
        <v>125.17489986648864</v>
      </c>
      <c r="C46" s="184">
        <v>7.49</v>
      </c>
      <c r="D46" s="185">
        <v>937.56</v>
      </c>
      <c r="E46" s="186"/>
      <c r="F46" s="186"/>
      <c r="G46" s="183"/>
      <c r="H46" s="262">
        <f>(L34+B38+P21+P22+P20+L36)-SUM(D42:D45)+(P18+P19)</f>
        <v>-4.5474735088646412E-13</v>
      </c>
      <c r="I46" s="203" t="s">
        <v>134</v>
      </c>
      <c r="J46" s="196" t="s">
        <v>135</v>
      </c>
      <c r="K46" s="214">
        <v>2.1061999999999999</v>
      </c>
      <c r="L46" s="215"/>
      <c r="M46" s="200"/>
      <c r="N46" s="3" t="s">
        <v>136</v>
      </c>
      <c r="O46" s="194"/>
      <c r="P46" s="201"/>
      <c r="Q46" s="3"/>
      <c r="R46" s="201"/>
    </row>
    <row r="47" spans="1:18" ht="16.5" customHeight="1" thickBot="1" x14ac:dyDescent="0.35">
      <c r="A47" s="180"/>
      <c r="B47" s="216">
        <f>SUM(B42:B46)</f>
        <v>301.21961683238231</v>
      </c>
      <c r="C47" s="216"/>
      <c r="D47" s="217">
        <f>SUM(D42:D46)</f>
        <v>3611.46</v>
      </c>
      <c r="E47" s="217">
        <v>3611.46</v>
      </c>
      <c r="F47" s="186"/>
      <c r="G47" s="183"/>
      <c r="H47" s="263">
        <f>(C36+L35+L37)-D46</f>
        <v>-5.999999999994543E-2</v>
      </c>
      <c r="I47" s="220" t="s">
        <v>90</v>
      </c>
      <c r="J47" s="221" t="s">
        <v>137</v>
      </c>
      <c r="K47" s="222">
        <v>2.0185</v>
      </c>
      <c r="L47" s="223" t="e">
        <f>+K45-K43</f>
        <v>#DIV/0!</v>
      </c>
      <c r="M47" s="200"/>
      <c r="N47" s="205" t="s">
        <v>138</v>
      </c>
      <c r="O47" s="194"/>
      <c r="P47" s="201"/>
      <c r="Q47" s="3"/>
      <c r="R47" s="201"/>
    </row>
    <row r="48" spans="1:18" ht="16.2" thickTop="1" x14ac:dyDescent="0.3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x14ac:dyDescent="0.3">
      <c r="A49" s="180"/>
      <c r="B49" s="180"/>
      <c r="C49" s="180"/>
      <c r="D49" s="180"/>
      <c r="E49" s="183"/>
      <c r="F49" s="224"/>
      <c r="G49" s="183"/>
      <c r="H49" s="183"/>
      <c r="I49" s="183"/>
      <c r="J49" s="183"/>
      <c r="K49" s="205"/>
      <c r="L49" s="205"/>
      <c r="M49" s="200"/>
      <c r="N49" s="201"/>
      <c r="O49" s="194"/>
      <c r="P49" s="227"/>
      <c r="Q49" s="3"/>
    </row>
    <row r="50" spans="1:17" ht="15.6" x14ac:dyDescent="0.3">
      <c r="A50" s="180"/>
      <c r="B50" s="180"/>
      <c r="C50" s="180"/>
      <c r="D50" s="180"/>
      <c r="E50" s="183"/>
      <c r="F50" s="224"/>
      <c r="G50" s="183"/>
      <c r="H50" s="218"/>
      <c r="I50" s="183"/>
      <c r="J50" s="183"/>
      <c r="K50" s="205"/>
      <c r="L50" s="201"/>
      <c r="M50" s="200"/>
      <c r="N50" s="201"/>
      <c r="O50" s="194"/>
      <c r="P50" s="227"/>
      <c r="Q50" s="3"/>
    </row>
    <row r="51" spans="1:17" ht="15.6" x14ac:dyDescent="0.3">
      <c r="A51" s="180"/>
      <c r="B51" s="228"/>
      <c r="C51" s="228"/>
      <c r="D51" s="229"/>
      <c r="E51" s="230"/>
      <c r="F51" s="224"/>
      <c r="G51" s="183"/>
      <c r="H51" s="231"/>
      <c r="I51" s="232"/>
      <c r="J51" s="233"/>
      <c r="K51" s="234"/>
      <c r="L51" s="235"/>
      <c r="M51" s="236"/>
      <c r="O51" s="194"/>
      <c r="Q51" s="3"/>
    </row>
    <row r="52" spans="1:17" ht="15.6" x14ac:dyDescent="0.3">
      <c r="A52" s="180"/>
      <c r="B52" s="228"/>
      <c r="C52" s="228"/>
      <c r="D52" s="229"/>
      <c r="E52" s="236"/>
      <c r="F52" s="224"/>
      <c r="G52" s="264"/>
      <c r="H52" s="231"/>
      <c r="I52" s="228"/>
      <c r="J52" s="233"/>
      <c r="K52" s="234"/>
      <c r="L52" s="235"/>
      <c r="M52" s="236"/>
      <c r="O52" s="237"/>
      <c r="Q52" s="3"/>
    </row>
    <row r="53" spans="1:17" ht="15.6" x14ac:dyDescent="0.3">
      <c r="A53" s="238"/>
      <c r="B53" s="239"/>
      <c r="C53" s="239"/>
      <c r="D53" s="240"/>
      <c r="E53" s="239"/>
      <c r="F53" s="224"/>
      <c r="G53" s="183"/>
      <c r="H53" s="231"/>
      <c r="I53" s="228"/>
      <c r="J53" s="233"/>
      <c r="K53" s="234"/>
      <c r="L53" s="235"/>
      <c r="M53" s="236"/>
      <c r="Q53" s="3"/>
    </row>
    <row r="54" spans="1:17" ht="15.6" x14ac:dyDescent="0.3">
      <c r="A54" s="238"/>
      <c r="B54" s="241"/>
      <c r="C54" s="241"/>
      <c r="D54" s="242"/>
      <c r="E54" s="243"/>
      <c r="F54" s="224"/>
      <c r="G54" s="218"/>
      <c r="H54" s="231"/>
      <c r="I54" s="228"/>
      <c r="J54" s="233"/>
      <c r="K54" s="234"/>
      <c r="L54" s="235"/>
      <c r="M54" s="236"/>
      <c r="Q54" s="3"/>
    </row>
    <row r="55" spans="1:17" ht="15.6" x14ac:dyDescent="0.3">
      <c r="A55" s="238"/>
      <c r="D55" s="229"/>
      <c r="E55" s="201"/>
      <c r="F55" s="224"/>
      <c r="G55" s="218"/>
      <c r="H55" s="228"/>
      <c r="I55" s="228"/>
      <c r="J55" s="233"/>
      <c r="K55" s="234"/>
      <c r="L55" s="235"/>
      <c r="M55" s="236"/>
      <c r="Q55" s="3"/>
    </row>
    <row r="56" spans="1:17" ht="15.6" x14ac:dyDescent="0.3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6" x14ac:dyDescent="0.3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6" x14ac:dyDescent="0.3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6" x14ac:dyDescent="0.3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6" x14ac:dyDescent="0.3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6" x14ac:dyDescent="0.3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6" x14ac:dyDescent="0.3">
      <c r="A62" s="244"/>
      <c r="D62" s="229"/>
      <c r="F62" s="250"/>
      <c r="G62" s="246"/>
      <c r="N62" s="109"/>
      <c r="O62" s="109"/>
      <c r="P62" s="109"/>
      <c r="Q62" s="3"/>
    </row>
    <row r="63" spans="1:17" x14ac:dyDescent="0.3">
      <c r="A63" s="238"/>
      <c r="D63" s="109"/>
      <c r="F63" s="249"/>
      <c r="G63" s="246"/>
      <c r="N63" s="109"/>
      <c r="O63" s="109"/>
      <c r="P63" s="109"/>
      <c r="Q63" s="3"/>
    </row>
    <row r="64" spans="1:17" x14ac:dyDescent="0.3">
      <c r="A64" s="238"/>
      <c r="F64" s="249"/>
      <c r="G64" s="246"/>
      <c r="N64" s="109"/>
      <c r="O64" s="109"/>
      <c r="P64" s="109"/>
      <c r="Q64" s="3"/>
    </row>
    <row r="65" spans="1:20" x14ac:dyDescent="0.3">
      <c r="A65" s="238">
        <v>84</v>
      </c>
      <c r="F65" s="251"/>
      <c r="G65" s="246"/>
      <c r="N65" s="109"/>
      <c r="Q65" s="3"/>
    </row>
    <row r="66" spans="1:20" x14ac:dyDescent="0.3">
      <c r="A66" s="244" t="s">
        <v>131</v>
      </c>
      <c r="F66" s="249"/>
      <c r="G66" s="246"/>
      <c r="N66" s="109"/>
      <c r="Q66" s="3"/>
    </row>
    <row r="67" spans="1:20" x14ac:dyDescent="0.3">
      <c r="A67" s="85"/>
      <c r="F67" s="247"/>
      <c r="G67" s="246"/>
      <c r="N67" s="109"/>
      <c r="Q67" s="3"/>
    </row>
    <row r="68" spans="1:20" x14ac:dyDescent="0.3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3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3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3">
      <c r="A71" s="244" t="s">
        <v>131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3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3">
      <c r="A73" s="244" t="s">
        <v>29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3">
      <c r="A74" s="244" t="s">
        <v>29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3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3">
      <c r="A76" s="244" t="s">
        <v>29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3">
      <c r="A77" s="244" t="s">
        <v>29</v>
      </c>
      <c r="F77" s="255"/>
      <c r="G77" s="254"/>
      <c r="N77" s="109"/>
      <c r="O77" s="109"/>
      <c r="P77" s="109"/>
      <c r="Q77" s="109"/>
      <c r="R77" s="200"/>
    </row>
    <row r="78" spans="1:20" x14ac:dyDescent="0.3">
      <c r="A78" s="85"/>
      <c r="F78" s="255"/>
      <c r="G78" s="228"/>
      <c r="N78" s="109"/>
      <c r="O78" s="109"/>
      <c r="P78" s="109"/>
      <c r="Q78" s="109"/>
      <c r="R78" s="200"/>
    </row>
    <row r="79" spans="1:20" x14ac:dyDescent="0.3">
      <c r="A79" s="85"/>
      <c r="F79" s="239"/>
      <c r="G79" s="228"/>
      <c r="N79" s="109"/>
      <c r="O79" s="109"/>
      <c r="P79" s="109"/>
      <c r="Q79" s="109"/>
      <c r="R79" s="200"/>
    </row>
    <row r="80" spans="1:20" x14ac:dyDescent="0.3">
      <c r="A80" s="85"/>
      <c r="F80" s="241"/>
      <c r="G80" s="228"/>
      <c r="N80" s="109"/>
      <c r="O80" s="109"/>
      <c r="P80" s="109"/>
      <c r="Q80" s="109"/>
      <c r="R80" s="200"/>
    </row>
    <row r="81" spans="1:19" x14ac:dyDescent="0.3">
      <c r="A81" s="85"/>
      <c r="F81" s="241"/>
      <c r="G81" s="228"/>
      <c r="N81" s="109"/>
      <c r="O81" s="109"/>
      <c r="P81" s="109"/>
      <c r="Q81" s="109"/>
      <c r="R81" s="200"/>
    </row>
    <row r="82" spans="1:19" x14ac:dyDescent="0.3">
      <c r="A82" s="85"/>
      <c r="F82" s="228"/>
      <c r="G82" s="228"/>
      <c r="N82" s="109"/>
      <c r="O82" s="109"/>
      <c r="P82" s="109"/>
      <c r="Q82" s="109"/>
    </row>
    <row r="83" spans="1:19" x14ac:dyDescent="0.3">
      <c r="N83" s="109"/>
      <c r="O83" s="109"/>
      <c r="P83" s="109"/>
      <c r="Q83" s="109"/>
    </row>
    <row r="84" spans="1:19" x14ac:dyDescent="0.3">
      <c r="N84" s="109"/>
      <c r="O84" s="257"/>
      <c r="P84" s="257"/>
      <c r="Q84" s="109"/>
    </row>
    <row r="85" spans="1:19" x14ac:dyDescent="0.3">
      <c r="N85" s="109"/>
      <c r="O85" s="257"/>
      <c r="P85" s="257"/>
      <c r="Q85" s="109"/>
    </row>
    <row r="86" spans="1:19" x14ac:dyDescent="0.3">
      <c r="N86" s="109"/>
      <c r="O86" s="257"/>
      <c r="P86" s="257"/>
      <c r="Q86" s="109"/>
    </row>
    <row r="87" spans="1:19" x14ac:dyDescent="0.3">
      <c r="N87" s="109"/>
      <c r="O87" s="257"/>
      <c r="P87" s="257"/>
      <c r="Q87" s="109"/>
    </row>
    <row r="88" spans="1:19" x14ac:dyDescent="0.3">
      <c r="N88" s="109"/>
      <c r="O88" s="257"/>
      <c r="P88" s="257"/>
      <c r="Q88" s="109"/>
    </row>
    <row r="89" spans="1:19" x14ac:dyDescent="0.3">
      <c r="N89" s="109"/>
      <c r="O89" s="257"/>
      <c r="P89" s="257"/>
      <c r="Q89" s="109"/>
      <c r="S89" s="256"/>
    </row>
    <row r="90" spans="1:19" x14ac:dyDescent="0.3">
      <c r="Q90" s="3"/>
    </row>
    <row r="91" spans="1:19" x14ac:dyDescent="0.3">
      <c r="Q91" s="3"/>
    </row>
    <row r="92" spans="1:19" x14ac:dyDescent="0.3">
      <c r="Q92" s="3"/>
    </row>
    <row r="93" spans="1:19" s="70" customFormat="1" x14ac:dyDescent="0.3">
      <c r="H93" s="3"/>
      <c r="I93" s="3"/>
      <c r="J93" s="3"/>
      <c r="K93" s="3"/>
      <c r="L93" s="3"/>
      <c r="M93" s="3"/>
    </row>
    <row r="94" spans="1:19" s="70" customFormat="1" x14ac:dyDescent="0.3">
      <c r="H94" s="3"/>
      <c r="I94" s="3"/>
      <c r="J94" s="3"/>
      <c r="K94" s="3"/>
      <c r="L94" s="3"/>
      <c r="M94" s="3"/>
    </row>
    <row r="95" spans="1:19" s="70" customFormat="1" x14ac:dyDescent="0.3">
      <c r="H95" s="3"/>
      <c r="I95" s="3"/>
      <c r="J95" s="3"/>
      <c r="K95" s="3"/>
      <c r="L95" s="3"/>
      <c r="M95" s="3"/>
    </row>
    <row r="96" spans="1:19" s="70" customFormat="1" x14ac:dyDescent="0.3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3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3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" thickBot="1" x14ac:dyDescent="0.35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3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3">
      <c r="N101" s="109"/>
      <c r="O101" s="257"/>
      <c r="P101" s="257"/>
      <c r="Q101" s="109"/>
    </row>
    <row r="102" spans="8:17" x14ac:dyDescent="0.3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3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3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3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3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3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3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3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3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3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3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" thickBot="1" x14ac:dyDescent="0.35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3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3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3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3">
      <c r="N117" s="109"/>
      <c r="O117" s="257"/>
    </row>
    <row r="118" spans="8:17" x14ac:dyDescent="0.3">
      <c r="N118" s="109"/>
      <c r="O118" s="257"/>
    </row>
    <row r="119" spans="8:17" x14ac:dyDescent="0.3">
      <c r="N119" s="109"/>
      <c r="O119" s="205"/>
    </row>
    <row r="120" spans="8:17" x14ac:dyDescent="0.3">
      <c r="N120" s="109"/>
    </row>
    <row r="121" spans="8:17" x14ac:dyDescent="0.3">
      <c r="N121" s="109"/>
    </row>
    <row r="122" spans="8:17" x14ac:dyDescent="0.3">
      <c r="N122" s="109"/>
    </row>
    <row r="123" spans="8:17" x14ac:dyDescent="0.3">
      <c r="N123" s="109"/>
    </row>
    <row r="124" spans="8:17" x14ac:dyDescent="0.3">
      <c r="N124" s="109"/>
    </row>
    <row r="125" spans="8:17" x14ac:dyDescent="0.3">
      <c r="N125" s="109"/>
    </row>
    <row r="126" spans="8:17" ht="15" thickBot="1" x14ac:dyDescent="0.35">
      <c r="N126" s="109"/>
      <c r="O126" s="261"/>
      <c r="P126" s="261"/>
    </row>
    <row r="127" spans="8:17" s="70" customFormat="1" x14ac:dyDescent="0.3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3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3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3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3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3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3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3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3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3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3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3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3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3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" thickBot="1" x14ac:dyDescent="0.35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 xr:uid="{00000000-0009-0000-0000-000005000000}"/>
  <mergeCells count="64"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  <mergeCell ref="A13:B13"/>
    <mergeCell ref="I13:J13"/>
    <mergeCell ref="M13:N13"/>
    <mergeCell ref="A12:H12"/>
    <mergeCell ref="I12:L12"/>
    <mergeCell ref="M12:P12"/>
    <mergeCell ref="A14:B14"/>
    <mergeCell ref="I14:J14"/>
    <mergeCell ref="M14:N14"/>
    <mergeCell ref="A15:B15"/>
    <mergeCell ref="I15:J15"/>
    <mergeCell ref="M15:N15"/>
    <mergeCell ref="A16:B16"/>
    <mergeCell ref="I16:L16"/>
    <mergeCell ref="M16:N16"/>
    <mergeCell ref="A17:B17"/>
    <mergeCell ref="I17:J17"/>
    <mergeCell ref="K17:L17"/>
    <mergeCell ref="M17:O17"/>
    <mergeCell ref="A18:B18"/>
    <mergeCell ref="I18:J18"/>
    <mergeCell ref="K18:L18"/>
    <mergeCell ref="M18:O18"/>
    <mergeCell ref="A19:B19"/>
    <mergeCell ref="M19:O1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32:H32"/>
    <mergeCell ref="H41:L41"/>
    <mergeCell ref="M33:P33"/>
    <mergeCell ref="M34:P35"/>
    <mergeCell ref="I35:J35"/>
    <mergeCell ref="M36:N36"/>
    <mergeCell ref="M39:N39"/>
    <mergeCell ref="O39:P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A2B4-B404-4417-B638-CAA9B78DB0ED}">
  <sheetPr>
    <pageSetUpPr fitToPage="1"/>
  </sheetPr>
  <dimension ref="A1:X141"/>
  <sheetViews>
    <sheetView zoomScale="90" zoomScaleNormal="90" workbookViewId="0">
      <selection activeCell="H17" sqref="H17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3.44140625" style="3" bestFit="1" customWidth="1"/>
    <col min="6" max="6" width="12.6640625" style="3" customWidth="1"/>
    <col min="7" max="7" width="11.33203125" style="3" customWidth="1"/>
    <col min="8" max="8" width="12" style="3" customWidth="1"/>
    <col min="9" max="9" width="12.109375" style="3" customWidth="1"/>
    <col min="10" max="10" width="11.44140625" style="3" customWidth="1"/>
    <col min="11" max="11" width="12.109375" style="3" bestFit="1" customWidth="1"/>
    <col min="12" max="12" width="13.33203125" style="3" bestFit="1" customWidth="1"/>
    <col min="13" max="13" width="12.44140625" style="3" customWidth="1"/>
    <col min="14" max="14" width="14.6640625" style="3" customWidth="1"/>
    <col min="15" max="15" width="15" style="3" customWidth="1"/>
    <col min="16" max="16" width="16" style="3" customWidth="1"/>
    <col min="17" max="17" width="11.44140625" style="70" bestFit="1" customWidth="1"/>
    <col min="18" max="18" width="3.44140625" style="3" customWidth="1"/>
    <col min="19" max="19" width="13.109375" style="3" customWidth="1"/>
    <col min="20" max="20" width="12" style="3" bestFit="1" customWidth="1"/>
    <col min="21" max="16384" width="11.44140625" style="3"/>
  </cols>
  <sheetData>
    <row r="1" spans="1:24" x14ac:dyDescent="0.3">
      <c r="A1" s="336" t="s">
        <v>0</v>
      </c>
      <c r="B1" s="337"/>
      <c r="C1" s="337"/>
      <c r="D1" s="337"/>
      <c r="E1" s="337"/>
      <c r="F1" s="337"/>
      <c r="G1" s="337"/>
      <c r="H1" s="338"/>
      <c r="I1" s="345" t="s">
        <v>1</v>
      </c>
      <c r="J1" s="346"/>
      <c r="K1" s="345" t="s">
        <v>2</v>
      </c>
      <c r="L1" s="347"/>
      <c r="M1" s="346"/>
      <c r="N1" s="1" t="s">
        <v>3</v>
      </c>
      <c r="O1" s="348">
        <v>38</v>
      </c>
      <c r="P1" s="349"/>
      <c r="Q1" s="2"/>
    </row>
    <row r="2" spans="1:24" x14ac:dyDescent="0.3">
      <c r="A2" s="339"/>
      <c r="B2" s="340"/>
      <c r="C2" s="340"/>
      <c r="D2" s="340"/>
      <c r="E2" s="340"/>
      <c r="F2" s="340"/>
      <c r="G2" s="340"/>
      <c r="H2" s="341"/>
      <c r="I2" s="350" t="s">
        <v>4</v>
      </c>
      <c r="J2" s="351"/>
      <c r="K2" s="350" t="s">
        <v>5</v>
      </c>
      <c r="L2" s="352"/>
      <c r="M2" s="351"/>
      <c r="N2" s="4" t="s">
        <v>6</v>
      </c>
      <c r="O2" s="353">
        <v>45747</v>
      </c>
      <c r="P2" s="354"/>
      <c r="Q2" s="5">
        <v>45658</v>
      </c>
    </row>
    <row r="3" spans="1:24" ht="15" thickBot="1" x14ac:dyDescent="0.35">
      <c r="A3" s="342"/>
      <c r="B3" s="343"/>
      <c r="C3" s="343"/>
      <c r="D3" s="343"/>
      <c r="E3" s="343"/>
      <c r="F3" s="343"/>
      <c r="G3" s="343"/>
      <c r="H3" s="344"/>
      <c r="I3" s="355" t="s">
        <v>7</v>
      </c>
      <c r="J3" s="356"/>
      <c r="K3" s="355" t="s">
        <v>8</v>
      </c>
      <c r="L3" s="357"/>
      <c r="M3" s="356"/>
      <c r="N3" s="6" t="s">
        <v>9</v>
      </c>
      <c r="O3" s="358">
        <f>+O2-Q2+1</f>
        <v>90</v>
      </c>
      <c r="P3" s="359"/>
      <c r="Q3" s="5">
        <v>44197</v>
      </c>
      <c r="R3" s="7"/>
    </row>
    <row r="4" spans="1:24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2" t="e">
        <f>INT(Q2-O2)&amp;"días "&amp;TEXT(Q2-O2,"h"" hrs ""m"" min ""s"" seg""")</f>
        <v>#VALUE!</v>
      </c>
      <c r="P4" s="333"/>
      <c r="Q4" s="2"/>
    </row>
    <row r="5" spans="1:24" s="13" customFormat="1" x14ac:dyDescent="0.3">
      <c r="A5" s="10" t="s">
        <v>10</v>
      </c>
      <c r="B5" s="11" t="s">
        <v>11</v>
      </c>
      <c r="C5" s="334" t="s">
        <v>12</v>
      </c>
      <c r="D5" s="330"/>
      <c r="E5" s="330"/>
      <c r="F5" s="335"/>
      <c r="G5" s="334" t="s">
        <v>13</v>
      </c>
      <c r="H5" s="330"/>
      <c r="I5" s="330"/>
      <c r="J5" s="335"/>
      <c r="K5" s="11" t="s">
        <v>11</v>
      </c>
      <c r="L5" s="334" t="s">
        <v>14</v>
      </c>
      <c r="M5" s="335"/>
      <c r="N5" s="334" t="s">
        <v>15</v>
      </c>
      <c r="O5" s="330"/>
      <c r="P5" s="331"/>
      <c r="Q5" s="12"/>
    </row>
    <row r="6" spans="1:24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19</v>
      </c>
      <c r="I6" s="16" t="s">
        <v>20</v>
      </c>
      <c r="J6" s="16" t="s">
        <v>23</v>
      </c>
      <c r="K6" s="15" t="s">
        <v>24</v>
      </c>
      <c r="L6" s="16" t="s">
        <v>17</v>
      </c>
      <c r="M6" s="16" t="s">
        <v>24</v>
      </c>
      <c r="N6" s="16" t="s">
        <v>25</v>
      </c>
      <c r="O6" s="16" t="s">
        <v>26</v>
      </c>
      <c r="P6" s="17" t="s">
        <v>27</v>
      </c>
      <c r="Q6" s="18" t="s">
        <v>28</v>
      </c>
      <c r="R6" s="19"/>
    </row>
    <row r="7" spans="1:24" s="31" customFormat="1" ht="15" customHeight="1" x14ac:dyDescent="0.3">
      <c r="A7" s="20" t="s">
        <v>29</v>
      </c>
      <c r="B7" s="21">
        <f>+'30-03-2025'!K7</f>
        <v>2251.1041350629612</v>
      </c>
      <c r="C7" s="22">
        <f>L26+L27</f>
        <v>0</v>
      </c>
      <c r="D7" s="23"/>
      <c r="E7" s="23"/>
      <c r="F7" s="24">
        <f>+B7+C7+D7+E7</f>
        <v>2251.1041350629612</v>
      </c>
      <c r="G7" s="25">
        <f>B46-H7</f>
        <v>187.74766355140187</v>
      </c>
      <c r="H7" s="22"/>
      <c r="I7" s="26"/>
      <c r="J7" s="21">
        <f>+G7+I7</f>
        <v>187.74766355140187</v>
      </c>
      <c r="K7" s="21">
        <f>+F7-J7</f>
        <v>2063.3564715115594</v>
      </c>
      <c r="L7" s="27">
        <f>+'30-03-2025'!M7</f>
        <v>2251.1041350629612</v>
      </c>
      <c r="M7" s="28">
        <v>2063.3564715115594</v>
      </c>
      <c r="N7" s="24">
        <f>+G7</f>
        <v>187.74766355140187</v>
      </c>
      <c r="O7" s="24">
        <f>+C46</f>
        <v>7.49</v>
      </c>
      <c r="P7" s="29">
        <f t="shared" ref="P7:P10" si="0">+N7*O7</f>
        <v>1406.23</v>
      </c>
      <c r="Q7" s="30">
        <f t="shared" ref="Q7:Q10" si="1">(M7-K7)</f>
        <v>0</v>
      </c>
      <c r="S7" s="32"/>
      <c r="T7" s="32"/>
      <c r="U7" s="32"/>
      <c r="V7" s="32"/>
      <c r="W7" s="32"/>
      <c r="X7" s="32"/>
    </row>
    <row r="8" spans="1:24" s="31" customFormat="1" x14ac:dyDescent="0.3">
      <c r="A8" s="20" t="s">
        <v>30</v>
      </c>
      <c r="B8" s="21">
        <f>+'30-03-2025'!K8</f>
        <v>1311.7170620381235</v>
      </c>
      <c r="C8" s="22">
        <f>L28</f>
        <v>0</v>
      </c>
      <c r="D8" s="33"/>
      <c r="E8" s="23"/>
      <c r="F8" s="24">
        <f>+B8+C8+D8+E8</f>
        <v>1311.7170620381235</v>
      </c>
      <c r="G8" s="25">
        <f>+B42-H8</f>
        <v>105.37269841269841</v>
      </c>
      <c r="H8" s="22"/>
      <c r="I8" s="26"/>
      <c r="J8" s="21">
        <f>+G8+I8</f>
        <v>105.37269841269841</v>
      </c>
      <c r="K8" s="21">
        <f>+F8-J8</f>
        <v>1206.3443636254251</v>
      </c>
      <c r="L8" s="27">
        <f>+'30-03-2025'!M8</f>
        <v>1305</v>
      </c>
      <c r="M8" s="28">
        <v>1198</v>
      </c>
      <c r="N8" s="24">
        <f>+G8</f>
        <v>105.37269841269841</v>
      </c>
      <c r="O8" s="24">
        <f>+C42</f>
        <v>15.75</v>
      </c>
      <c r="P8" s="29">
        <f t="shared" si="0"/>
        <v>1659.62</v>
      </c>
      <c r="Q8" s="30">
        <f t="shared" si="1"/>
        <v>-8.3443636254251032</v>
      </c>
      <c r="S8" s="32"/>
      <c r="T8" s="35">
        <v>150</v>
      </c>
      <c r="U8" s="32"/>
      <c r="V8" s="32"/>
      <c r="W8" s="36"/>
      <c r="X8" s="36"/>
    </row>
    <row r="9" spans="1:24" s="31" customFormat="1" x14ac:dyDescent="0.3">
      <c r="A9" s="37" t="s">
        <v>31</v>
      </c>
      <c r="B9" s="21">
        <f>+'30-03-2025'!K9</f>
        <v>916.78477355567691</v>
      </c>
      <c r="C9" s="22">
        <f>L29</f>
        <v>0</v>
      </c>
      <c r="D9" s="33"/>
      <c r="E9" s="23"/>
      <c r="F9" s="24">
        <f>+B9+C9+D9+E9</f>
        <v>916.78477355567691</v>
      </c>
      <c r="G9" s="25">
        <f>+B43-H9</f>
        <v>130.70335954253036</v>
      </c>
      <c r="H9" s="22"/>
      <c r="I9" s="26"/>
      <c r="J9" s="21">
        <f>+G9+I9</f>
        <v>130.70335954253036</v>
      </c>
      <c r="K9" s="21">
        <f>+F9-J9</f>
        <v>786.08141401314651</v>
      </c>
      <c r="L9" s="27">
        <f>+'30-03-2025'!M9</f>
        <v>905</v>
      </c>
      <c r="M9" s="28">
        <v>775</v>
      </c>
      <c r="N9" s="24">
        <f>+G9</f>
        <v>130.70335954253036</v>
      </c>
      <c r="O9" s="24">
        <f>+C43</f>
        <v>13.99</v>
      </c>
      <c r="P9" s="29">
        <f t="shared" si="0"/>
        <v>1828.5399999999997</v>
      </c>
      <c r="Q9" s="30">
        <f t="shared" si="1"/>
        <v>-11.081414013146514</v>
      </c>
      <c r="R9" s="34"/>
      <c r="S9" s="32"/>
      <c r="T9" s="38">
        <v>160</v>
      </c>
      <c r="U9" s="32"/>
    </row>
    <row r="10" spans="1:24" s="31" customFormat="1" ht="15" thickBot="1" x14ac:dyDescent="0.35">
      <c r="A10" s="39" t="s">
        <v>197</v>
      </c>
      <c r="B10" s="21">
        <f>+'30-03-2025'!K10</f>
        <v>1581.1338478419102</v>
      </c>
      <c r="C10" s="40">
        <f>L31</f>
        <v>0</v>
      </c>
      <c r="D10" s="41"/>
      <c r="E10" s="42"/>
      <c r="F10" s="24">
        <f>+B10+C10+D10+E10</f>
        <v>1581.1338478419102</v>
      </c>
      <c r="G10" s="43">
        <f>+B45-H10</f>
        <v>112.49685094471658</v>
      </c>
      <c r="H10" s="40"/>
      <c r="I10" s="26"/>
      <c r="J10" s="21">
        <f>+G10+I10</f>
        <v>112.49685094471658</v>
      </c>
      <c r="K10" s="44">
        <f>+F10-J10</f>
        <v>1468.6369968971935</v>
      </c>
      <c r="L10" s="27">
        <f>+'30-03-2025'!M10</f>
        <v>1582</v>
      </c>
      <c r="M10" s="28">
        <v>1470</v>
      </c>
      <c r="N10" s="42">
        <f>+G10</f>
        <v>112.49685094471658</v>
      </c>
      <c r="O10" s="42">
        <f>+C45</f>
        <v>14.29</v>
      </c>
      <c r="P10" s="45">
        <f t="shared" si="0"/>
        <v>1607.58</v>
      </c>
      <c r="Q10" s="30">
        <f t="shared" si="1"/>
        <v>1.3630031028064877</v>
      </c>
      <c r="R10" s="34"/>
      <c r="S10" s="32"/>
      <c r="T10" s="38">
        <v>190</v>
      </c>
      <c r="U10" s="32"/>
    </row>
    <row r="11" spans="1:24" s="31" customFormat="1" ht="15" thickBot="1" x14ac:dyDescent="0.35">
      <c r="A11" s="46" t="s">
        <v>34</v>
      </c>
      <c r="B11" s="21">
        <f t="shared" ref="B11:N11" si="2">SUM(B7:B10)</f>
        <v>6060.7398184986714</v>
      </c>
      <c r="C11" s="21">
        <f t="shared" si="2"/>
        <v>0</v>
      </c>
      <c r="D11" s="21">
        <f t="shared" si="2"/>
        <v>0</v>
      </c>
      <c r="E11" s="21">
        <f t="shared" si="2"/>
        <v>0</v>
      </c>
      <c r="F11" s="21">
        <f t="shared" si="2"/>
        <v>6060.7398184986714</v>
      </c>
      <c r="G11" s="21">
        <f t="shared" si="2"/>
        <v>536.32057245134729</v>
      </c>
      <c r="H11" s="21"/>
      <c r="I11" s="21">
        <f t="shared" si="2"/>
        <v>0</v>
      </c>
      <c r="J11" s="21">
        <f>SUM(J7:J10)</f>
        <v>536.32057245134729</v>
      </c>
      <c r="K11" s="21">
        <f t="shared" si="2"/>
        <v>5524.4192460473241</v>
      </c>
      <c r="L11" s="27">
        <f t="shared" si="2"/>
        <v>6043.1041350629612</v>
      </c>
      <c r="M11" s="21">
        <f t="shared" si="2"/>
        <v>5506.356471511559</v>
      </c>
      <c r="N11" s="21">
        <f t="shared" si="2"/>
        <v>536.32057245134729</v>
      </c>
      <c r="O11" s="21"/>
      <c r="P11" s="21">
        <f>SUM(P7:P10)</f>
        <v>6501.9699999999993</v>
      </c>
      <c r="Q11" s="47"/>
    </row>
    <row r="12" spans="1:24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4"/>
      <c r="H12" s="325"/>
      <c r="I12" s="326" t="s">
        <v>36</v>
      </c>
      <c r="J12" s="327"/>
      <c r="K12" s="327"/>
      <c r="L12" s="328"/>
      <c r="M12" s="329" t="s">
        <v>37</v>
      </c>
      <c r="N12" s="330"/>
      <c r="O12" s="330"/>
      <c r="P12" s="331"/>
      <c r="Q12" s="48"/>
      <c r="R12" s="31"/>
    </row>
    <row r="13" spans="1:24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40</v>
      </c>
      <c r="F13" s="49" t="s">
        <v>41</v>
      </c>
      <c r="G13" s="49" t="s">
        <v>42</v>
      </c>
      <c r="H13" s="50" t="s">
        <v>43</v>
      </c>
      <c r="I13" s="321" t="s">
        <v>44</v>
      </c>
      <c r="J13" s="322"/>
      <c r="K13" s="52" t="s">
        <v>45</v>
      </c>
      <c r="L13" s="51" t="s">
        <v>46</v>
      </c>
      <c r="M13" s="309" t="s">
        <v>47</v>
      </c>
      <c r="N13" s="310"/>
      <c r="O13" s="53" t="s">
        <v>48</v>
      </c>
      <c r="P13" s="54" t="s">
        <v>42</v>
      </c>
      <c r="Q13" s="48"/>
    </row>
    <row r="14" spans="1:24" ht="15" thickBot="1" x14ac:dyDescent="0.35">
      <c r="A14" s="286" t="s">
        <v>49</v>
      </c>
      <c r="B14" s="287"/>
      <c r="C14" s="57" t="s">
        <v>50</v>
      </c>
      <c r="D14" s="58" t="s">
        <v>51</v>
      </c>
      <c r="E14" s="59"/>
      <c r="F14" s="60">
        <v>0.45</v>
      </c>
      <c r="G14" s="61">
        <f>+E14*F14</f>
        <v>0</v>
      </c>
      <c r="H14" s="62"/>
      <c r="I14" s="315" t="s">
        <v>52</v>
      </c>
      <c r="J14" s="316"/>
      <c r="K14" s="63"/>
      <c r="L14" s="63"/>
      <c r="M14" s="309" t="s">
        <v>53</v>
      </c>
      <c r="N14" s="310"/>
      <c r="O14" s="64">
        <f>+G11</f>
        <v>536.32057245134729</v>
      </c>
      <c r="P14" s="65">
        <f>+P11</f>
        <v>6501.9699999999993</v>
      </c>
      <c r="Q14" s="48"/>
    </row>
    <row r="15" spans="1:24" ht="15" thickBot="1" x14ac:dyDescent="0.35">
      <c r="A15" s="286" t="s">
        <v>54</v>
      </c>
      <c r="B15" s="287"/>
      <c r="C15" s="57" t="s">
        <v>50</v>
      </c>
      <c r="D15" s="58" t="s">
        <v>55</v>
      </c>
      <c r="E15" s="59"/>
      <c r="F15" s="60">
        <v>0.2</v>
      </c>
      <c r="G15" s="61">
        <f>+E15*F15</f>
        <v>0</v>
      </c>
      <c r="H15" s="62"/>
      <c r="I15" s="317" t="s">
        <v>56</v>
      </c>
      <c r="J15" s="318"/>
      <c r="K15" s="66"/>
      <c r="L15" s="66"/>
      <c r="M15" s="309" t="s">
        <v>57</v>
      </c>
      <c r="N15" s="310"/>
      <c r="O15" s="67" t="s">
        <v>58</v>
      </c>
      <c r="P15" s="65">
        <f>+B38</f>
        <v>1151.6100000000001</v>
      </c>
      <c r="Q15" s="48">
        <f>+Q7/60</f>
        <v>0</v>
      </c>
    </row>
    <row r="16" spans="1:24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59"/>
      <c r="F16" s="60">
        <v>0.2</v>
      </c>
      <c r="G16" s="61">
        <f>+E16*F16</f>
        <v>0</v>
      </c>
      <c r="H16" s="62"/>
      <c r="I16" s="306"/>
      <c r="J16" s="307"/>
      <c r="K16" s="307"/>
      <c r="L16" s="308"/>
      <c r="M16" s="309" t="s">
        <v>57</v>
      </c>
      <c r="N16" s="310"/>
      <c r="O16" s="67" t="s">
        <v>29</v>
      </c>
      <c r="P16" s="65">
        <f>+C38</f>
        <v>366</v>
      </c>
      <c r="Q16" s="48"/>
    </row>
    <row r="17" spans="1:19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8"/>
      <c r="F17" s="60">
        <v>0.2</v>
      </c>
      <c r="G17" s="61">
        <f>+E17*F17</f>
        <v>0</v>
      </c>
      <c r="H17" s="62"/>
      <c r="I17" s="311" t="s">
        <v>62</v>
      </c>
      <c r="J17" s="312"/>
      <c r="K17" s="313" t="s">
        <v>63</v>
      </c>
      <c r="L17" s="314"/>
      <c r="M17" s="288" t="s">
        <v>64</v>
      </c>
      <c r="N17" s="289"/>
      <c r="O17" s="290"/>
      <c r="P17" s="69">
        <v>0.12099999999918509</v>
      </c>
    </row>
    <row r="18" spans="1:19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59"/>
      <c r="F18" s="60">
        <v>0.2</v>
      </c>
      <c r="G18" s="61">
        <f>+E18*F18</f>
        <v>0</v>
      </c>
      <c r="H18" s="71"/>
      <c r="I18" s="296" t="s">
        <v>65</v>
      </c>
      <c r="J18" s="297"/>
      <c r="K18" s="301" t="s">
        <v>66</v>
      </c>
      <c r="L18" s="302"/>
      <c r="M18" s="360"/>
      <c r="N18" s="360"/>
      <c r="O18" s="361"/>
      <c r="P18" s="69"/>
    </row>
    <row r="19" spans="1:19" ht="15" customHeight="1" x14ac:dyDescent="0.3">
      <c r="A19" s="286" t="s">
        <v>67</v>
      </c>
      <c r="B19" s="287"/>
      <c r="C19" s="58" t="s">
        <v>50</v>
      </c>
      <c r="D19" s="58" t="s">
        <v>51</v>
      </c>
      <c r="E19" s="68"/>
      <c r="F19" s="60">
        <v>0.2</v>
      </c>
      <c r="G19" s="61">
        <f>+E19*F19</f>
        <v>0</v>
      </c>
      <c r="H19" s="62"/>
      <c r="I19" s="72" t="s">
        <v>68</v>
      </c>
      <c r="J19" s="73">
        <f>+'[1]03'!J25</f>
        <v>4101.5004099999996</v>
      </c>
      <c r="K19" s="72" t="s">
        <v>68</v>
      </c>
      <c r="L19" s="73">
        <f>+'[2]07'!L25</f>
        <v>0</v>
      </c>
      <c r="M19" s="303"/>
      <c r="N19" s="304"/>
      <c r="O19" s="305"/>
      <c r="P19" s="69"/>
    </row>
    <row r="20" spans="1:19" ht="15" customHeight="1" x14ac:dyDescent="0.3">
      <c r="A20" s="286" t="s">
        <v>67</v>
      </c>
      <c r="B20" s="287"/>
      <c r="C20" s="58" t="s">
        <v>50</v>
      </c>
      <c r="D20" s="58" t="s">
        <v>55</v>
      </c>
      <c r="E20" s="59"/>
      <c r="F20" s="60">
        <v>0.2</v>
      </c>
      <c r="G20" s="61">
        <f>+E20*F20</f>
        <v>0</v>
      </c>
      <c r="H20" s="62"/>
      <c r="I20" s="74" t="s">
        <v>69</v>
      </c>
      <c r="J20" s="75">
        <f>7.252*O8</f>
        <v>114.21899999999999</v>
      </c>
      <c r="K20" s="76" t="s">
        <v>69</v>
      </c>
      <c r="L20" s="73">
        <f>+E24*(O10-F24)+E25*(O8-F25)+E26*(O9-F26)+E27*(O7-F27)</f>
        <v>214.6</v>
      </c>
      <c r="M20" s="288" t="s">
        <v>70</v>
      </c>
      <c r="N20" s="289"/>
      <c r="O20" s="290"/>
      <c r="P20" s="77">
        <f>+L20</f>
        <v>214.6</v>
      </c>
    </row>
    <row r="21" spans="1:19" ht="15" customHeight="1" x14ac:dyDescent="0.3">
      <c r="A21" s="286" t="s">
        <v>71</v>
      </c>
      <c r="B21" s="287"/>
      <c r="C21" s="58" t="s">
        <v>50</v>
      </c>
      <c r="D21" s="58" t="s">
        <v>51</v>
      </c>
      <c r="E21" s="59"/>
      <c r="F21" s="60">
        <v>0.1</v>
      </c>
      <c r="G21" s="61">
        <f>+E21*F21</f>
        <v>0</v>
      </c>
      <c r="H21" s="62"/>
      <c r="I21" s="74"/>
      <c r="J21" s="73"/>
      <c r="K21" s="76" t="s">
        <v>72</v>
      </c>
      <c r="L21" s="73"/>
      <c r="M21" s="288" t="s">
        <v>73</v>
      </c>
      <c r="N21" s="289"/>
      <c r="O21" s="290"/>
      <c r="P21" s="77">
        <f>+G31</f>
        <v>0</v>
      </c>
    </row>
    <row r="22" spans="1:19" ht="15" customHeight="1" x14ac:dyDescent="0.3">
      <c r="A22" s="286" t="s">
        <v>74</v>
      </c>
      <c r="B22" s="287"/>
      <c r="C22" s="58" t="s">
        <v>50</v>
      </c>
      <c r="D22" s="58" t="s">
        <v>51</v>
      </c>
      <c r="E22" s="59"/>
      <c r="F22" s="60">
        <v>0.2</v>
      </c>
      <c r="G22" s="61">
        <f>+E22*F22</f>
        <v>0</v>
      </c>
      <c r="H22" s="71"/>
      <c r="I22" s="74" t="s">
        <v>75</v>
      </c>
      <c r="J22" s="75"/>
      <c r="K22" s="76" t="s">
        <v>75</v>
      </c>
      <c r="L22" s="78"/>
      <c r="M22" s="288" t="s">
        <v>76</v>
      </c>
      <c r="N22" s="289"/>
      <c r="O22" s="290"/>
      <c r="P22" s="77">
        <f>+J37+J20+J26+J31+J32</f>
        <v>114.21899999999999</v>
      </c>
    </row>
    <row r="23" spans="1:19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59"/>
      <c r="F23" s="60">
        <v>0.2</v>
      </c>
      <c r="G23" s="61">
        <f>+E23*F23</f>
        <v>0</v>
      </c>
      <c r="H23" s="71"/>
      <c r="I23" s="79" t="s">
        <v>78</v>
      </c>
      <c r="J23" s="80">
        <f>+J19+J20-J22</f>
        <v>4215.7194099999997</v>
      </c>
      <c r="K23" s="81" t="s">
        <v>78</v>
      </c>
      <c r="L23" s="82">
        <f>+L19-L20+L22+L21</f>
        <v>-214.6</v>
      </c>
      <c r="M23" s="294" t="s">
        <v>79</v>
      </c>
      <c r="N23" s="295"/>
      <c r="O23" s="83"/>
      <c r="P23" s="84">
        <f>P14-SUM(P15:P22)</f>
        <v>4655.42</v>
      </c>
      <c r="Q23" s="48"/>
    </row>
    <row r="24" spans="1:19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59">
        <f>214.6/14.29</f>
        <v>15.017494751574528</v>
      </c>
      <c r="F24" s="60">
        <v>0</v>
      </c>
      <c r="G24" s="61">
        <f>+E24*F24</f>
        <v>0</v>
      </c>
      <c r="H24" s="71" t="s">
        <v>196</v>
      </c>
      <c r="I24" s="296" t="s">
        <v>81</v>
      </c>
      <c r="J24" s="297"/>
      <c r="K24" s="298" t="s">
        <v>82</v>
      </c>
      <c r="L24" s="299"/>
      <c r="M24" s="299"/>
      <c r="N24" s="299"/>
      <c r="O24" s="299"/>
      <c r="P24" s="300"/>
      <c r="Q24" s="85"/>
    </row>
    <row r="25" spans="1:19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59"/>
      <c r="F25" s="60">
        <v>0</v>
      </c>
      <c r="G25" s="61">
        <f>+E25*F25</f>
        <v>0</v>
      </c>
      <c r="H25" s="71"/>
      <c r="I25" s="72" t="s">
        <v>68</v>
      </c>
      <c r="J25" s="86">
        <f>+'[3]02'!J30</f>
        <v>2860.0556350000002</v>
      </c>
      <c r="K25" s="87" t="s">
        <v>83</v>
      </c>
      <c r="L25" s="53" t="s">
        <v>84</v>
      </c>
      <c r="M25" s="88" t="s">
        <v>85</v>
      </c>
      <c r="N25" s="88" t="s">
        <v>86</v>
      </c>
      <c r="O25" s="89" t="s">
        <v>87</v>
      </c>
      <c r="P25" s="90" t="s">
        <v>88</v>
      </c>
      <c r="Q25" s="3"/>
    </row>
    <row r="26" spans="1:19" x14ac:dyDescent="0.3">
      <c r="A26" s="286" t="s">
        <v>80</v>
      </c>
      <c r="B26" s="287"/>
      <c r="C26" s="58" t="s">
        <v>50</v>
      </c>
      <c r="D26" s="58" t="s">
        <v>61</v>
      </c>
      <c r="E26" s="59"/>
      <c r="F26" s="60">
        <v>0</v>
      </c>
      <c r="G26" s="61">
        <f>+E26*F26</f>
        <v>0</v>
      </c>
      <c r="H26" s="71"/>
      <c r="I26" s="74" t="s">
        <v>69</v>
      </c>
      <c r="J26" s="86"/>
      <c r="K26" s="91" t="s">
        <v>89</v>
      </c>
      <c r="L26" s="92">
        <f>+M50</f>
        <v>0</v>
      </c>
      <c r="M26" s="94"/>
      <c r="N26" s="94"/>
      <c r="O26" s="95"/>
      <c r="P26" s="96" t="str">
        <f>+K50&amp;"   "&amp;"kg"</f>
        <v xml:space="preserve">   kg</v>
      </c>
      <c r="Q26" s="97">
        <f>14028.78/1912.31</f>
        <v>7.336038612986389</v>
      </c>
      <c r="R26" s="3" t="s">
        <v>90</v>
      </c>
      <c r="S26" s="48">
        <f>+Q7*-1</f>
        <v>0</v>
      </c>
    </row>
    <row r="27" spans="1:19" x14ac:dyDescent="0.3">
      <c r="A27" s="55" t="s">
        <v>80</v>
      </c>
      <c r="B27" s="56"/>
      <c r="C27" s="58" t="s">
        <v>50</v>
      </c>
      <c r="D27" s="58" t="s">
        <v>29</v>
      </c>
      <c r="E27" s="59"/>
      <c r="F27" s="60">
        <v>0</v>
      </c>
      <c r="G27" s="61">
        <f>+E27*F27</f>
        <v>0</v>
      </c>
      <c r="H27" s="62"/>
      <c r="I27" s="74" t="s">
        <v>75</v>
      </c>
      <c r="J27" s="86"/>
      <c r="K27" s="91" t="s">
        <v>29</v>
      </c>
      <c r="L27" s="92"/>
      <c r="M27" s="94"/>
      <c r="N27" s="94"/>
      <c r="O27" s="95" t="s">
        <v>91</v>
      </c>
      <c r="P27" s="98"/>
      <c r="Q27" s="97"/>
      <c r="S27" s="48" t="e">
        <f>+#REF!*-1</f>
        <v>#REF!</v>
      </c>
    </row>
    <row r="28" spans="1:19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8"/>
      <c r="F28" s="60">
        <v>0.2</v>
      </c>
      <c r="G28" s="61">
        <f>+E28*F28</f>
        <v>0</v>
      </c>
      <c r="H28" s="62"/>
      <c r="I28" s="99" t="s">
        <v>78</v>
      </c>
      <c r="J28" s="86">
        <f>+J25+J26-J27</f>
        <v>2860.0556350000002</v>
      </c>
      <c r="K28" s="91" t="s">
        <v>30</v>
      </c>
      <c r="L28" s="92"/>
      <c r="M28" s="94"/>
      <c r="N28" s="94"/>
      <c r="O28" s="95" t="s">
        <v>93</v>
      </c>
      <c r="P28" s="100">
        <f>13044.36/990</f>
        <v>13.176121212121213</v>
      </c>
      <c r="Q28" s="97">
        <f>+O8-P28</f>
        <v>2.5738787878787868</v>
      </c>
      <c r="S28" s="48">
        <f>+Q8*-1</f>
        <v>8.3443636254251032</v>
      </c>
    </row>
    <row r="29" spans="1:19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8"/>
      <c r="F29" s="60">
        <v>0.2</v>
      </c>
      <c r="G29" s="61">
        <f>+E29*F29</f>
        <v>0</v>
      </c>
      <c r="H29" s="62"/>
      <c r="I29" s="296" t="s">
        <v>94</v>
      </c>
      <c r="J29" s="297"/>
      <c r="K29" s="101" t="s">
        <v>31</v>
      </c>
      <c r="L29" s="92"/>
      <c r="M29" s="94"/>
      <c r="N29" s="94"/>
      <c r="O29" s="95" t="s">
        <v>93</v>
      </c>
      <c r="P29" s="100">
        <f>11892.04/990</f>
        <v>12.012161616161617</v>
      </c>
      <c r="Q29" s="97">
        <f>+O9-P29</f>
        <v>1.9778383838383835</v>
      </c>
      <c r="S29" s="48">
        <f>+Q9*-1</f>
        <v>11.081414013146514</v>
      </c>
    </row>
    <row r="30" spans="1:19" ht="15" customHeight="1" x14ac:dyDescent="0.3">
      <c r="A30" s="55" t="s">
        <v>95</v>
      </c>
      <c r="B30" s="56"/>
      <c r="C30" s="58" t="s">
        <v>50</v>
      </c>
      <c r="D30" s="58" t="s">
        <v>51</v>
      </c>
      <c r="E30" s="68"/>
      <c r="F30" s="60">
        <v>0.2</v>
      </c>
      <c r="G30" s="61">
        <f>+E30*F30</f>
        <v>0</v>
      </c>
      <c r="H30" s="62"/>
      <c r="I30" s="72" t="s">
        <v>78</v>
      </c>
      <c r="J30" s="75">
        <f>+'27-03-2025'!J34</f>
        <v>-135</v>
      </c>
      <c r="K30" s="101" t="s">
        <v>32</v>
      </c>
      <c r="L30" s="92"/>
      <c r="M30" s="94"/>
      <c r="N30" s="94"/>
      <c r="O30" s="95" t="s">
        <v>96</v>
      </c>
      <c r="P30" s="100"/>
      <c r="Q30" s="97"/>
      <c r="S30" s="48" t="e">
        <f>+#REF!*-1</f>
        <v>#REF!</v>
      </c>
    </row>
    <row r="31" spans="1:19" ht="15" thickBot="1" x14ac:dyDescent="0.35">
      <c r="A31" s="286"/>
      <c r="B31" s="287"/>
      <c r="C31" s="58"/>
      <c r="D31" s="58"/>
      <c r="E31" s="102"/>
      <c r="F31" s="60" t="s">
        <v>97</v>
      </c>
      <c r="G31" s="103">
        <f>SUM(G14:G30)</f>
        <v>0</v>
      </c>
      <c r="H31" s="104"/>
      <c r="I31" s="74" t="s">
        <v>98</v>
      </c>
      <c r="J31" s="105"/>
      <c r="K31" s="106" t="s">
        <v>33</v>
      </c>
      <c r="L31" s="92"/>
      <c r="M31" s="94"/>
      <c r="N31" s="94"/>
      <c r="O31" s="95" t="s">
        <v>91</v>
      </c>
      <c r="P31" s="100">
        <f>6649.01/500</f>
        <v>13.298020000000001</v>
      </c>
      <c r="Q31" s="97">
        <f>+O10-P31</f>
        <v>0.99197999999999809</v>
      </c>
      <c r="R31" s="3" t="s">
        <v>99</v>
      </c>
      <c r="S31" s="48">
        <f t="shared" ref="S31" si="3">+Q10*-1</f>
        <v>-1.3630031028064877</v>
      </c>
    </row>
    <row r="32" spans="1:19" ht="15" thickBot="1" x14ac:dyDescent="0.35">
      <c r="A32" s="266"/>
      <c r="B32" s="267"/>
      <c r="C32" s="267"/>
      <c r="D32" s="268"/>
      <c r="E32" s="268"/>
      <c r="F32" s="268"/>
      <c r="G32" s="268"/>
      <c r="H32" s="269"/>
      <c r="I32" s="74" t="s">
        <v>100</v>
      </c>
      <c r="J32" s="105"/>
      <c r="K32" s="107"/>
      <c r="L32" s="108"/>
      <c r="M32" s="94"/>
      <c r="N32" s="94"/>
      <c r="O32" s="95" t="s">
        <v>93</v>
      </c>
      <c r="P32" s="96"/>
      <c r="Q32" s="97"/>
      <c r="R32" s="109"/>
    </row>
    <row r="33" spans="1:18" ht="15" thickBot="1" x14ac:dyDescent="0.35">
      <c r="A33" s="291" t="s">
        <v>101</v>
      </c>
      <c r="B33" s="292"/>
      <c r="C33" s="293"/>
      <c r="D33" s="110" t="s">
        <v>102</v>
      </c>
      <c r="E33" s="111" t="s">
        <v>48</v>
      </c>
      <c r="F33" s="111" t="s">
        <v>103</v>
      </c>
      <c r="G33" s="111" t="s">
        <v>104</v>
      </c>
      <c r="H33" s="112" t="s">
        <v>105</v>
      </c>
      <c r="I33" s="74" t="s">
        <v>75</v>
      </c>
      <c r="J33" s="113"/>
      <c r="K33" s="114" t="s">
        <v>106</v>
      </c>
      <c r="L33" s="115">
        <f>+O2</f>
        <v>45747</v>
      </c>
      <c r="M33" s="273" t="s">
        <v>107</v>
      </c>
      <c r="N33" s="274"/>
      <c r="O33" s="274"/>
      <c r="P33" s="275"/>
      <c r="Q33" s="116"/>
      <c r="R33" s="109"/>
    </row>
    <row r="34" spans="1:18" ht="15.75" customHeight="1" thickBot="1" x14ac:dyDescent="0.35">
      <c r="B34" s="3" t="s">
        <v>58</v>
      </c>
      <c r="C34" s="117" t="s">
        <v>29</v>
      </c>
      <c r="D34" s="118" t="s">
        <v>108</v>
      </c>
      <c r="E34" s="119"/>
      <c r="F34" s="120">
        <f>+C42</f>
        <v>15.75</v>
      </c>
      <c r="G34" s="121">
        <v>15.99</v>
      </c>
      <c r="H34" s="122">
        <f>+E34*(F34-G34)</f>
        <v>0</v>
      </c>
      <c r="I34" s="123" t="s">
        <v>78</v>
      </c>
      <c r="J34" s="124">
        <f>+J30-J31-J32+J33</f>
        <v>-135</v>
      </c>
      <c r="K34" s="118" t="s">
        <v>58</v>
      </c>
      <c r="L34" s="125">
        <v>3496.8</v>
      </c>
      <c r="M34" s="276"/>
      <c r="N34" s="276"/>
      <c r="O34" s="276"/>
      <c r="P34" s="277"/>
      <c r="Q34" s="116"/>
      <c r="R34" s="109"/>
    </row>
    <row r="35" spans="1:18" ht="15.75" customHeight="1" thickBot="1" x14ac:dyDescent="0.35">
      <c r="A35" s="126" t="s">
        <v>109</v>
      </c>
      <c r="B35" s="127">
        <v>860.61</v>
      </c>
      <c r="C35" s="127"/>
      <c r="D35" s="128" t="s">
        <v>110</v>
      </c>
      <c r="E35" s="129"/>
      <c r="F35" s="130">
        <f>+C43</f>
        <v>13.99</v>
      </c>
      <c r="G35" s="131">
        <v>15.08</v>
      </c>
      <c r="H35" s="132">
        <f>+E35*(F35-G35)</f>
        <v>0</v>
      </c>
      <c r="I35" s="280" t="s">
        <v>111</v>
      </c>
      <c r="J35" s="280"/>
      <c r="K35" s="133" t="s">
        <v>29</v>
      </c>
      <c r="L35" s="134">
        <v>1040.2</v>
      </c>
      <c r="M35" s="278"/>
      <c r="N35" s="278"/>
      <c r="O35" s="278"/>
      <c r="P35" s="279"/>
      <c r="Q35" s="116"/>
      <c r="R35" s="109"/>
    </row>
    <row r="36" spans="1:18" ht="15.75" customHeight="1" thickBot="1" x14ac:dyDescent="0.35">
      <c r="A36" s="135" t="s">
        <v>112</v>
      </c>
      <c r="B36" s="136">
        <v>291</v>
      </c>
      <c r="C36" s="136">
        <v>366</v>
      </c>
      <c r="D36" s="128" t="s">
        <v>32</v>
      </c>
      <c r="E36" s="129"/>
      <c r="F36" s="130"/>
      <c r="G36" s="131">
        <v>0</v>
      </c>
      <c r="H36" s="132">
        <f>+E36*(F36-G36)</f>
        <v>0</v>
      </c>
      <c r="I36" s="137" t="s">
        <v>68</v>
      </c>
      <c r="J36" s="138">
        <f>+'03-03-2025'!I39</f>
        <v>274.83</v>
      </c>
      <c r="K36" s="128" t="s">
        <v>113</v>
      </c>
      <c r="L36" s="134">
        <f>118.42+0</f>
        <v>118.42</v>
      </c>
      <c r="M36" s="281" t="s">
        <v>114</v>
      </c>
      <c r="N36" s="281"/>
      <c r="O36" s="140">
        <f>+L33</f>
        <v>45747</v>
      </c>
      <c r="P36" s="140"/>
      <c r="Q36" s="116"/>
      <c r="R36" s="109"/>
    </row>
    <row r="37" spans="1:18" ht="16.2" thickBot="1" x14ac:dyDescent="0.35">
      <c r="A37" s="135"/>
      <c r="B37" s="141"/>
      <c r="C37" s="142"/>
      <c r="D37" s="128" t="s">
        <v>33</v>
      </c>
      <c r="E37" s="129"/>
      <c r="F37" s="130">
        <f>+C45</f>
        <v>14.29</v>
      </c>
      <c r="G37" s="131">
        <v>14.18</v>
      </c>
      <c r="H37" s="132">
        <f>+E37*(F37-G37)</f>
        <v>0</v>
      </c>
      <c r="I37" s="76" t="s">
        <v>69</v>
      </c>
      <c r="J37" s="143"/>
      <c r="K37" s="144" t="s">
        <v>115</v>
      </c>
      <c r="L37" s="265"/>
      <c r="M37" s="146" t="s">
        <v>58</v>
      </c>
      <c r="N37" s="147" t="s">
        <v>116</v>
      </c>
      <c r="O37" s="148">
        <f>+L34</f>
        <v>3496.8</v>
      </c>
      <c r="P37" s="149"/>
      <c r="Q37" s="150"/>
      <c r="R37" s="109"/>
    </row>
    <row r="38" spans="1:18" ht="16.2" thickBot="1" x14ac:dyDescent="0.35">
      <c r="A38" s="151" t="s">
        <v>117</v>
      </c>
      <c r="B38" s="152">
        <f>SUM(B35:B37)</f>
        <v>1151.6100000000001</v>
      </c>
      <c r="C38" s="153">
        <f>SUM(C35:C37)</f>
        <v>366</v>
      </c>
      <c r="D38" s="144" t="s">
        <v>29</v>
      </c>
      <c r="E38" s="154"/>
      <c r="F38" s="155">
        <f>+C46</f>
        <v>7.49</v>
      </c>
      <c r="G38" s="156">
        <v>7.14</v>
      </c>
      <c r="H38" s="157">
        <f>+E38*(F38-G38)</f>
        <v>0</v>
      </c>
      <c r="I38" s="76" t="s">
        <v>75</v>
      </c>
      <c r="J38" s="158"/>
      <c r="K38" s="159" t="s">
        <v>97</v>
      </c>
      <c r="L38" s="160">
        <f>SUM(L34:L37)</f>
        <v>4655.42</v>
      </c>
      <c r="M38" s="161" t="s">
        <v>29</v>
      </c>
      <c r="N38" s="162" t="s">
        <v>118</v>
      </c>
      <c r="O38" s="163">
        <f>+L35</f>
        <v>1040.2</v>
      </c>
      <c r="P38" s="164"/>
      <c r="Q38" s="150"/>
      <c r="R38" s="109"/>
    </row>
    <row r="39" spans="1:18" ht="24.6" thickTop="1" thickBot="1" x14ac:dyDescent="0.5">
      <c r="A39" s="165" t="s">
        <v>119</v>
      </c>
      <c r="B39" s="166">
        <f>SUM(B38:C38)</f>
        <v>1517.6100000000001</v>
      </c>
      <c r="C39" s="167"/>
      <c r="D39" s="168"/>
      <c r="E39" s="169">
        <f>SUM(E35:E38)</f>
        <v>0</v>
      </c>
      <c r="F39" s="170"/>
      <c r="G39" s="171">
        <f>SUM(G34:G38)</f>
        <v>52.39</v>
      </c>
      <c r="H39" s="172">
        <f>SUM(H34:H38)</f>
        <v>0</v>
      </c>
      <c r="I39" s="99" t="s">
        <v>78</v>
      </c>
      <c r="J39" s="124">
        <f>+J36+J37-J38</f>
        <v>274.83</v>
      </c>
      <c r="K39" s="173" t="s">
        <v>120</v>
      </c>
      <c r="L39" s="174">
        <f>+P23-L38</f>
        <v>0</v>
      </c>
      <c r="M39" s="282" t="s">
        <v>97</v>
      </c>
      <c r="N39" s="283"/>
      <c r="O39" s="284">
        <f>SUM(O37:P38)</f>
        <v>4537</v>
      </c>
      <c r="P39" s="285"/>
      <c r="Q39" s="150"/>
      <c r="R39" s="109"/>
    </row>
    <row r="40" spans="1:18" x14ac:dyDescent="0.3">
      <c r="A40" s="175"/>
      <c r="B40" s="175"/>
      <c r="C40" s="175"/>
      <c r="D40" s="175"/>
      <c r="E40" s="175"/>
      <c r="F40" s="175"/>
      <c r="G40" s="176"/>
      <c r="H40" s="176"/>
      <c r="I40" s="176"/>
      <c r="J40" s="176"/>
      <c r="K40" s="176"/>
      <c r="L40" s="176"/>
      <c r="M40" s="176"/>
      <c r="N40" s="177"/>
      <c r="O40" s="176"/>
      <c r="P40" s="109"/>
      <c r="Q40" s="150"/>
      <c r="R40" s="109"/>
    </row>
    <row r="41" spans="1:18" x14ac:dyDescent="0.3">
      <c r="A41" s="178" t="s">
        <v>121</v>
      </c>
      <c r="B41" s="178" t="s">
        <v>122</v>
      </c>
      <c r="C41" s="178" t="s">
        <v>123</v>
      </c>
      <c r="D41" s="178" t="s">
        <v>124</v>
      </c>
      <c r="E41" s="179"/>
      <c r="F41" s="180"/>
      <c r="G41" s="183"/>
      <c r="P41" s="181"/>
      <c r="Q41" s="150"/>
    </row>
    <row r="42" spans="1:18" ht="15.6" x14ac:dyDescent="0.3">
      <c r="A42" s="182" t="s">
        <v>30</v>
      </c>
      <c r="B42" s="183">
        <f>IF(D42&gt;"0",0,(D42/C42))</f>
        <v>105.37269841269841</v>
      </c>
      <c r="C42" s="184">
        <v>15.75</v>
      </c>
      <c r="D42" s="185">
        <v>1659.62</v>
      </c>
      <c r="E42" s="186"/>
      <c r="F42" s="186"/>
      <c r="G42" s="183"/>
      <c r="M42" s="192"/>
      <c r="N42" s="193" t="s">
        <v>2</v>
      </c>
      <c r="O42" s="194"/>
      <c r="Q42" s="3"/>
    </row>
    <row r="43" spans="1:18" ht="15.6" x14ac:dyDescent="0.3">
      <c r="A43" s="182" t="s">
        <v>31</v>
      </c>
      <c r="B43" s="183">
        <f>IF(D43&gt;"0",0,(D43/C43))</f>
        <v>130.70335954253036</v>
      </c>
      <c r="C43" s="184">
        <v>13.99</v>
      </c>
      <c r="D43" s="185">
        <v>1828.54</v>
      </c>
      <c r="E43" s="186"/>
      <c r="F43" s="186"/>
      <c r="G43" s="183"/>
      <c r="M43" s="200"/>
      <c r="N43" s="193" t="s">
        <v>130</v>
      </c>
      <c r="O43" s="194"/>
      <c r="P43" s="201"/>
      <c r="Q43" s="3"/>
    </row>
    <row r="44" spans="1:18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183"/>
      <c r="M44" s="200"/>
      <c r="N44" s="205"/>
      <c r="O44" s="194"/>
      <c r="Q44" s="3"/>
    </row>
    <row r="45" spans="1:18" x14ac:dyDescent="0.3">
      <c r="A45" s="182" t="s">
        <v>131</v>
      </c>
      <c r="B45" s="183">
        <f>IF(D45&gt;"0",0,(D45/C45))</f>
        <v>112.49685094471658</v>
      </c>
      <c r="C45" s="184">
        <v>14.29</v>
      </c>
      <c r="D45" s="185">
        <v>1607.58</v>
      </c>
      <c r="E45" s="186"/>
      <c r="F45" s="186"/>
      <c r="G45" s="183"/>
      <c r="M45" s="200" t="s">
        <v>34</v>
      </c>
      <c r="N45" s="211" t="s">
        <v>133</v>
      </c>
      <c r="O45" s="3" t="s">
        <v>116</v>
      </c>
      <c r="P45" s="201"/>
      <c r="Q45" s="3"/>
      <c r="R45" s="201"/>
    </row>
    <row r="46" spans="1:18" ht="15.6" x14ac:dyDescent="0.3">
      <c r="A46" s="182" t="s">
        <v>29</v>
      </c>
      <c r="B46" s="183">
        <f>IF(D46&gt;"0",0,(D46/C46))</f>
        <v>187.74766355140187</v>
      </c>
      <c r="C46" s="184">
        <v>7.49</v>
      </c>
      <c r="D46" s="185">
        <v>1406.23</v>
      </c>
      <c r="E46" s="186"/>
      <c r="F46" s="186"/>
      <c r="G46" s="183"/>
      <c r="M46" s="200"/>
      <c r="N46" s="3" t="s">
        <v>136</v>
      </c>
      <c r="O46" s="194"/>
      <c r="P46" s="201"/>
      <c r="Q46" s="3"/>
      <c r="R46" s="201"/>
    </row>
    <row r="47" spans="1:18" ht="16.5" customHeight="1" thickBot="1" x14ac:dyDescent="0.35">
      <c r="A47" s="180"/>
      <c r="B47" s="216">
        <f>SUM(B42:B46)</f>
        <v>536.32057245134718</v>
      </c>
      <c r="C47" s="216"/>
      <c r="D47" s="217">
        <f>SUM(D42:D46)</f>
        <v>6501.9699999999993</v>
      </c>
      <c r="E47" s="217">
        <v>6501.9699999999993</v>
      </c>
      <c r="F47" s="186"/>
      <c r="G47" s="183"/>
      <c r="M47" s="200"/>
      <c r="N47" s="205" t="s">
        <v>138</v>
      </c>
      <c r="O47" s="194"/>
      <c r="P47" s="201"/>
      <c r="Q47" s="3"/>
      <c r="R47" s="201"/>
    </row>
    <row r="48" spans="1:18" ht="16.8" thickTop="1" thickBot="1" x14ac:dyDescent="0.35">
      <c r="A48" s="180"/>
      <c r="B48" s="180"/>
      <c r="C48" s="180"/>
      <c r="D48" s="180"/>
      <c r="E48" s="183">
        <f>+D47-E47+F47-F48</f>
        <v>0</v>
      </c>
      <c r="F48" s="186"/>
      <c r="G48" s="183"/>
      <c r="H48" s="183"/>
      <c r="I48" s="183"/>
      <c r="J48" s="183"/>
      <c r="K48" s="205"/>
      <c r="L48" s="225"/>
      <c r="M48" s="200"/>
      <c r="N48" s="201"/>
      <c r="O48" s="194"/>
      <c r="P48" s="201"/>
      <c r="Q48" s="3"/>
    </row>
    <row r="49" spans="1:17" ht="16.5" customHeight="1" thickBot="1" x14ac:dyDescent="0.35">
      <c r="A49" s="180"/>
      <c r="B49" s="180"/>
      <c r="C49" s="180"/>
      <c r="D49" s="180"/>
      <c r="E49" s="183"/>
      <c r="F49" s="224"/>
      <c r="G49" s="183"/>
      <c r="H49" s="183"/>
      <c r="I49" s="183"/>
      <c r="J49" s="270" t="s">
        <v>125</v>
      </c>
      <c r="K49" s="271"/>
      <c r="L49" s="271"/>
      <c r="M49" s="271"/>
      <c r="N49" s="272"/>
      <c r="O49" s="194"/>
      <c r="P49" s="227"/>
      <c r="Q49" s="3"/>
    </row>
    <row r="50" spans="1:17" ht="15.6" x14ac:dyDescent="0.3">
      <c r="A50" s="180"/>
      <c r="B50" s="180"/>
      <c r="C50" s="180"/>
      <c r="D50" s="180"/>
      <c r="E50" s="183"/>
      <c r="F50" s="224"/>
      <c r="G50" s="183"/>
      <c r="H50" s="218"/>
      <c r="I50" s="183"/>
      <c r="J50" s="187" t="s">
        <v>126</v>
      </c>
      <c r="K50" s="188"/>
      <c r="L50" s="189">
        <v>2.0185</v>
      </c>
      <c r="M50" s="190">
        <f>+K50/L50</f>
        <v>0</v>
      </c>
      <c r="N50" s="191" t="s">
        <v>127</v>
      </c>
      <c r="O50" s="194"/>
      <c r="P50" s="227"/>
      <c r="Q50" s="3"/>
    </row>
    <row r="51" spans="1:17" ht="15.6" x14ac:dyDescent="0.3">
      <c r="A51" s="180"/>
      <c r="B51" s="228"/>
      <c r="C51" s="228"/>
      <c r="D51" s="229"/>
      <c r="E51" s="230"/>
      <c r="F51" s="224"/>
      <c r="G51" s="183"/>
      <c r="H51" s="231"/>
      <c r="I51" s="232"/>
      <c r="J51" s="195" t="s">
        <v>128</v>
      </c>
      <c r="K51" s="196">
        <f>+M51/L51</f>
        <v>1.9786548317218788</v>
      </c>
      <c r="L51" s="197">
        <v>3.7854000000000001</v>
      </c>
      <c r="M51" s="198">
        <f>+C46</f>
        <v>7.49</v>
      </c>
      <c r="N51" s="199" t="s">
        <v>129</v>
      </c>
      <c r="O51" s="194"/>
      <c r="Q51" s="3"/>
    </row>
    <row r="52" spans="1:17" ht="15.6" x14ac:dyDescent="0.3">
      <c r="A52" s="180"/>
      <c r="B52" s="228"/>
      <c r="C52" s="228"/>
      <c r="D52" s="229"/>
      <c r="E52" s="236"/>
      <c r="F52" s="224"/>
      <c r="G52" s="264"/>
      <c r="H52" s="231"/>
      <c r="I52" s="228"/>
      <c r="J52" s="202"/>
      <c r="K52" s="203"/>
      <c r="L52" s="203"/>
      <c r="M52" s="203"/>
      <c r="N52" s="204"/>
      <c r="O52" s="237"/>
      <c r="Q52" s="3"/>
    </row>
    <row r="53" spans="1:17" ht="15.6" x14ac:dyDescent="0.3">
      <c r="A53" s="238"/>
      <c r="B53" s="239"/>
      <c r="C53" s="239"/>
      <c r="D53" s="240"/>
      <c r="E53" s="239"/>
      <c r="F53" s="224"/>
      <c r="G53" s="183"/>
      <c r="H53" s="231"/>
      <c r="I53" s="228"/>
      <c r="J53" s="206" t="s">
        <v>132</v>
      </c>
      <c r="K53" s="207" t="e">
        <f>+M53/L53</f>
        <v>#DIV/0!</v>
      </c>
      <c r="L53" s="208">
        <f>+L51</f>
        <v>3.7854000000000001</v>
      </c>
      <c r="M53" s="209" t="e">
        <f>+N53/K50</f>
        <v>#DIV/0!</v>
      </c>
      <c r="N53" s="210">
        <v>25000</v>
      </c>
      <c r="Q53" s="3"/>
    </row>
    <row r="54" spans="1:17" ht="15.6" x14ac:dyDescent="0.3">
      <c r="A54" s="238"/>
      <c r="B54" s="241"/>
      <c r="C54" s="241"/>
      <c r="D54" s="242"/>
      <c r="E54" s="243"/>
      <c r="F54" s="224"/>
      <c r="G54" s="218"/>
      <c r="H54" s="231"/>
      <c r="I54" s="228"/>
      <c r="J54" s="262">
        <f>(L34+B38+P21+P22+P20+L36)-SUM(D42:D45)+(P18+P19)</f>
        <v>-9.0999999999439751E-2</v>
      </c>
      <c r="K54" s="203" t="s">
        <v>134</v>
      </c>
      <c r="L54" s="196" t="s">
        <v>135</v>
      </c>
      <c r="M54" s="214">
        <v>2.1061999999999999</v>
      </c>
      <c r="N54" s="215"/>
      <c r="Q54" s="3"/>
    </row>
    <row r="55" spans="1:17" ht="16.2" thickBot="1" x14ac:dyDescent="0.35">
      <c r="A55" s="238"/>
      <c r="D55" s="229"/>
      <c r="E55" s="201"/>
      <c r="F55" s="224"/>
      <c r="G55" s="218"/>
      <c r="H55" s="228"/>
      <c r="I55" s="228"/>
      <c r="J55" s="263">
        <f>(C36+L35+L37)-D46</f>
        <v>-2.9999999999972715E-2</v>
      </c>
      <c r="K55" s="220" t="s">
        <v>90</v>
      </c>
      <c r="L55" s="221" t="s">
        <v>137</v>
      </c>
      <c r="M55" s="222">
        <v>2.0185</v>
      </c>
      <c r="N55" s="223" t="e">
        <f>+M53-M51</f>
        <v>#DIV/0!</v>
      </c>
      <c r="Q55" s="3"/>
    </row>
    <row r="56" spans="1:17" ht="15.6" x14ac:dyDescent="0.3">
      <c r="A56" s="244"/>
      <c r="D56" s="229"/>
      <c r="E56" s="109"/>
      <c r="F56" s="245"/>
      <c r="G56" s="218"/>
      <c r="H56" s="228"/>
      <c r="I56" s="228"/>
      <c r="J56" s="233"/>
      <c r="K56" s="234"/>
      <c r="L56" s="235"/>
      <c r="M56" s="236"/>
      <c r="Q56" s="3"/>
    </row>
    <row r="57" spans="1:17" ht="15.6" x14ac:dyDescent="0.3">
      <c r="A57" s="246"/>
      <c r="D57" s="229"/>
      <c r="F57" s="224"/>
      <c r="G57" s="218"/>
      <c r="H57" s="228"/>
      <c r="I57" s="228"/>
      <c r="J57" s="231"/>
      <c r="K57" s="231"/>
      <c r="L57" s="235"/>
      <c r="M57" s="228"/>
      <c r="Q57" s="3"/>
    </row>
    <row r="58" spans="1:17" ht="15.6" x14ac:dyDescent="0.3">
      <c r="A58" s="238"/>
      <c r="D58" s="229"/>
      <c r="F58" s="247"/>
      <c r="G58" s="218"/>
      <c r="J58" s="180"/>
      <c r="K58" s="180"/>
      <c r="L58" s="248"/>
      <c r="O58" s="109"/>
      <c r="P58" s="109"/>
      <c r="Q58" s="3"/>
    </row>
    <row r="59" spans="1:17" ht="15.6" x14ac:dyDescent="0.3">
      <c r="A59" s="238"/>
      <c r="D59" s="229"/>
      <c r="F59" s="245"/>
      <c r="G59" s="218"/>
      <c r="J59" s="180"/>
      <c r="K59" s="180"/>
      <c r="N59" s="109"/>
      <c r="O59" s="109"/>
      <c r="P59" s="109"/>
      <c r="Q59" s="3"/>
    </row>
    <row r="60" spans="1:17" ht="15.6" x14ac:dyDescent="0.3">
      <c r="A60" s="238"/>
      <c r="B60" s="109"/>
      <c r="C60" s="109"/>
      <c r="D60" s="229"/>
      <c r="E60" s="109"/>
      <c r="F60" s="249"/>
      <c r="G60" s="218"/>
      <c r="K60" s="180"/>
      <c r="N60" s="109"/>
      <c r="O60" s="109"/>
      <c r="P60" s="109"/>
      <c r="Q60" s="3"/>
    </row>
    <row r="61" spans="1:17" ht="15.6" x14ac:dyDescent="0.3">
      <c r="A61" s="244"/>
      <c r="D61" s="229"/>
      <c r="E61" s="109"/>
      <c r="F61" s="249"/>
      <c r="G61" s="218"/>
      <c r="N61" s="109"/>
      <c r="O61" s="109"/>
      <c r="P61" s="109"/>
      <c r="Q61" s="3"/>
    </row>
    <row r="62" spans="1:17" ht="15.6" x14ac:dyDescent="0.3">
      <c r="A62" s="244"/>
      <c r="D62" s="229"/>
      <c r="F62" s="250"/>
      <c r="G62" s="246"/>
      <c r="N62" s="109"/>
      <c r="O62" s="109"/>
      <c r="P62" s="109"/>
      <c r="Q62" s="3"/>
    </row>
    <row r="63" spans="1:17" x14ac:dyDescent="0.3">
      <c r="A63" s="238"/>
      <c r="D63" s="109"/>
      <c r="F63" s="249"/>
      <c r="G63" s="246"/>
      <c r="N63" s="109"/>
      <c r="O63" s="109"/>
      <c r="P63" s="109"/>
      <c r="Q63" s="3"/>
    </row>
    <row r="64" spans="1:17" x14ac:dyDescent="0.3">
      <c r="A64" s="238"/>
      <c r="F64" s="249"/>
      <c r="G64" s="246"/>
      <c r="N64" s="109"/>
      <c r="O64" s="109"/>
      <c r="P64" s="109"/>
      <c r="Q64" s="3"/>
    </row>
    <row r="65" spans="1:20" x14ac:dyDescent="0.3">
      <c r="A65" s="238">
        <v>84</v>
      </c>
      <c r="F65" s="251"/>
      <c r="G65" s="246"/>
      <c r="N65" s="109"/>
      <c r="Q65" s="3"/>
    </row>
    <row r="66" spans="1:20" x14ac:dyDescent="0.3">
      <c r="A66" s="244" t="s">
        <v>131</v>
      </c>
      <c r="F66" s="249"/>
      <c r="G66" s="246"/>
      <c r="N66" s="109"/>
      <c r="Q66" s="3"/>
    </row>
    <row r="67" spans="1:20" x14ac:dyDescent="0.3">
      <c r="A67" s="85"/>
      <c r="F67" s="247"/>
      <c r="G67" s="246"/>
      <c r="N67" s="109"/>
      <c r="Q67" s="3"/>
    </row>
    <row r="68" spans="1:20" x14ac:dyDescent="0.3">
      <c r="A68" s="238">
        <v>95</v>
      </c>
      <c r="F68" s="249"/>
      <c r="G68" s="246"/>
      <c r="H68" s="70"/>
      <c r="I68" s="70"/>
      <c r="J68" s="70"/>
      <c r="K68" s="70"/>
      <c r="L68" s="70"/>
      <c r="M68" s="70"/>
      <c r="N68" s="109"/>
      <c r="P68" s="201"/>
      <c r="Q68" s="3"/>
    </row>
    <row r="69" spans="1:20" x14ac:dyDescent="0.3">
      <c r="A69" s="238">
        <v>90</v>
      </c>
      <c r="F69" s="249"/>
      <c r="G69" s="246"/>
      <c r="H69" s="70"/>
      <c r="I69" s="70"/>
      <c r="J69" s="70"/>
      <c r="K69" s="70"/>
      <c r="L69" s="70"/>
      <c r="M69" s="70"/>
      <c r="N69" s="109"/>
      <c r="Q69" s="3"/>
    </row>
    <row r="70" spans="1:20" x14ac:dyDescent="0.3">
      <c r="A70" s="238">
        <v>84</v>
      </c>
      <c r="F70" s="252"/>
      <c r="G70" s="85"/>
      <c r="H70" s="70"/>
      <c r="I70" s="70"/>
      <c r="J70" s="70"/>
      <c r="K70" s="70"/>
      <c r="L70" s="70"/>
      <c r="M70" s="70"/>
      <c r="N70" s="109"/>
      <c r="O70" s="109"/>
      <c r="P70" s="109"/>
      <c r="Q70" s="109"/>
      <c r="R70" s="109"/>
    </row>
    <row r="71" spans="1:20" x14ac:dyDescent="0.3">
      <c r="A71" s="244" t="s">
        <v>131</v>
      </c>
      <c r="F71" s="252"/>
      <c r="G71" s="85"/>
      <c r="H71" s="70"/>
      <c r="I71" s="70"/>
      <c r="J71" s="70"/>
      <c r="K71" s="70"/>
      <c r="L71" s="70"/>
      <c r="M71" s="70"/>
      <c r="N71" s="109"/>
      <c r="O71" s="109"/>
      <c r="P71" s="109"/>
      <c r="Q71" s="109"/>
      <c r="R71" s="109"/>
    </row>
    <row r="72" spans="1:20" x14ac:dyDescent="0.3">
      <c r="A72" s="85"/>
      <c r="F72" s="85"/>
      <c r="G72" s="85"/>
      <c r="H72" s="70"/>
      <c r="I72" s="70"/>
      <c r="J72" s="70"/>
      <c r="K72" s="70"/>
      <c r="L72" s="70"/>
      <c r="M72" s="70"/>
      <c r="N72" s="109"/>
      <c r="O72" s="109"/>
      <c r="P72" s="109"/>
      <c r="Q72" s="109"/>
      <c r="R72" s="109"/>
    </row>
    <row r="73" spans="1:20" x14ac:dyDescent="0.3">
      <c r="A73" s="244" t="s">
        <v>29</v>
      </c>
      <c r="F73" s="253"/>
      <c r="G73" s="254"/>
      <c r="H73" s="70"/>
      <c r="I73" s="70"/>
      <c r="J73" s="70"/>
      <c r="K73" s="70"/>
      <c r="L73" s="70"/>
      <c r="M73" s="70"/>
      <c r="N73" s="109"/>
      <c r="O73" s="109"/>
      <c r="P73" s="109"/>
      <c r="Q73" s="109"/>
      <c r="R73" s="109"/>
    </row>
    <row r="74" spans="1:20" x14ac:dyDescent="0.3">
      <c r="A74" s="244" t="s">
        <v>29</v>
      </c>
      <c r="F74" s="255"/>
      <c r="G74" s="85"/>
      <c r="H74" s="70"/>
      <c r="I74" s="70"/>
      <c r="J74" s="70"/>
      <c r="K74" s="70"/>
      <c r="L74" s="70"/>
      <c r="M74" s="70"/>
      <c r="N74" s="109"/>
      <c r="O74" s="109"/>
      <c r="P74" s="109"/>
      <c r="Q74" s="109"/>
      <c r="R74" s="200"/>
    </row>
    <row r="75" spans="1:20" x14ac:dyDescent="0.3">
      <c r="A75" s="85"/>
      <c r="F75" s="85"/>
      <c r="G75" s="85"/>
      <c r="H75" s="70"/>
      <c r="I75" s="70"/>
      <c r="J75" s="70"/>
      <c r="K75" s="70"/>
      <c r="L75" s="70"/>
      <c r="M75" s="70"/>
      <c r="N75" s="109"/>
      <c r="O75" s="109"/>
      <c r="P75" s="109"/>
      <c r="Q75" s="109"/>
      <c r="R75" s="200"/>
    </row>
    <row r="76" spans="1:20" x14ac:dyDescent="0.3">
      <c r="A76" s="244" t="s">
        <v>29</v>
      </c>
      <c r="F76" s="255"/>
      <c r="G76" s="85"/>
      <c r="N76" s="109"/>
      <c r="O76" s="109"/>
      <c r="P76" s="109"/>
      <c r="Q76" s="109"/>
      <c r="R76" s="200"/>
      <c r="S76" s="256"/>
      <c r="T76" s="3">
        <v>3</v>
      </c>
    </row>
    <row r="77" spans="1:20" x14ac:dyDescent="0.3">
      <c r="A77" s="244" t="s">
        <v>29</v>
      </c>
      <c r="F77" s="255"/>
      <c r="G77" s="254"/>
      <c r="N77" s="109"/>
      <c r="O77" s="109"/>
      <c r="P77" s="109"/>
      <c r="Q77" s="109"/>
      <c r="R77" s="200"/>
    </row>
    <row r="78" spans="1:20" x14ac:dyDescent="0.3">
      <c r="A78" s="85"/>
      <c r="F78" s="255"/>
      <c r="G78" s="228"/>
      <c r="N78" s="109"/>
      <c r="O78" s="109"/>
      <c r="P78" s="109"/>
      <c r="Q78" s="109"/>
      <c r="R78" s="200"/>
    </row>
    <row r="79" spans="1:20" x14ac:dyDescent="0.3">
      <c r="A79" s="85"/>
      <c r="F79" s="239"/>
      <c r="G79" s="228"/>
      <c r="N79" s="109"/>
      <c r="O79" s="109"/>
      <c r="P79" s="109"/>
      <c r="Q79" s="109"/>
      <c r="R79" s="200"/>
    </row>
    <row r="80" spans="1:20" x14ac:dyDescent="0.3">
      <c r="A80" s="85"/>
      <c r="F80" s="241"/>
      <c r="G80" s="228"/>
      <c r="N80" s="109"/>
      <c r="O80" s="109"/>
      <c r="P80" s="109"/>
      <c r="Q80" s="109"/>
      <c r="R80" s="200"/>
    </row>
    <row r="81" spans="1:19" x14ac:dyDescent="0.3">
      <c r="A81" s="85"/>
      <c r="F81" s="241"/>
      <c r="G81" s="228"/>
      <c r="N81" s="109"/>
      <c r="O81" s="109"/>
      <c r="P81" s="109"/>
      <c r="Q81" s="109"/>
      <c r="R81" s="200"/>
    </row>
    <row r="82" spans="1:19" x14ac:dyDescent="0.3">
      <c r="A82" s="85"/>
      <c r="F82" s="228"/>
      <c r="G82" s="228"/>
      <c r="N82" s="109"/>
      <c r="O82" s="109"/>
      <c r="P82" s="109"/>
      <c r="Q82" s="109"/>
    </row>
    <row r="83" spans="1:19" x14ac:dyDescent="0.3">
      <c r="N83" s="109"/>
      <c r="O83" s="109"/>
      <c r="P83" s="109"/>
      <c r="Q83" s="109"/>
    </row>
    <row r="84" spans="1:19" x14ac:dyDescent="0.3">
      <c r="N84" s="109"/>
      <c r="O84" s="257"/>
      <c r="P84" s="257"/>
      <c r="Q84" s="109"/>
    </row>
    <row r="85" spans="1:19" x14ac:dyDescent="0.3">
      <c r="N85" s="109"/>
      <c r="O85" s="257"/>
      <c r="P85" s="257"/>
      <c r="Q85" s="109"/>
    </row>
    <row r="86" spans="1:19" x14ac:dyDescent="0.3">
      <c r="N86" s="109"/>
      <c r="O86" s="257"/>
      <c r="P86" s="257"/>
      <c r="Q86" s="109"/>
    </row>
    <row r="87" spans="1:19" x14ac:dyDescent="0.3">
      <c r="N87" s="109"/>
      <c r="O87" s="257"/>
      <c r="P87" s="257"/>
      <c r="Q87" s="109"/>
    </row>
    <row r="88" spans="1:19" x14ac:dyDescent="0.3">
      <c r="N88" s="109"/>
      <c r="O88" s="257"/>
      <c r="P88" s="257"/>
      <c r="Q88" s="109"/>
    </row>
    <row r="89" spans="1:19" x14ac:dyDescent="0.3">
      <c r="N89" s="109"/>
      <c r="O89" s="257"/>
      <c r="P89" s="257"/>
      <c r="Q89" s="109"/>
      <c r="S89" s="256"/>
    </row>
    <row r="90" spans="1:19" x14ac:dyDescent="0.3">
      <c r="Q90" s="3"/>
    </row>
    <row r="91" spans="1:19" x14ac:dyDescent="0.3">
      <c r="Q91" s="3"/>
    </row>
    <row r="92" spans="1:19" x14ac:dyDescent="0.3">
      <c r="Q92" s="3"/>
    </row>
    <row r="93" spans="1:19" s="70" customFormat="1" x14ac:dyDescent="0.3">
      <c r="H93" s="3"/>
      <c r="I93" s="3"/>
      <c r="J93" s="3"/>
      <c r="K93" s="3"/>
      <c r="L93" s="3"/>
      <c r="M93" s="3"/>
    </row>
    <row r="94" spans="1:19" s="70" customFormat="1" x14ac:dyDescent="0.3">
      <c r="H94" s="3"/>
      <c r="I94" s="3"/>
      <c r="J94" s="3"/>
      <c r="K94" s="3"/>
      <c r="L94" s="3"/>
      <c r="M94" s="3"/>
    </row>
    <row r="95" spans="1:19" s="70" customFormat="1" x14ac:dyDescent="0.3">
      <c r="H95" s="3"/>
      <c r="I95" s="3"/>
      <c r="J95" s="3"/>
      <c r="K95" s="3"/>
      <c r="L95" s="3"/>
      <c r="M95" s="3"/>
    </row>
    <row r="96" spans="1:19" s="70" customFormat="1" x14ac:dyDescent="0.3">
      <c r="H96" s="3"/>
      <c r="I96" s="3"/>
      <c r="J96" s="3"/>
      <c r="K96" s="3"/>
      <c r="L96" s="3"/>
      <c r="M96" s="3"/>
      <c r="N96" s="109"/>
      <c r="O96" s="257"/>
      <c r="P96" s="257"/>
      <c r="Q96" s="109"/>
      <c r="S96" s="258"/>
    </row>
    <row r="97" spans="8:17" s="70" customFormat="1" x14ac:dyDescent="0.3">
      <c r="H97" s="3"/>
      <c r="I97" s="3"/>
      <c r="J97" s="3"/>
      <c r="K97" s="3"/>
      <c r="L97" s="3"/>
      <c r="M97" s="3"/>
      <c r="N97" s="109"/>
      <c r="O97" s="257"/>
      <c r="P97" s="257"/>
      <c r="Q97" s="109"/>
    </row>
    <row r="98" spans="8:17" s="70" customFormat="1" x14ac:dyDescent="0.3">
      <c r="H98" s="3"/>
      <c r="I98" s="3"/>
      <c r="J98" s="3"/>
      <c r="K98" s="3"/>
      <c r="L98" s="3"/>
      <c r="M98" s="3"/>
      <c r="N98" s="109"/>
      <c r="O98" s="257"/>
      <c r="P98" s="257"/>
      <c r="Q98" s="109"/>
    </row>
    <row r="99" spans="8:17" s="70" customFormat="1" ht="15" thickBot="1" x14ac:dyDescent="0.35">
      <c r="H99" s="3"/>
      <c r="I99" s="3"/>
      <c r="J99" s="3"/>
      <c r="K99" s="3"/>
      <c r="L99" s="3"/>
      <c r="M99" s="3"/>
      <c r="N99" s="109"/>
      <c r="O99" s="259"/>
      <c r="P99" s="259"/>
      <c r="Q99" s="109"/>
    </row>
    <row r="100" spans="8:17" s="70" customFormat="1" x14ac:dyDescent="0.3">
      <c r="H100" s="3"/>
      <c r="I100" s="3"/>
      <c r="J100" s="3"/>
      <c r="K100" s="3"/>
      <c r="L100" s="3"/>
      <c r="M100" s="3"/>
      <c r="N100" s="109"/>
      <c r="O100" s="260"/>
      <c r="P100" s="260"/>
      <c r="Q100" s="109"/>
    </row>
    <row r="101" spans="8:17" x14ac:dyDescent="0.3">
      <c r="N101" s="109"/>
      <c r="O101" s="257"/>
      <c r="P101" s="257"/>
      <c r="Q101" s="109"/>
    </row>
    <row r="102" spans="8:17" x14ac:dyDescent="0.3">
      <c r="H102" s="70"/>
      <c r="I102" s="70"/>
      <c r="J102" s="70"/>
      <c r="K102" s="70"/>
      <c r="L102" s="70"/>
      <c r="M102" s="70"/>
      <c r="N102" s="109"/>
      <c r="O102" s="257"/>
      <c r="P102" s="257"/>
      <c r="Q102" s="109"/>
    </row>
    <row r="103" spans="8:17" x14ac:dyDescent="0.3">
      <c r="H103" s="70"/>
      <c r="I103" s="70"/>
      <c r="J103" s="70"/>
      <c r="K103" s="70"/>
      <c r="L103" s="70"/>
      <c r="M103" s="70"/>
      <c r="N103" s="109"/>
      <c r="O103" s="257"/>
      <c r="P103" s="257"/>
      <c r="Q103" s="109"/>
    </row>
    <row r="104" spans="8:17" x14ac:dyDescent="0.3">
      <c r="H104" s="70"/>
      <c r="I104" s="70"/>
      <c r="J104" s="70"/>
      <c r="K104" s="70"/>
      <c r="L104" s="70"/>
      <c r="M104" s="70"/>
      <c r="N104" s="109"/>
      <c r="O104" s="257"/>
      <c r="Q104" s="109"/>
    </row>
    <row r="105" spans="8:17" x14ac:dyDescent="0.3">
      <c r="H105" s="70"/>
      <c r="I105" s="70"/>
      <c r="J105" s="70"/>
      <c r="K105" s="70"/>
      <c r="L105" s="70"/>
      <c r="M105" s="70"/>
      <c r="N105" s="109"/>
      <c r="O105" s="257"/>
      <c r="Q105" s="109"/>
    </row>
    <row r="106" spans="8:17" x14ac:dyDescent="0.3">
      <c r="H106" s="70"/>
      <c r="I106" s="70"/>
      <c r="J106" s="70"/>
      <c r="K106" s="70"/>
      <c r="L106" s="70"/>
      <c r="M106" s="70"/>
      <c r="N106" s="109"/>
      <c r="O106" s="257"/>
      <c r="Q106" s="109"/>
    </row>
    <row r="107" spans="8:17" x14ac:dyDescent="0.3">
      <c r="H107" s="70"/>
      <c r="I107" s="70"/>
      <c r="J107" s="70"/>
      <c r="K107" s="70"/>
      <c r="L107" s="70"/>
      <c r="M107" s="70"/>
      <c r="N107" s="109"/>
      <c r="O107" s="260"/>
      <c r="P107" s="260"/>
      <c r="Q107" s="109"/>
    </row>
    <row r="108" spans="8:17" x14ac:dyDescent="0.3">
      <c r="H108" s="70"/>
      <c r="I108" s="70"/>
      <c r="J108" s="70"/>
      <c r="K108" s="70"/>
      <c r="L108" s="70"/>
      <c r="M108" s="70"/>
      <c r="N108" s="109"/>
      <c r="O108" s="257"/>
      <c r="Q108" s="109"/>
    </row>
    <row r="109" spans="8:17" x14ac:dyDescent="0.3">
      <c r="H109" s="70"/>
      <c r="I109" s="70"/>
      <c r="J109" s="70"/>
      <c r="K109" s="70"/>
      <c r="L109" s="70"/>
      <c r="M109" s="70"/>
      <c r="N109" s="109"/>
      <c r="O109" s="257"/>
      <c r="Q109" s="109"/>
    </row>
    <row r="110" spans="8:17" x14ac:dyDescent="0.3">
      <c r="H110" s="70"/>
      <c r="I110" s="70"/>
      <c r="J110" s="70"/>
      <c r="K110" s="70"/>
      <c r="L110" s="70"/>
      <c r="M110" s="70"/>
      <c r="N110" s="109"/>
      <c r="O110" s="257"/>
      <c r="Q110" s="109"/>
    </row>
    <row r="111" spans="8:17" x14ac:dyDescent="0.3">
      <c r="H111" s="70"/>
      <c r="I111" s="70"/>
      <c r="J111" s="70"/>
      <c r="K111" s="70"/>
      <c r="L111" s="70"/>
      <c r="M111" s="70"/>
      <c r="N111" s="109"/>
      <c r="O111" s="257"/>
      <c r="Q111" s="109"/>
    </row>
    <row r="112" spans="8:17" x14ac:dyDescent="0.3">
      <c r="H112" s="70"/>
      <c r="I112" s="70"/>
      <c r="J112" s="70"/>
      <c r="K112" s="70"/>
      <c r="L112" s="70"/>
      <c r="M112" s="70"/>
      <c r="N112" s="109"/>
      <c r="O112" s="257"/>
      <c r="Q112" s="109"/>
    </row>
    <row r="113" spans="8:17" ht="15" thickBot="1" x14ac:dyDescent="0.35">
      <c r="H113" s="70"/>
      <c r="I113" s="70"/>
      <c r="J113" s="70"/>
      <c r="K113" s="70"/>
      <c r="L113" s="70"/>
      <c r="M113" s="70"/>
      <c r="N113" s="109"/>
      <c r="O113" s="259"/>
      <c r="P113" s="261"/>
      <c r="Q113" s="109"/>
    </row>
    <row r="114" spans="8:17" x14ac:dyDescent="0.3">
      <c r="H114" s="70"/>
      <c r="I114" s="70"/>
      <c r="J114" s="70"/>
      <c r="K114" s="70"/>
      <c r="L114" s="70"/>
      <c r="M114" s="70"/>
      <c r="N114" s="109"/>
      <c r="O114" s="257"/>
      <c r="Q114" s="109"/>
    </row>
    <row r="115" spans="8:17" x14ac:dyDescent="0.3">
      <c r="H115" s="70"/>
      <c r="I115" s="70"/>
      <c r="J115" s="70"/>
      <c r="K115" s="70"/>
      <c r="L115" s="70"/>
      <c r="M115" s="70"/>
      <c r="N115" s="109"/>
      <c r="O115" s="257"/>
    </row>
    <row r="116" spans="8:17" x14ac:dyDescent="0.3">
      <c r="H116" s="70"/>
      <c r="I116" s="70"/>
      <c r="J116" s="70"/>
      <c r="K116" s="70"/>
      <c r="L116" s="70"/>
      <c r="M116" s="70"/>
      <c r="N116" s="109"/>
      <c r="O116" s="257"/>
    </row>
    <row r="117" spans="8:17" x14ac:dyDescent="0.3">
      <c r="N117" s="109"/>
      <c r="O117" s="257"/>
    </row>
    <row r="118" spans="8:17" x14ac:dyDescent="0.3">
      <c r="N118" s="109"/>
      <c r="O118" s="257"/>
    </row>
    <row r="119" spans="8:17" x14ac:dyDescent="0.3">
      <c r="N119" s="109"/>
      <c r="O119" s="205"/>
    </row>
    <row r="120" spans="8:17" x14ac:dyDescent="0.3">
      <c r="N120" s="109"/>
    </row>
    <row r="121" spans="8:17" x14ac:dyDescent="0.3">
      <c r="N121" s="109"/>
    </row>
    <row r="122" spans="8:17" x14ac:dyDescent="0.3">
      <c r="N122" s="109"/>
    </row>
    <row r="123" spans="8:17" x14ac:dyDescent="0.3">
      <c r="N123" s="109"/>
    </row>
    <row r="124" spans="8:17" x14ac:dyDescent="0.3">
      <c r="N124" s="109"/>
    </row>
    <row r="125" spans="8:17" x14ac:dyDescent="0.3">
      <c r="N125" s="109"/>
    </row>
    <row r="126" spans="8:17" ht="15" thickBot="1" x14ac:dyDescent="0.35">
      <c r="N126" s="109"/>
      <c r="O126" s="261"/>
      <c r="P126" s="261"/>
    </row>
    <row r="127" spans="8:17" s="70" customFormat="1" x14ac:dyDescent="0.3">
      <c r="H127" s="3"/>
      <c r="I127" s="3"/>
      <c r="J127" s="3"/>
      <c r="K127" s="3"/>
      <c r="L127" s="3"/>
      <c r="M127" s="3"/>
      <c r="N127" s="109"/>
      <c r="O127" s="3"/>
      <c r="P127" s="3"/>
    </row>
    <row r="128" spans="8:17" s="70" customFormat="1" x14ac:dyDescent="0.3">
      <c r="H128" s="3"/>
      <c r="I128" s="3"/>
      <c r="J128" s="3"/>
      <c r="K128" s="3"/>
      <c r="L128" s="3"/>
      <c r="M128" s="3"/>
      <c r="N128" s="109"/>
      <c r="O128" s="3"/>
      <c r="P128" s="3"/>
    </row>
    <row r="129" spans="8:16" s="70" customFormat="1" x14ac:dyDescent="0.3">
      <c r="H129" s="3"/>
      <c r="I129" s="3"/>
      <c r="J129" s="3"/>
      <c r="K129" s="3"/>
      <c r="L129" s="3"/>
      <c r="M129" s="3"/>
      <c r="N129" s="109"/>
      <c r="O129" s="3"/>
      <c r="P129" s="3"/>
    </row>
    <row r="130" spans="8:16" s="70" customFormat="1" x14ac:dyDescent="0.3">
      <c r="H130" s="3"/>
      <c r="I130" s="3"/>
      <c r="J130" s="3"/>
      <c r="K130" s="3"/>
      <c r="L130" s="3"/>
      <c r="M130" s="3"/>
      <c r="N130" s="109"/>
      <c r="O130" s="3"/>
      <c r="P130" s="3"/>
    </row>
    <row r="131" spans="8:16" s="70" customFormat="1" x14ac:dyDescent="0.3">
      <c r="H131" s="3"/>
      <c r="I131" s="3"/>
      <c r="J131" s="3"/>
      <c r="K131" s="3"/>
      <c r="L131" s="3"/>
      <c r="M131" s="3"/>
      <c r="N131" s="109"/>
      <c r="O131" s="3"/>
      <c r="P131" s="3"/>
    </row>
    <row r="132" spans="8:16" s="70" customFormat="1" x14ac:dyDescent="0.3">
      <c r="H132" s="3"/>
      <c r="I132" s="3"/>
      <c r="J132" s="3"/>
      <c r="K132" s="3"/>
      <c r="L132" s="3"/>
      <c r="M132" s="3"/>
      <c r="N132" s="109"/>
      <c r="O132" s="3"/>
      <c r="P132" s="3"/>
    </row>
    <row r="133" spans="8:16" s="70" customFormat="1" x14ac:dyDescent="0.3">
      <c r="H133" s="3"/>
      <c r="I133" s="3"/>
      <c r="J133" s="3"/>
      <c r="K133" s="3"/>
      <c r="L133" s="3"/>
      <c r="M133" s="3"/>
      <c r="N133" s="109"/>
      <c r="O133" s="3"/>
      <c r="P133" s="3"/>
    </row>
    <row r="134" spans="8:16" s="70" customFormat="1" x14ac:dyDescent="0.3">
      <c r="H134" s="3"/>
      <c r="I134" s="3"/>
      <c r="J134" s="3"/>
      <c r="K134" s="3"/>
      <c r="L134" s="3"/>
      <c r="M134" s="3"/>
      <c r="N134" s="109"/>
      <c r="O134" s="3"/>
      <c r="P134" s="3"/>
    </row>
    <row r="135" spans="8:16" s="70" customFormat="1" x14ac:dyDescent="0.3">
      <c r="H135" s="3"/>
      <c r="I135" s="3"/>
      <c r="J135" s="3"/>
      <c r="K135" s="3"/>
      <c r="L135" s="3"/>
      <c r="M135" s="3"/>
      <c r="N135" s="109"/>
      <c r="O135" s="3"/>
      <c r="P135" s="3"/>
    </row>
    <row r="136" spans="8:16" s="70" customFormat="1" x14ac:dyDescent="0.3">
      <c r="H136" s="3"/>
      <c r="I136" s="3"/>
      <c r="J136" s="3"/>
      <c r="K136" s="3"/>
      <c r="L136" s="3"/>
      <c r="M136" s="3"/>
      <c r="N136" s="109"/>
      <c r="O136" s="3"/>
      <c r="P136" s="3"/>
    </row>
    <row r="137" spans="8:16" s="70" customFormat="1" x14ac:dyDescent="0.3">
      <c r="H137" s="3"/>
      <c r="I137" s="3"/>
      <c r="J137" s="3"/>
      <c r="K137" s="3"/>
      <c r="L137" s="3"/>
      <c r="M137" s="3"/>
      <c r="N137" s="109"/>
      <c r="O137" s="3"/>
      <c r="P137" s="3"/>
    </row>
    <row r="138" spans="8:16" s="70" customFormat="1" x14ac:dyDescent="0.3">
      <c r="H138" s="3"/>
      <c r="I138" s="3"/>
      <c r="J138" s="3"/>
      <c r="K138" s="3"/>
      <c r="L138" s="3"/>
      <c r="M138" s="3"/>
      <c r="N138" s="109"/>
      <c r="O138" s="3"/>
      <c r="P138" s="3"/>
    </row>
    <row r="139" spans="8:16" s="70" customFormat="1" x14ac:dyDescent="0.3">
      <c r="H139" s="3"/>
      <c r="I139" s="3"/>
      <c r="J139" s="3"/>
      <c r="K139" s="3"/>
      <c r="L139" s="3"/>
      <c r="M139" s="3"/>
      <c r="N139" s="109"/>
      <c r="O139" s="3"/>
      <c r="P139" s="3"/>
    </row>
    <row r="140" spans="8:16" s="70" customFormat="1" x14ac:dyDescent="0.3">
      <c r="H140" s="3"/>
      <c r="I140" s="3"/>
      <c r="J140" s="3"/>
      <c r="K140" s="3"/>
      <c r="L140" s="3"/>
      <c r="M140" s="3"/>
      <c r="N140" s="109"/>
      <c r="O140" s="3"/>
      <c r="P140" s="3"/>
    </row>
    <row r="141" spans="8:16" s="70" customFormat="1" ht="15" thickBot="1" x14ac:dyDescent="0.35">
      <c r="H141" s="3"/>
      <c r="I141" s="3"/>
      <c r="J141" s="3"/>
      <c r="K141" s="3"/>
      <c r="L141" s="3"/>
      <c r="M141" s="3"/>
      <c r="N141" s="3"/>
      <c r="O141" s="261"/>
      <c r="P141" s="261"/>
    </row>
  </sheetData>
  <autoFilter ref="A6:P6" xr:uid="{00000000-0009-0000-0000-000005000000}"/>
  <mergeCells count="64">
    <mergeCell ref="A32:H32"/>
    <mergeCell ref="J49:N49"/>
    <mergeCell ref="M33:P33"/>
    <mergeCell ref="M34:P35"/>
    <mergeCell ref="I35:J35"/>
    <mergeCell ref="M36:N36"/>
    <mergeCell ref="M39:N39"/>
    <mergeCell ref="O39:P39"/>
    <mergeCell ref="A20:B20"/>
    <mergeCell ref="M20:O20"/>
    <mergeCell ref="A21:B21"/>
    <mergeCell ref="M21:O21"/>
    <mergeCell ref="A33:C33"/>
    <mergeCell ref="A22:B22"/>
    <mergeCell ref="M22:O22"/>
    <mergeCell ref="A23:B23"/>
    <mergeCell ref="M23:N23"/>
    <mergeCell ref="A24:B24"/>
    <mergeCell ref="I24:J24"/>
    <mergeCell ref="K24:P24"/>
    <mergeCell ref="A25:B25"/>
    <mergeCell ref="A26:B26"/>
    <mergeCell ref="I29:J29"/>
    <mergeCell ref="A31:B31"/>
    <mergeCell ref="A18:B18"/>
    <mergeCell ref="I18:J18"/>
    <mergeCell ref="K18:L18"/>
    <mergeCell ref="M18:O18"/>
    <mergeCell ref="A19:B19"/>
    <mergeCell ref="M19:O19"/>
    <mergeCell ref="A16:B16"/>
    <mergeCell ref="I16:L16"/>
    <mergeCell ref="M16:N16"/>
    <mergeCell ref="A17:B17"/>
    <mergeCell ref="I17:J17"/>
    <mergeCell ref="K17:L17"/>
    <mergeCell ref="M17:O17"/>
    <mergeCell ref="A14:B14"/>
    <mergeCell ref="I14:J14"/>
    <mergeCell ref="M14:N14"/>
    <mergeCell ref="A15:B15"/>
    <mergeCell ref="I15:J15"/>
    <mergeCell ref="M15:N15"/>
    <mergeCell ref="A13:B13"/>
    <mergeCell ref="I13:J13"/>
    <mergeCell ref="M13:N13"/>
    <mergeCell ref="A12:H12"/>
    <mergeCell ref="I12:L12"/>
    <mergeCell ref="M12:P12"/>
    <mergeCell ref="O4:P4"/>
    <mergeCell ref="C5:F5"/>
    <mergeCell ref="G5:J5"/>
    <mergeCell ref="A1:H3"/>
    <mergeCell ref="I1:J1"/>
    <mergeCell ref="K1:M1"/>
    <mergeCell ref="O1:P1"/>
    <mergeCell ref="I2:J2"/>
    <mergeCell ref="K2:M2"/>
    <mergeCell ref="O2:P2"/>
    <mergeCell ref="I3:J3"/>
    <mergeCell ref="K3:M3"/>
    <mergeCell ref="O3:P3"/>
    <mergeCell ref="L5:M5"/>
    <mergeCell ref="N5:P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69B9-C8D7-4E32-B7CA-85EBB331A748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45720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63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+'03-03-2025'!J7</f>
        <v>3703.4123934856343</v>
      </c>
      <c r="C7" s="22">
        <f>K26+K27</f>
        <v>0</v>
      </c>
      <c r="D7" s="23"/>
      <c r="E7" s="24">
        <f>+B7+C7+D7</f>
        <v>3703.4123934856343</v>
      </c>
      <c r="F7" s="25">
        <f>B46-G7</f>
        <v>250.49666221628837</v>
      </c>
      <c r="G7" s="22"/>
      <c r="H7" s="26"/>
      <c r="I7" s="21">
        <f t="shared" ref="I7:I10" si="0">+F7+G7+H7</f>
        <v>250.49666221628837</v>
      </c>
      <c r="J7" s="21">
        <f t="shared" ref="J7:J10" si="1">+E7-I7</f>
        <v>3452.915731269346</v>
      </c>
      <c r="K7" s="27">
        <f>+'03-03-2025'!L7</f>
        <v>3703.4123934856343</v>
      </c>
      <c r="L7" s="28">
        <v>3452.915731269346</v>
      </c>
      <c r="M7" s="24">
        <f t="shared" ref="M7:M10" si="2">+F7</f>
        <v>250.49666221628837</v>
      </c>
      <c r="N7" s="24">
        <f>+C46</f>
        <v>7.49</v>
      </c>
      <c r="O7" s="29">
        <f t="shared" ref="O7:O10" si="3">+M7*N7</f>
        <v>1876.22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+'03-03-2025'!J8</f>
        <v>1196.2362602653191</v>
      </c>
      <c r="C8" s="22">
        <f>K28</f>
        <v>0</v>
      </c>
      <c r="D8" s="33"/>
      <c r="E8" s="24">
        <f>+B8+C8+D8</f>
        <v>1196.2362602653191</v>
      </c>
      <c r="F8" s="25">
        <f>+B42-G8</f>
        <v>109.00758054327227</v>
      </c>
      <c r="G8" s="22"/>
      <c r="H8" s="26"/>
      <c r="I8" s="21">
        <f t="shared" si="0"/>
        <v>109.00758054327227</v>
      </c>
      <c r="J8" s="21">
        <f t="shared" si="1"/>
        <v>1087.2286797220468</v>
      </c>
      <c r="K8" s="27">
        <f>+'03-03-2025'!L8</f>
        <v>1195</v>
      </c>
      <c r="L8" s="28">
        <v>1085</v>
      </c>
      <c r="M8" s="24">
        <f t="shared" si="2"/>
        <v>109.00758054327227</v>
      </c>
      <c r="N8" s="24">
        <f>+C42</f>
        <v>15.83</v>
      </c>
      <c r="O8" s="29">
        <f t="shared" si="3"/>
        <v>1725.59</v>
      </c>
      <c r="P8" s="30">
        <f t="shared" si="4"/>
        <v>-2.2286797220467633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+'03-03-2025'!J9</f>
        <v>997.01545698924747</v>
      </c>
      <c r="C9" s="22">
        <f>K29</f>
        <v>0</v>
      </c>
      <c r="D9" s="33"/>
      <c r="E9" s="24">
        <f>+B9+C9+D9</f>
        <v>997.01545698924747</v>
      </c>
      <c r="F9" s="25">
        <f>+B43-G9</f>
        <v>110.19892473118279</v>
      </c>
      <c r="G9" s="22"/>
      <c r="H9" s="26"/>
      <c r="I9" s="21">
        <f t="shared" si="0"/>
        <v>110.19892473118279</v>
      </c>
      <c r="J9" s="21">
        <f t="shared" si="1"/>
        <v>886.81653225806463</v>
      </c>
      <c r="K9" s="27">
        <f>+'03-03-2025'!L9</f>
        <v>995</v>
      </c>
      <c r="L9" s="28">
        <v>885</v>
      </c>
      <c r="M9" s="24">
        <f t="shared" si="2"/>
        <v>110.19892473118279</v>
      </c>
      <c r="N9" s="24">
        <f>+C43</f>
        <v>14.88</v>
      </c>
      <c r="O9" s="29">
        <f t="shared" si="3"/>
        <v>1639.76</v>
      </c>
      <c r="P9" s="30">
        <f t="shared" si="4"/>
        <v>-1.8165322580646261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+'03-03-2025'!J10</f>
        <v>1294.1829508196722</v>
      </c>
      <c r="C10" s="40">
        <f>K31</f>
        <v>0</v>
      </c>
      <c r="D10" s="41"/>
      <c r="E10" s="24">
        <f>+B10+C10+D10</f>
        <v>1294.1829508196722</v>
      </c>
      <c r="F10" s="43">
        <f>+B45-G10</f>
        <v>93.732459016393449</v>
      </c>
      <c r="G10" s="40"/>
      <c r="H10" s="26"/>
      <c r="I10" s="44">
        <f t="shared" si="0"/>
        <v>93.732459016393449</v>
      </c>
      <c r="J10" s="44">
        <f t="shared" si="1"/>
        <v>1200.4504918032787</v>
      </c>
      <c r="K10" s="27">
        <f>+'03-03-2025'!L10</f>
        <v>1295</v>
      </c>
      <c r="L10" s="28">
        <v>1200</v>
      </c>
      <c r="M10" s="42">
        <f t="shared" si="2"/>
        <v>93.732459016393449</v>
      </c>
      <c r="N10" s="42">
        <f>+C45</f>
        <v>15.25</v>
      </c>
      <c r="O10" s="45">
        <f t="shared" si="3"/>
        <v>1429.42</v>
      </c>
      <c r="P10" s="30">
        <f t="shared" si="4"/>
        <v>-0.45049180327873728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7190.8470615598735</v>
      </c>
      <c r="C11" s="21">
        <f t="shared" si="5"/>
        <v>0</v>
      </c>
      <c r="D11" s="21">
        <f t="shared" si="5"/>
        <v>0</v>
      </c>
      <c r="E11" s="21">
        <f t="shared" si="5"/>
        <v>7190.8470615598735</v>
      </c>
      <c r="F11" s="21">
        <f t="shared" si="5"/>
        <v>563.43562650713682</v>
      </c>
      <c r="G11" s="21">
        <f t="shared" si="5"/>
        <v>0</v>
      </c>
      <c r="H11" s="21">
        <f t="shared" si="5"/>
        <v>0</v>
      </c>
      <c r="I11" s="21">
        <f t="shared" si="5"/>
        <v>563.43562650713682</v>
      </c>
      <c r="J11" s="21">
        <f t="shared" si="5"/>
        <v>6627.4114350527361</v>
      </c>
      <c r="K11" s="27">
        <f t="shared" si="5"/>
        <v>7188.4123934856343</v>
      </c>
      <c r="L11" s="21">
        <f t="shared" si="5"/>
        <v>6622.915731269346</v>
      </c>
      <c r="M11" s="21">
        <f t="shared" si="5"/>
        <v>563.43562650713682</v>
      </c>
      <c r="N11" s="21"/>
      <c r="O11" s="21">
        <f>SUM(O7:O10)</f>
        <v>6670.99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563.43562650713682</v>
      </c>
      <c r="O14" s="65">
        <f>+O11</f>
        <v>6670.99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1571.8200000000002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655.99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3.0711999999994077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113.04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113.04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 t="s">
        <v>147</v>
      </c>
      <c r="H23" s="79" t="s">
        <v>78</v>
      </c>
      <c r="I23" s="80">
        <f>+I19+I20-I22</f>
        <v>4214.5404099999996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2.2286797220467633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6258.25/500</f>
        <v>12.516500000000001</v>
      </c>
      <c r="P29" s="97">
        <f>+N9-O29</f>
        <v>2.3635000000000002</v>
      </c>
      <c r="R29" s="48">
        <f>+P9*-1</f>
        <v>1.8165322580646261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+'03-03-2025'!I34</f>
        <v>-190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93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0.45049180327873728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45720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-190</v>
      </c>
      <c r="J34" s="118" t="s">
        <v>58</v>
      </c>
      <c r="K34" s="125">
        <v>3101.9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1216.1500000000001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1217.3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355.67</v>
      </c>
      <c r="C36" s="136">
        <v>655.99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45720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3101.9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1571.8200000000002</v>
      </c>
      <c r="C38" s="153">
        <f>SUM(C35:C37)</f>
        <v>655.99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4319.2</v>
      </c>
      <c r="L38" s="161" t="s">
        <v>29</v>
      </c>
      <c r="M38" s="162" t="s">
        <v>118</v>
      </c>
      <c r="N38" s="163">
        <f>+K35</f>
        <v>1217.3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2227.8100000000004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4319.2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109.00758054327227</v>
      </c>
      <c r="C42" s="184">
        <v>15.83</v>
      </c>
      <c r="D42" s="185">
        <v>1725.59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110.19892473118279</v>
      </c>
      <c r="C43" s="184">
        <v>14.88</v>
      </c>
      <c r="D43" s="185">
        <v>1639.76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93.732459016393449</v>
      </c>
      <c r="C45" s="184">
        <v>15.25</v>
      </c>
      <c r="D45" s="185">
        <v>1429.42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250.49666221628837</v>
      </c>
      <c r="C46" s="184">
        <v>7.49</v>
      </c>
      <c r="D46" s="185">
        <v>1876.22</v>
      </c>
      <c r="E46" s="186"/>
      <c r="F46" s="212"/>
      <c r="G46" s="213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563.43562650713693</v>
      </c>
      <c r="C47" s="216"/>
      <c r="D47" s="217">
        <f>SUM(D42:D46)</f>
        <v>6670.9900000000007</v>
      </c>
      <c r="E47" s="186"/>
      <c r="F47" s="218"/>
      <c r="G47" s="219">
        <f>(C36+K35+K37)-D46</f>
        <v>-2.9300000000000637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042A-8A23-4387-9D30-F17DF8DC7848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45721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64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+'04-03-2025'!J7</f>
        <v>3452.915731269346</v>
      </c>
      <c r="C7" s="22">
        <f>K26+K27</f>
        <v>0</v>
      </c>
      <c r="D7" s="23"/>
      <c r="E7" s="24">
        <f>+B7+C7+D7</f>
        <v>3452.915731269346</v>
      </c>
      <c r="F7" s="25">
        <f>B46-G7</f>
        <v>283.94392523364485</v>
      </c>
      <c r="G7" s="22"/>
      <c r="H7" s="26"/>
      <c r="I7" s="21">
        <f t="shared" ref="I7:I10" si="0">+F7+G7+H7</f>
        <v>283.94392523364485</v>
      </c>
      <c r="J7" s="21">
        <f t="shared" ref="J7:J10" si="1">+E7-I7</f>
        <v>3168.9718060357013</v>
      </c>
      <c r="K7" s="27">
        <f>+'04-03-2025'!L7</f>
        <v>3452.915731269346</v>
      </c>
      <c r="L7" s="28">
        <v>3168.9718060357013</v>
      </c>
      <c r="M7" s="24">
        <f t="shared" ref="M7:M10" si="2">+F7</f>
        <v>283.94392523364485</v>
      </c>
      <c r="N7" s="24">
        <f>+C46</f>
        <v>7.49</v>
      </c>
      <c r="O7" s="29">
        <f t="shared" ref="O7:O10" si="3">+M7*N7</f>
        <v>2126.7399999999998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+'04-03-2025'!J8</f>
        <v>1087.2286797220468</v>
      </c>
      <c r="C8" s="22">
        <f>K28</f>
        <v>0</v>
      </c>
      <c r="D8" s="33"/>
      <c r="E8" s="24">
        <f>+B8+C8+D8</f>
        <v>1087.2286797220468</v>
      </c>
      <c r="F8" s="25">
        <f>+B42-G8</f>
        <v>79.445988629185095</v>
      </c>
      <c r="G8" s="22"/>
      <c r="H8" s="26"/>
      <c r="I8" s="21">
        <f t="shared" si="0"/>
        <v>79.445988629185095</v>
      </c>
      <c r="J8" s="21">
        <f t="shared" si="1"/>
        <v>1007.7826910928617</v>
      </c>
      <c r="K8" s="27">
        <f>+'04-03-2025'!L8</f>
        <v>1085</v>
      </c>
      <c r="L8" s="28">
        <v>1000</v>
      </c>
      <c r="M8" s="24">
        <f t="shared" si="2"/>
        <v>79.445988629185095</v>
      </c>
      <c r="N8" s="24">
        <f>+C42</f>
        <v>15.83</v>
      </c>
      <c r="O8" s="29">
        <f t="shared" si="3"/>
        <v>1257.6300000000001</v>
      </c>
      <c r="P8" s="30">
        <f t="shared" si="4"/>
        <v>-7.7826910928616826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+'04-03-2025'!J9</f>
        <v>886.81653225806463</v>
      </c>
      <c r="C9" s="22">
        <f>K29</f>
        <v>0</v>
      </c>
      <c r="D9" s="33"/>
      <c r="E9" s="24">
        <f>+B9+C9+D9</f>
        <v>886.81653225806463</v>
      </c>
      <c r="F9" s="25">
        <f>+B43-G9</f>
        <v>177.85013440860214</v>
      </c>
      <c r="G9" s="22"/>
      <c r="H9" s="26"/>
      <c r="I9" s="21">
        <f t="shared" si="0"/>
        <v>177.85013440860214</v>
      </c>
      <c r="J9" s="21">
        <f t="shared" si="1"/>
        <v>708.96639784946251</v>
      </c>
      <c r="K9" s="27">
        <f>+'04-03-2025'!L9</f>
        <v>885</v>
      </c>
      <c r="L9" s="28">
        <v>700</v>
      </c>
      <c r="M9" s="24">
        <f t="shared" si="2"/>
        <v>177.85013440860214</v>
      </c>
      <c r="N9" s="24">
        <f>+C43</f>
        <v>14.88</v>
      </c>
      <c r="O9" s="29">
        <f t="shared" si="3"/>
        <v>2646.41</v>
      </c>
      <c r="P9" s="30">
        <f t="shared" si="4"/>
        <v>-8.9663978494625098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+'04-03-2025'!J10</f>
        <v>1200.4504918032787</v>
      </c>
      <c r="C10" s="40">
        <f>K31</f>
        <v>0</v>
      </c>
      <c r="D10" s="41"/>
      <c r="E10" s="24">
        <f>+B10+C10+D10</f>
        <v>1200.4504918032787</v>
      </c>
      <c r="F10" s="43">
        <f>+B45-G10</f>
        <v>61.348852459016399</v>
      </c>
      <c r="G10" s="40"/>
      <c r="H10" s="26"/>
      <c r="I10" s="44">
        <f t="shared" si="0"/>
        <v>61.348852459016399</v>
      </c>
      <c r="J10" s="44">
        <f t="shared" si="1"/>
        <v>1139.1016393442624</v>
      </c>
      <c r="K10" s="27">
        <f>+'04-03-2025'!L10</f>
        <v>1200</v>
      </c>
      <c r="L10" s="28">
        <v>1140</v>
      </c>
      <c r="M10" s="42">
        <f t="shared" si="2"/>
        <v>61.348852459016399</v>
      </c>
      <c r="N10" s="42">
        <f>+C45</f>
        <v>15.25</v>
      </c>
      <c r="O10" s="45">
        <f t="shared" si="3"/>
        <v>935.57</v>
      </c>
      <c r="P10" s="30">
        <f t="shared" si="4"/>
        <v>0.89836065573763335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6627.4114350527361</v>
      </c>
      <c r="C11" s="21">
        <f t="shared" si="5"/>
        <v>0</v>
      </c>
      <c r="D11" s="21">
        <f t="shared" si="5"/>
        <v>0</v>
      </c>
      <c r="E11" s="21">
        <f t="shared" si="5"/>
        <v>6627.4114350527361</v>
      </c>
      <c r="F11" s="21">
        <f t="shared" si="5"/>
        <v>602.58890073044847</v>
      </c>
      <c r="G11" s="21">
        <f t="shared" si="5"/>
        <v>0</v>
      </c>
      <c r="H11" s="21">
        <f t="shared" si="5"/>
        <v>0</v>
      </c>
      <c r="I11" s="21">
        <f t="shared" si="5"/>
        <v>602.58890073044847</v>
      </c>
      <c r="J11" s="21">
        <f t="shared" si="5"/>
        <v>6024.8225343222884</v>
      </c>
      <c r="K11" s="27">
        <f t="shared" si="5"/>
        <v>6622.915731269346</v>
      </c>
      <c r="L11" s="21">
        <f t="shared" si="5"/>
        <v>6008.9718060357009</v>
      </c>
      <c r="M11" s="21">
        <f t="shared" si="5"/>
        <v>602.58890073044847</v>
      </c>
      <c r="N11" s="21"/>
      <c r="O11" s="21">
        <f>SUM(O7:O10)</f>
        <v>6966.3499999999995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602.58890073044847</v>
      </c>
      <c r="O14" s="65">
        <f>+O11</f>
        <v>6966.3499999999995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148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1104.46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492.6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0.28999999999905413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7.7826910928616826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6258.25/500</f>
        <v>12.516500000000001</v>
      </c>
      <c r="P29" s="97">
        <f>+N9-O29</f>
        <v>2.3635000000000002</v>
      </c>
      <c r="R29" s="48">
        <f>+P9*-1</f>
        <v>8.9663978494625098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+'03-03-2025'!I34</f>
        <v>-190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93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-0.89836065573763335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45721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-190</v>
      </c>
      <c r="J34" s="118" t="s">
        <v>58</v>
      </c>
      <c r="K34" s="125">
        <v>3727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795.92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1634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308.54000000000002</v>
      </c>
      <c r="C36" s="136">
        <v>492.6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45721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3727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1104.46</v>
      </c>
      <c r="C38" s="153">
        <f>SUM(C35:C37)</f>
        <v>492.6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5361</v>
      </c>
      <c r="L38" s="161" t="s">
        <v>29</v>
      </c>
      <c r="M38" s="162" t="s">
        <v>118</v>
      </c>
      <c r="N38" s="163">
        <f>+K35</f>
        <v>1634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1597.06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5361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79.445988629185095</v>
      </c>
      <c r="C42" s="184">
        <v>15.83</v>
      </c>
      <c r="D42" s="185">
        <v>1257.6300000000001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177.85013440860214</v>
      </c>
      <c r="C43" s="184">
        <v>14.88</v>
      </c>
      <c r="D43" s="185">
        <v>2646.41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61.348852459016399</v>
      </c>
      <c r="C45" s="184">
        <v>15.25</v>
      </c>
      <c r="D45" s="185">
        <v>935.57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283.94392523364485</v>
      </c>
      <c r="C46" s="184">
        <v>7.49</v>
      </c>
      <c r="D46" s="185">
        <v>2126.7399999999998</v>
      </c>
      <c r="E46" s="186"/>
      <c r="F46" s="212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602.58890073044859</v>
      </c>
      <c r="C47" s="216"/>
      <c r="D47" s="217">
        <f>SUM(D42:D46)</f>
        <v>6966.3499999999995</v>
      </c>
      <c r="E47" s="186"/>
      <c r="F47" s="218"/>
      <c r="G47" s="263">
        <f>(C36+K35+K37)-D46</f>
        <v>-0.13999999999987267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  <mergeCell ref="A13:B13"/>
    <mergeCell ref="H13:I13"/>
    <mergeCell ref="L13:M13"/>
    <mergeCell ref="A12:G12"/>
    <mergeCell ref="H12:K12"/>
    <mergeCell ref="L12:O12"/>
    <mergeCell ref="A14:B14"/>
    <mergeCell ref="H14:I14"/>
    <mergeCell ref="L14:M14"/>
    <mergeCell ref="A15:B15"/>
    <mergeCell ref="H15:I15"/>
    <mergeCell ref="L15:M15"/>
    <mergeCell ref="A16:B16"/>
    <mergeCell ref="H16:K16"/>
    <mergeCell ref="L16:M16"/>
    <mergeCell ref="A17:B17"/>
    <mergeCell ref="H17:I17"/>
    <mergeCell ref="J17:K17"/>
    <mergeCell ref="L17:N17"/>
    <mergeCell ref="A18:B18"/>
    <mergeCell ref="H18:I18"/>
    <mergeCell ref="J18:K18"/>
    <mergeCell ref="L18:N18"/>
    <mergeCell ref="A19:B19"/>
    <mergeCell ref="L19:N1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32:G32"/>
    <mergeCell ref="G41:K41"/>
    <mergeCell ref="L33:O33"/>
    <mergeCell ref="L34:O35"/>
    <mergeCell ref="H35:I35"/>
    <mergeCell ref="L36:M36"/>
    <mergeCell ref="L39:M39"/>
    <mergeCell ref="N39:O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F2AA-0BEC-46ED-892E-61FAD8615EA7}">
  <sheetPr>
    <pageSetUpPr fitToPage="1"/>
  </sheetPr>
  <dimension ref="A1:W141"/>
  <sheetViews>
    <sheetView topLeftCell="A13"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45722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65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+'05-03-2025'!J7</f>
        <v>3168.9718060357013</v>
      </c>
      <c r="C7" s="22">
        <f>K26+K27</f>
        <v>0</v>
      </c>
      <c r="D7" s="23"/>
      <c r="E7" s="24">
        <f>+B7+C7+D7</f>
        <v>3168.9718060357013</v>
      </c>
      <c r="F7" s="25">
        <f>B46-G7</f>
        <v>362.42456608811744</v>
      </c>
      <c r="G7" s="22"/>
      <c r="H7" s="26"/>
      <c r="I7" s="21">
        <f t="shared" ref="I7:I10" si="0">+F7+G7+H7</f>
        <v>362.42456608811744</v>
      </c>
      <c r="J7" s="21">
        <f t="shared" ref="J7:J10" si="1">+E7-I7</f>
        <v>2806.5472399475839</v>
      </c>
      <c r="K7" s="27">
        <f>+'05-03-2025'!L7</f>
        <v>3168.9718060357013</v>
      </c>
      <c r="L7" s="28">
        <v>2806.5472399475839</v>
      </c>
      <c r="M7" s="24">
        <f t="shared" ref="M7:M10" si="2">+F7</f>
        <v>362.42456608811744</v>
      </c>
      <c r="N7" s="24">
        <f>+C46</f>
        <v>7.49</v>
      </c>
      <c r="O7" s="29">
        <f t="shared" ref="O7:O10" si="3">+M7*N7</f>
        <v>2714.56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+'05-03-2025'!J8</f>
        <v>1007.7826910928617</v>
      </c>
      <c r="C8" s="22">
        <f>K28</f>
        <v>0</v>
      </c>
      <c r="D8" s="33"/>
      <c r="E8" s="24">
        <f>+B8+C8+D8</f>
        <v>1007.7826910928617</v>
      </c>
      <c r="F8" s="25">
        <f>+B42-G8</f>
        <v>58.788376500315856</v>
      </c>
      <c r="G8" s="22"/>
      <c r="H8" s="26"/>
      <c r="I8" s="21">
        <f t="shared" si="0"/>
        <v>58.788376500315856</v>
      </c>
      <c r="J8" s="21">
        <f t="shared" si="1"/>
        <v>948.99431459254583</v>
      </c>
      <c r="K8" s="27">
        <f>+'05-03-2025'!L8</f>
        <v>1000</v>
      </c>
      <c r="L8" s="28">
        <v>945</v>
      </c>
      <c r="M8" s="24">
        <f t="shared" si="2"/>
        <v>58.788376500315856</v>
      </c>
      <c r="N8" s="24">
        <f>+C42</f>
        <v>15.83</v>
      </c>
      <c r="O8" s="29">
        <f t="shared" si="3"/>
        <v>930.62</v>
      </c>
      <c r="P8" s="30">
        <f t="shared" si="4"/>
        <v>-3.9943145925458339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+'05-03-2025'!J9</f>
        <v>708.96639784946251</v>
      </c>
      <c r="C9" s="22">
        <f>K29</f>
        <v>0</v>
      </c>
      <c r="D9" s="33"/>
      <c r="E9" s="24">
        <f>+B9+C9+D9</f>
        <v>708.96639784946251</v>
      </c>
      <c r="F9" s="25">
        <f>+B43-G9</f>
        <v>244.44892473118279</v>
      </c>
      <c r="G9" s="22"/>
      <c r="H9" s="26"/>
      <c r="I9" s="21">
        <f t="shared" si="0"/>
        <v>244.44892473118279</v>
      </c>
      <c r="J9" s="21">
        <f t="shared" si="1"/>
        <v>464.51747311827972</v>
      </c>
      <c r="K9" s="27">
        <f>+'05-03-2025'!L9</f>
        <v>700</v>
      </c>
      <c r="L9" s="28">
        <v>460</v>
      </c>
      <c r="M9" s="24">
        <f t="shared" si="2"/>
        <v>244.44892473118279</v>
      </c>
      <c r="N9" s="24">
        <f>+C43</f>
        <v>14.88</v>
      </c>
      <c r="O9" s="29">
        <f t="shared" si="3"/>
        <v>3637.4</v>
      </c>
      <c r="P9" s="30">
        <f t="shared" si="4"/>
        <v>-4.5174731182797245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+'05-03-2025'!J10</f>
        <v>1139.1016393442624</v>
      </c>
      <c r="C10" s="40">
        <f>K31</f>
        <v>0</v>
      </c>
      <c r="D10" s="41"/>
      <c r="E10" s="24">
        <f>+B10+C10+D10</f>
        <v>1139.1016393442624</v>
      </c>
      <c r="F10" s="43">
        <f>+B45-G10</f>
        <v>105.92786885245903</v>
      </c>
      <c r="G10" s="40"/>
      <c r="H10" s="26"/>
      <c r="I10" s="44">
        <f t="shared" si="0"/>
        <v>105.92786885245903</v>
      </c>
      <c r="J10" s="44">
        <f t="shared" si="1"/>
        <v>1033.1737704918032</v>
      </c>
      <c r="K10" s="27">
        <f>+'05-03-2025'!L10</f>
        <v>1140</v>
      </c>
      <c r="L10" s="28">
        <v>1034</v>
      </c>
      <c r="M10" s="42">
        <f t="shared" si="2"/>
        <v>105.92786885245903</v>
      </c>
      <c r="N10" s="42">
        <f>+C45</f>
        <v>15.25</v>
      </c>
      <c r="O10" s="45">
        <f t="shared" si="3"/>
        <v>1615.4</v>
      </c>
      <c r="P10" s="30">
        <f t="shared" si="4"/>
        <v>0.82622950819677499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6024.8225343222884</v>
      </c>
      <c r="C11" s="21">
        <f t="shared" si="5"/>
        <v>0</v>
      </c>
      <c r="D11" s="21">
        <f t="shared" si="5"/>
        <v>0</v>
      </c>
      <c r="E11" s="21">
        <f t="shared" si="5"/>
        <v>6024.8225343222884</v>
      </c>
      <c r="F11" s="21">
        <f t="shared" si="5"/>
        <v>771.58973617207505</v>
      </c>
      <c r="G11" s="21">
        <f t="shared" si="5"/>
        <v>0</v>
      </c>
      <c r="H11" s="21">
        <f t="shared" si="5"/>
        <v>0</v>
      </c>
      <c r="I11" s="21">
        <f t="shared" si="5"/>
        <v>771.58973617207505</v>
      </c>
      <c r="J11" s="21">
        <f t="shared" si="5"/>
        <v>5253.2327981502131</v>
      </c>
      <c r="K11" s="27">
        <f t="shared" si="5"/>
        <v>6008.9718060357009</v>
      </c>
      <c r="L11" s="21">
        <f t="shared" si="5"/>
        <v>5245.5472399475839</v>
      </c>
      <c r="M11" s="21">
        <f t="shared" si="5"/>
        <v>771.58973617207505</v>
      </c>
      <c r="N11" s="21"/>
      <c r="O11" s="21">
        <f>SUM(O7:O10)</f>
        <v>8897.98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771.58973617207505</v>
      </c>
      <c r="O14" s="65">
        <f>+O11</f>
        <v>8897.98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151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1796.05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705.83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 t="s">
        <v>149</v>
      </c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2.1078000000006796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 t="s">
        <v>150</v>
      </c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50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3.9943145925458339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91</v>
      </c>
      <c r="O29" s="100">
        <f>6258.25/500</f>
        <v>12.516500000000001</v>
      </c>
      <c r="P29" s="97">
        <f>+N9-O29</f>
        <v>2.3635000000000002</v>
      </c>
      <c r="R29" s="48">
        <f>+P9*-1</f>
        <v>4.5174731182797245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+'03-03-2025'!I34</f>
        <v>-190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/>
      <c r="L31" s="94"/>
      <c r="M31" s="94"/>
      <c r="N31" s="95" t="s">
        <v>93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-0.82622950819677499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45722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-240</v>
      </c>
      <c r="J34" s="118" t="s">
        <v>58</v>
      </c>
      <c r="K34" s="125">
        <v>3312.9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1007.81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2006.7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788.24</v>
      </c>
      <c r="C36" s="136">
        <v>705.83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>
        <v>1000</v>
      </c>
      <c r="L36" s="281" t="s">
        <v>114</v>
      </c>
      <c r="M36" s="281"/>
      <c r="N36" s="140">
        <f>+K33</f>
        <v>45722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3312.9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1796.05</v>
      </c>
      <c r="C38" s="153">
        <f>SUM(C35:C37)</f>
        <v>705.83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6319.6</v>
      </c>
      <c r="L38" s="161" t="s">
        <v>29</v>
      </c>
      <c r="M38" s="162" t="s">
        <v>118</v>
      </c>
      <c r="N38" s="163">
        <f>+K35</f>
        <v>2006.7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2501.88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5319.6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58.788376500315856</v>
      </c>
      <c r="C42" s="184">
        <v>15.83</v>
      </c>
      <c r="D42" s="185">
        <v>930.62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244.44892473118279</v>
      </c>
      <c r="C43" s="184">
        <v>14.88</v>
      </c>
      <c r="D43" s="185">
        <v>3637.4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105.92786885245903</v>
      </c>
      <c r="C45" s="184">
        <v>15.25</v>
      </c>
      <c r="D45" s="185">
        <v>1615.4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362.42456608811744</v>
      </c>
      <c r="C46" s="184">
        <v>7.49</v>
      </c>
      <c r="D46" s="185">
        <v>2714.56</v>
      </c>
      <c r="E46" s="186"/>
      <c r="F46" s="212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771.58973617207516</v>
      </c>
      <c r="C47" s="216"/>
      <c r="D47" s="217">
        <f>SUM(D42:D46)</f>
        <v>8897.98</v>
      </c>
      <c r="E47" s="186"/>
      <c r="F47" s="218"/>
      <c r="G47" s="263">
        <f>(C36+K35+K37)-D46</f>
        <v>-2.0299999999997453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9E28-432C-4950-B530-10D6389615BF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45723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66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+'06-03-2025'!J7</f>
        <v>2806.5472399475839</v>
      </c>
      <c r="C7" s="22">
        <f>K26+K27</f>
        <v>0</v>
      </c>
      <c r="D7" s="23"/>
      <c r="E7" s="24">
        <f>+B7+C7+D7</f>
        <v>2806.5472399475839</v>
      </c>
      <c r="F7" s="25">
        <f>B46-G7</f>
        <v>305.85981308411215</v>
      </c>
      <c r="G7" s="22"/>
      <c r="H7" s="26"/>
      <c r="I7" s="21">
        <f t="shared" ref="I7:I10" si="0">+F7+G7+H7</f>
        <v>305.85981308411215</v>
      </c>
      <c r="J7" s="21">
        <f t="shared" ref="J7:J10" si="1">+E7-I7</f>
        <v>2500.687426863472</v>
      </c>
      <c r="K7" s="27">
        <f>+'06-03-2025'!L7</f>
        <v>2806.5472399475839</v>
      </c>
      <c r="L7" s="28">
        <v>2500.687426863472</v>
      </c>
      <c r="M7" s="24">
        <f t="shared" ref="M7:M10" si="2">+F7</f>
        <v>305.85981308411215</v>
      </c>
      <c r="N7" s="24">
        <f>+C46</f>
        <v>7.49</v>
      </c>
      <c r="O7" s="29">
        <f t="shared" ref="O7:O10" si="3">+M7*N7</f>
        <v>2290.89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+'06-03-2025'!J8</f>
        <v>948.99431459254583</v>
      </c>
      <c r="C8" s="22">
        <f>K28</f>
        <v>0</v>
      </c>
      <c r="D8" s="33"/>
      <c r="E8" s="24">
        <f>+B8+C8+D8</f>
        <v>948.99431459254583</v>
      </c>
      <c r="F8" s="25">
        <f>+B42-G8</f>
        <v>111.53885028427038</v>
      </c>
      <c r="G8" s="22"/>
      <c r="H8" s="26"/>
      <c r="I8" s="21">
        <f t="shared" si="0"/>
        <v>111.53885028427038</v>
      </c>
      <c r="J8" s="21">
        <f t="shared" si="1"/>
        <v>837.4554643082754</v>
      </c>
      <c r="K8" s="27">
        <f>+'06-03-2025'!L8</f>
        <v>945</v>
      </c>
      <c r="L8" s="28">
        <v>835</v>
      </c>
      <c r="M8" s="24">
        <f t="shared" si="2"/>
        <v>111.53885028427038</v>
      </c>
      <c r="N8" s="24">
        <f>+C42</f>
        <v>15.83</v>
      </c>
      <c r="O8" s="29">
        <f t="shared" si="3"/>
        <v>1765.66</v>
      </c>
      <c r="P8" s="30">
        <f t="shared" si="4"/>
        <v>-2.4554643082753955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+'06-03-2025'!J9</f>
        <v>464.51747311827972</v>
      </c>
      <c r="C9" s="22">
        <f>K29</f>
        <v>1150</v>
      </c>
      <c r="D9" s="33"/>
      <c r="E9" s="24">
        <f>+B9+C9+D9</f>
        <v>1614.5174731182797</v>
      </c>
      <c r="F9" s="25">
        <f>+B43-G9</f>
        <v>132.18413978494624</v>
      </c>
      <c r="G9" s="22"/>
      <c r="H9" s="26"/>
      <c r="I9" s="21">
        <f t="shared" si="0"/>
        <v>132.18413978494624</v>
      </c>
      <c r="J9" s="21">
        <f t="shared" si="1"/>
        <v>1482.3333333333335</v>
      </c>
      <c r="K9" s="27">
        <f>+'06-03-2025'!L9</f>
        <v>460</v>
      </c>
      <c r="L9" s="28">
        <v>1480</v>
      </c>
      <c r="M9" s="24">
        <f t="shared" si="2"/>
        <v>132.18413978494624</v>
      </c>
      <c r="N9" s="24">
        <f>+C43</f>
        <v>14.88</v>
      </c>
      <c r="O9" s="29">
        <f t="shared" si="3"/>
        <v>1966.9</v>
      </c>
      <c r="P9" s="30">
        <f t="shared" si="4"/>
        <v>-2.3333333333334849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+'06-03-2025'!J10</f>
        <v>1033.1737704918032</v>
      </c>
      <c r="C10" s="40">
        <f>K31</f>
        <v>1050</v>
      </c>
      <c r="D10" s="41"/>
      <c r="E10" s="24">
        <f>+B10+C10+D10</f>
        <v>2083.1737704918032</v>
      </c>
      <c r="F10" s="43">
        <f>+B45-G10</f>
        <v>73.771803278688523</v>
      </c>
      <c r="G10" s="40"/>
      <c r="H10" s="26"/>
      <c r="I10" s="44">
        <f t="shared" si="0"/>
        <v>73.771803278688523</v>
      </c>
      <c r="J10" s="44">
        <f t="shared" si="1"/>
        <v>2009.4019672131146</v>
      </c>
      <c r="K10" s="27">
        <f>+'06-03-2025'!L10</f>
        <v>1034</v>
      </c>
      <c r="L10" s="28">
        <v>2010</v>
      </c>
      <c r="M10" s="42">
        <f t="shared" si="2"/>
        <v>73.771803278688523</v>
      </c>
      <c r="N10" s="42">
        <f>+C45</f>
        <v>15.25</v>
      </c>
      <c r="O10" s="45">
        <f t="shared" si="3"/>
        <v>1125.02</v>
      </c>
      <c r="P10" s="30">
        <f t="shared" si="4"/>
        <v>0.59803278688536921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5253.2327981502131</v>
      </c>
      <c r="C11" s="21">
        <f t="shared" si="5"/>
        <v>2200</v>
      </c>
      <c r="D11" s="21">
        <f t="shared" si="5"/>
        <v>0</v>
      </c>
      <c r="E11" s="21">
        <f t="shared" si="5"/>
        <v>7453.2327981502131</v>
      </c>
      <c r="F11" s="21">
        <f t="shared" si="5"/>
        <v>623.35460643201725</v>
      </c>
      <c r="G11" s="21">
        <f t="shared" si="5"/>
        <v>0</v>
      </c>
      <c r="H11" s="21">
        <f t="shared" si="5"/>
        <v>0</v>
      </c>
      <c r="I11" s="21">
        <f t="shared" si="5"/>
        <v>623.35460643201725</v>
      </c>
      <c r="J11" s="21">
        <f t="shared" si="5"/>
        <v>6829.878191718195</v>
      </c>
      <c r="K11" s="27">
        <f t="shared" si="5"/>
        <v>5245.5472399475839</v>
      </c>
      <c r="L11" s="21">
        <f t="shared" si="5"/>
        <v>6825.687426863472</v>
      </c>
      <c r="M11" s="21">
        <f t="shared" si="5"/>
        <v>623.35460643201725</v>
      </c>
      <c r="N11" s="21"/>
      <c r="O11" s="21">
        <f>SUM(O7:O10)</f>
        <v>7148.4700000000012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623.35460643201725</v>
      </c>
      <c r="O14" s="65">
        <f>+O11</f>
        <v>7148.4700000000012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/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1358.52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675.21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0.24000000000160071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25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2.4554643082753955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>
        <v>1150</v>
      </c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2.3333333333334849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+'06-03-2025'!I34</f>
        <v>-240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25</v>
      </c>
      <c r="J31" s="106" t="s">
        <v>33</v>
      </c>
      <c r="K31" s="92">
        <v>1050</v>
      </c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-0.59803278688536921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45723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-265</v>
      </c>
      <c r="J34" s="118" t="s">
        <v>58</v>
      </c>
      <c r="K34" s="125">
        <v>3474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1263.52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1615.5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95</v>
      </c>
      <c r="C36" s="136">
        <v>675.21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45723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3474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1358.52</v>
      </c>
      <c r="C38" s="153">
        <f>SUM(C35:C37)</f>
        <v>675.21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5089.5</v>
      </c>
      <c r="L38" s="161" t="s">
        <v>29</v>
      </c>
      <c r="M38" s="162" t="s">
        <v>118</v>
      </c>
      <c r="N38" s="163">
        <f>+K35</f>
        <v>1615.5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2033.73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5089.5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111.53885028427038</v>
      </c>
      <c r="C42" s="184">
        <v>15.83</v>
      </c>
      <c r="D42" s="185">
        <v>1765.66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132.18413978494624</v>
      </c>
      <c r="C43" s="184">
        <v>14.88</v>
      </c>
      <c r="D43" s="185">
        <v>1966.9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73.771803278688523</v>
      </c>
      <c r="C45" s="184">
        <v>15.25</v>
      </c>
      <c r="D45" s="185">
        <v>1125.02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305.85981308411215</v>
      </c>
      <c r="C46" s="184">
        <v>7.49</v>
      </c>
      <c r="D46" s="185">
        <v>2290.89</v>
      </c>
      <c r="E46" s="186"/>
      <c r="F46" s="212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623.35460643201736</v>
      </c>
      <c r="C47" s="216"/>
      <c r="D47" s="217">
        <f>SUM(D42:D46)</f>
        <v>7148.4699999999993</v>
      </c>
      <c r="E47" s="186"/>
      <c r="F47" s="218"/>
      <c r="G47" s="263">
        <f>(C36+K35+K37)-D46</f>
        <v>-0.17999999999983629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9625-B3C1-4FDC-A2AB-52757096CB6F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45724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67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+'07-03-2025'!J7</f>
        <v>2500.687426863472</v>
      </c>
      <c r="C7" s="22">
        <f>K26+K27</f>
        <v>0</v>
      </c>
      <c r="D7" s="23"/>
      <c r="E7" s="24">
        <f>+B7+C7+D7</f>
        <v>2500.687426863472</v>
      </c>
      <c r="F7" s="25">
        <f>B46-G7</f>
        <v>407.27503337783708</v>
      </c>
      <c r="G7" s="22"/>
      <c r="H7" s="26"/>
      <c r="I7" s="21">
        <f t="shared" ref="I7:I10" si="0">+F7+G7+H7</f>
        <v>407.27503337783708</v>
      </c>
      <c r="J7" s="21">
        <f t="shared" ref="J7:J10" si="1">+E7-I7</f>
        <v>2093.4123934856348</v>
      </c>
      <c r="K7" s="27">
        <f>+'07-03-2025'!L7</f>
        <v>2500.687426863472</v>
      </c>
      <c r="L7" s="28">
        <v>2093.4123934856348</v>
      </c>
      <c r="M7" s="24">
        <f t="shared" ref="M7:M10" si="2">+F7</f>
        <v>407.27503337783708</v>
      </c>
      <c r="N7" s="24">
        <f>+C46</f>
        <v>7.49</v>
      </c>
      <c r="O7" s="29">
        <f t="shared" ref="O7:O10" si="3">+M7*N7</f>
        <v>3050.49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+'07-03-2025'!J8</f>
        <v>837.4554643082754</v>
      </c>
      <c r="C8" s="22">
        <f>K28</f>
        <v>0</v>
      </c>
      <c r="D8" s="33"/>
      <c r="E8" s="24">
        <f>+B8+C8+D8</f>
        <v>837.4554643082754</v>
      </c>
      <c r="F8" s="25">
        <f>+B42-G8</f>
        <v>146.31711939355654</v>
      </c>
      <c r="G8" s="22"/>
      <c r="H8" s="26"/>
      <c r="I8" s="21">
        <f t="shared" si="0"/>
        <v>146.31711939355654</v>
      </c>
      <c r="J8" s="21">
        <f t="shared" si="1"/>
        <v>691.1383449147188</v>
      </c>
      <c r="K8" s="27">
        <f>+'07-03-2025'!L8</f>
        <v>835</v>
      </c>
      <c r="L8" s="28">
        <v>685</v>
      </c>
      <c r="M8" s="24">
        <f t="shared" si="2"/>
        <v>146.31711939355654</v>
      </c>
      <c r="N8" s="24">
        <f>+C42</f>
        <v>15.83</v>
      </c>
      <c r="O8" s="29">
        <f t="shared" si="3"/>
        <v>2316.1999999999998</v>
      </c>
      <c r="P8" s="30">
        <f t="shared" si="4"/>
        <v>-6.1383449147188003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+'07-03-2025'!J9</f>
        <v>1482.3333333333335</v>
      </c>
      <c r="C9" s="22">
        <f>K29</f>
        <v>0</v>
      </c>
      <c r="D9" s="33"/>
      <c r="E9" s="24">
        <f>+B9+C9+D9</f>
        <v>1482.3333333333335</v>
      </c>
      <c r="F9" s="25">
        <f>+B43-G9</f>
        <v>180.96841397849462</v>
      </c>
      <c r="G9" s="22"/>
      <c r="H9" s="26"/>
      <c r="I9" s="21">
        <f t="shared" si="0"/>
        <v>180.96841397849462</v>
      </c>
      <c r="J9" s="21">
        <f t="shared" si="1"/>
        <v>1301.3649193548388</v>
      </c>
      <c r="K9" s="27">
        <f>+'07-03-2025'!L9</f>
        <v>1480</v>
      </c>
      <c r="L9" s="28">
        <v>1295</v>
      </c>
      <c r="M9" s="24">
        <f t="shared" si="2"/>
        <v>180.96841397849462</v>
      </c>
      <c r="N9" s="24">
        <f>+C43</f>
        <v>14.88</v>
      </c>
      <c r="O9" s="29">
        <f t="shared" si="3"/>
        <v>2692.81</v>
      </c>
      <c r="P9" s="30">
        <f t="shared" si="4"/>
        <v>-6.3649193548387757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+'07-03-2025'!J10</f>
        <v>2009.4019672131146</v>
      </c>
      <c r="C10" s="40">
        <f>K31</f>
        <v>0</v>
      </c>
      <c r="D10" s="41"/>
      <c r="E10" s="24">
        <f>+B10+C10+D10</f>
        <v>2009.4019672131146</v>
      </c>
      <c r="F10" s="43">
        <f>+B45-G10</f>
        <v>112.99081967213114</v>
      </c>
      <c r="G10" s="40"/>
      <c r="H10" s="26"/>
      <c r="I10" s="44">
        <f t="shared" si="0"/>
        <v>112.99081967213114</v>
      </c>
      <c r="J10" s="44">
        <f t="shared" si="1"/>
        <v>1896.4111475409834</v>
      </c>
      <c r="K10" s="27">
        <f>+'07-03-2025'!L10</f>
        <v>2010</v>
      </c>
      <c r="L10" s="28">
        <v>1897</v>
      </c>
      <c r="M10" s="42">
        <f t="shared" si="2"/>
        <v>112.99081967213114</v>
      </c>
      <c r="N10" s="42">
        <f>+C45</f>
        <v>15.25</v>
      </c>
      <c r="O10" s="45">
        <f t="shared" si="3"/>
        <v>1723.11</v>
      </c>
      <c r="P10" s="30">
        <f t="shared" si="4"/>
        <v>0.5888524590166071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6829.878191718195</v>
      </c>
      <c r="C11" s="21">
        <f t="shared" si="5"/>
        <v>0</v>
      </c>
      <c r="D11" s="21">
        <f t="shared" si="5"/>
        <v>0</v>
      </c>
      <c r="E11" s="21">
        <f t="shared" si="5"/>
        <v>6829.878191718195</v>
      </c>
      <c r="F11" s="21">
        <f t="shared" si="5"/>
        <v>847.55138642201928</v>
      </c>
      <c r="G11" s="21">
        <f t="shared" si="5"/>
        <v>0</v>
      </c>
      <c r="H11" s="21">
        <f t="shared" si="5"/>
        <v>0</v>
      </c>
      <c r="I11" s="21">
        <f t="shared" si="5"/>
        <v>847.55138642201928</v>
      </c>
      <c r="J11" s="21">
        <f t="shared" si="5"/>
        <v>5982.3268052961757</v>
      </c>
      <c r="K11" s="27">
        <f t="shared" si="5"/>
        <v>6825.687426863472</v>
      </c>
      <c r="L11" s="21">
        <f t="shared" si="5"/>
        <v>5970.4123934856343</v>
      </c>
      <c r="M11" s="21">
        <f t="shared" si="5"/>
        <v>847.55138642201928</v>
      </c>
      <c r="N11" s="21"/>
      <c r="O11" s="21">
        <f>SUM(O7:O10)</f>
        <v>9782.61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847.55138642201928</v>
      </c>
      <c r="O14" s="65">
        <f>+O11</f>
        <v>9782.61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152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2185.48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613.84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0.25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>
        <v>393.04</v>
      </c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443.04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4494.5404099999996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6.1383449147188003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6.3649193548387757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+'07-03-2025'!I34</f>
        <v>-265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>
        <v>50</v>
      </c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-0.5888524590166071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45724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-315</v>
      </c>
      <c r="J34" s="118" t="s">
        <v>58</v>
      </c>
      <c r="K34" s="125">
        <v>4099.5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1702.72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2436.5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482.76</v>
      </c>
      <c r="C36" s="136">
        <v>613.84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45724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4099.5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2185.48</v>
      </c>
      <c r="C38" s="153">
        <f>SUM(C35:C37)</f>
        <v>613.84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6536</v>
      </c>
      <c r="L38" s="161" t="s">
        <v>29</v>
      </c>
      <c r="M38" s="162" t="s">
        <v>118</v>
      </c>
      <c r="N38" s="163">
        <f>+K35</f>
        <v>2436.5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2799.32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6536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0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146.31711939355654</v>
      </c>
      <c r="C42" s="184">
        <v>15.83</v>
      </c>
      <c r="D42" s="185">
        <v>2316.1999999999998</v>
      </c>
      <c r="E42" s="186"/>
      <c r="F42" s="186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180.96841397849462</v>
      </c>
      <c r="C43" s="184">
        <v>14.88</v>
      </c>
      <c r="D43" s="185">
        <v>2692.81</v>
      </c>
      <c r="E43" s="186"/>
      <c r="F43" s="186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6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112.99081967213114</v>
      </c>
      <c r="C45" s="184">
        <v>15.25</v>
      </c>
      <c r="D45" s="185">
        <v>1723.11</v>
      </c>
      <c r="E45" s="186"/>
      <c r="F45" s="186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407.27503337783708</v>
      </c>
      <c r="C46" s="184">
        <v>7.49</v>
      </c>
      <c r="D46" s="185">
        <v>3050.49</v>
      </c>
      <c r="E46" s="186"/>
      <c r="F46" s="212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847.55138642201939</v>
      </c>
      <c r="C47" s="216"/>
      <c r="D47" s="217">
        <f>SUM(D42:D46)</f>
        <v>9782.61</v>
      </c>
      <c r="E47" s="186"/>
      <c r="F47" s="218"/>
      <c r="G47" s="263">
        <f>(C36+K35+K37)-D46</f>
        <v>-0.1499999999996362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224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226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224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224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2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224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24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24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24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24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24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24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24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24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EDA2-B9F4-4960-B428-1D7013679483}">
  <sheetPr>
    <pageSetUpPr fitToPage="1"/>
  </sheetPr>
  <dimension ref="A1:W141"/>
  <sheetViews>
    <sheetView zoomScale="90" zoomScaleNormal="90" workbookViewId="0">
      <selection activeCell="E4" sqref="E1:E1048576"/>
    </sheetView>
  </sheetViews>
  <sheetFormatPr baseColWidth="10" defaultColWidth="11.44140625" defaultRowHeight="14.4" x14ac:dyDescent="0.3"/>
  <cols>
    <col min="1" max="1" width="10.6640625" style="3" customWidth="1"/>
    <col min="2" max="2" width="14.5546875" style="3" customWidth="1"/>
    <col min="3" max="3" width="11.88671875" style="3" customWidth="1"/>
    <col min="4" max="4" width="12.33203125" style="3" customWidth="1"/>
    <col min="5" max="5" width="12.6640625" style="3" customWidth="1"/>
    <col min="6" max="6" width="11.33203125" style="3" customWidth="1"/>
    <col min="7" max="7" width="12" style="3" customWidth="1"/>
    <col min="8" max="8" width="12.109375" style="3" customWidth="1"/>
    <col min="9" max="9" width="11.44140625" style="3" customWidth="1"/>
    <col min="10" max="10" width="12.109375" style="3" bestFit="1" customWidth="1"/>
    <col min="11" max="11" width="13.33203125" style="3" bestFit="1" customWidth="1"/>
    <col min="12" max="12" width="12.44140625" style="3" customWidth="1"/>
    <col min="13" max="13" width="14.6640625" style="3" customWidth="1"/>
    <col min="14" max="14" width="15" style="3" customWidth="1"/>
    <col min="15" max="15" width="16" style="3" customWidth="1"/>
    <col min="16" max="16" width="11.44140625" style="70" bestFit="1" customWidth="1"/>
    <col min="17" max="17" width="3.44140625" style="3" customWidth="1"/>
    <col min="18" max="18" width="13.109375" style="3" customWidth="1"/>
    <col min="19" max="19" width="12" style="3" bestFit="1" customWidth="1"/>
    <col min="20" max="16384" width="11.44140625" style="3"/>
  </cols>
  <sheetData>
    <row r="1" spans="1:23" x14ac:dyDescent="0.3">
      <c r="A1" s="336" t="s">
        <v>0</v>
      </c>
      <c r="B1" s="337"/>
      <c r="C1" s="337"/>
      <c r="D1" s="337"/>
      <c r="E1" s="337"/>
      <c r="F1" s="337"/>
      <c r="G1" s="338"/>
      <c r="H1" s="345" t="s">
        <v>1</v>
      </c>
      <c r="I1" s="346"/>
      <c r="J1" s="345" t="s">
        <v>2</v>
      </c>
      <c r="K1" s="347"/>
      <c r="L1" s="346"/>
      <c r="M1" s="1" t="s">
        <v>3</v>
      </c>
      <c r="N1" s="348">
        <v>38</v>
      </c>
      <c r="O1" s="349"/>
      <c r="P1" s="2"/>
    </row>
    <row r="2" spans="1:23" x14ac:dyDescent="0.3">
      <c r="A2" s="339"/>
      <c r="B2" s="340"/>
      <c r="C2" s="340"/>
      <c r="D2" s="340"/>
      <c r="E2" s="340"/>
      <c r="F2" s="340"/>
      <c r="G2" s="341"/>
      <c r="H2" s="350" t="s">
        <v>4</v>
      </c>
      <c r="I2" s="351"/>
      <c r="J2" s="350" t="s">
        <v>5</v>
      </c>
      <c r="K2" s="352"/>
      <c r="L2" s="351"/>
      <c r="M2" s="4" t="s">
        <v>6</v>
      </c>
      <c r="N2" s="353">
        <v>45725</v>
      </c>
      <c r="O2" s="354"/>
      <c r="P2" s="5">
        <v>45658</v>
      </c>
    </row>
    <row r="3" spans="1:23" ht="15" thickBot="1" x14ac:dyDescent="0.35">
      <c r="A3" s="342"/>
      <c r="B3" s="343"/>
      <c r="C3" s="343"/>
      <c r="D3" s="343"/>
      <c r="E3" s="343"/>
      <c r="F3" s="343"/>
      <c r="G3" s="344"/>
      <c r="H3" s="355" t="s">
        <v>7</v>
      </c>
      <c r="I3" s="356"/>
      <c r="J3" s="355" t="s">
        <v>8</v>
      </c>
      <c r="K3" s="357"/>
      <c r="L3" s="356"/>
      <c r="M3" s="6" t="s">
        <v>9</v>
      </c>
      <c r="N3" s="358">
        <f>+N2-P2+1</f>
        <v>68</v>
      </c>
      <c r="O3" s="359"/>
      <c r="P3" s="5">
        <v>44197</v>
      </c>
      <c r="Q3" s="7"/>
    </row>
    <row r="4" spans="1:23" ht="15" thickBot="1" x14ac:dyDescent="0.3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32" t="e">
        <f>INT(P2-N2)&amp;"días "&amp;TEXT(P2-N2,"h"" hrs ""m"" min ""s"" seg""")</f>
        <v>#VALUE!</v>
      </c>
      <c r="O4" s="333"/>
      <c r="P4" s="2"/>
    </row>
    <row r="5" spans="1:23" s="13" customFormat="1" x14ac:dyDescent="0.3">
      <c r="A5" s="10" t="s">
        <v>10</v>
      </c>
      <c r="B5" s="11" t="s">
        <v>11</v>
      </c>
      <c r="C5" s="334" t="s">
        <v>12</v>
      </c>
      <c r="D5" s="330"/>
      <c r="E5" s="335"/>
      <c r="F5" s="334" t="s">
        <v>13</v>
      </c>
      <c r="G5" s="330"/>
      <c r="H5" s="330"/>
      <c r="I5" s="335"/>
      <c r="J5" s="11" t="s">
        <v>11</v>
      </c>
      <c r="K5" s="334" t="s">
        <v>14</v>
      </c>
      <c r="L5" s="335"/>
      <c r="M5" s="334" t="s">
        <v>15</v>
      </c>
      <c r="N5" s="330"/>
      <c r="O5" s="331"/>
      <c r="P5" s="12"/>
    </row>
    <row r="6" spans="1:23" s="13" customFormat="1" ht="20.399999999999999" x14ac:dyDescent="0.3">
      <c r="A6" s="14" t="s">
        <v>16</v>
      </c>
      <c r="B6" s="15" t="s">
        <v>17</v>
      </c>
      <c r="C6" s="16" t="s">
        <v>18</v>
      </c>
      <c r="D6" s="16" t="s">
        <v>19</v>
      </c>
      <c r="E6" s="16" t="s">
        <v>21</v>
      </c>
      <c r="F6" s="16" t="s">
        <v>22</v>
      </c>
      <c r="G6" s="16" t="s">
        <v>19</v>
      </c>
      <c r="H6" s="16" t="s">
        <v>20</v>
      </c>
      <c r="I6" s="16" t="s">
        <v>23</v>
      </c>
      <c r="J6" s="15" t="s">
        <v>24</v>
      </c>
      <c r="K6" s="16" t="s">
        <v>17</v>
      </c>
      <c r="L6" s="16" t="s">
        <v>24</v>
      </c>
      <c r="M6" s="16" t="s">
        <v>25</v>
      </c>
      <c r="N6" s="16" t="s">
        <v>26</v>
      </c>
      <c r="O6" s="17" t="s">
        <v>27</v>
      </c>
      <c r="P6" s="18" t="s">
        <v>28</v>
      </c>
      <c r="Q6" s="19"/>
    </row>
    <row r="7" spans="1:23" s="31" customFormat="1" ht="15" customHeight="1" x14ac:dyDescent="0.3">
      <c r="A7" s="20" t="s">
        <v>29</v>
      </c>
      <c r="B7" s="21">
        <f>+'08-03-2025'!J7</f>
        <v>2093.4123934856348</v>
      </c>
      <c r="C7" s="22">
        <f>K26+K27</f>
        <v>0</v>
      </c>
      <c r="D7" s="23"/>
      <c r="E7" s="24">
        <f>+B7+C7+D7</f>
        <v>2093.4123934856348</v>
      </c>
      <c r="F7" s="25">
        <f>B46-G7</f>
        <v>251.17222963951934</v>
      </c>
      <c r="G7" s="22"/>
      <c r="H7" s="26"/>
      <c r="I7" s="21">
        <f t="shared" ref="I7:I10" si="0">+F7+G7+H7</f>
        <v>251.17222963951934</v>
      </c>
      <c r="J7" s="21">
        <f t="shared" ref="J7:J10" si="1">+E7-I7</f>
        <v>1842.2401638461154</v>
      </c>
      <c r="K7" s="27">
        <f>+'08-03-2025'!L7</f>
        <v>2093.4123934856348</v>
      </c>
      <c r="L7" s="28">
        <v>1842.2401638461154</v>
      </c>
      <c r="M7" s="24">
        <f t="shared" ref="M7:M10" si="2">+F7</f>
        <v>251.17222963951934</v>
      </c>
      <c r="N7" s="24">
        <f>+C46</f>
        <v>7.49</v>
      </c>
      <c r="O7" s="29">
        <f t="shared" ref="O7:O10" si="3">+M7*N7</f>
        <v>1881.28</v>
      </c>
      <c r="P7" s="30">
        <f t="shared" ref="P7:P10" si="4">(L7-J7)</f>
        <v>0</v>
      </c>
      <c r="R7" s="32"/>
      <c r="S7" s="32"/>
      <c r="T7" s="32"/>
      <c r="U7" s="32"/>
      <c r="V7" s="32"/>
      <c r="W7" s="32"/>
    </row>
    <row r="8" spans="1:23" s="31" customFormat="1" x14ac:dyDescent="0.3">
      <c r="A8" s="20" t="s">
        <v>30</v>
      </c>
      <c r="B8" s="21">
        <f>+'08-03-2025'!J8</f>
        <v>691.1383449147188</v>
      </c>
      <c r="C8" s="22">
        <f>K28</f>
        <v>0</v>
      </c>
      <c r="D8" s="33"/>
      <c r="E8" s="24">
        <f>+B8+C8+D8</f>
        <v>691.1383449147188</v>
      </c>
      <c r="F8" s="25">
        <f>+B42-G8</f>
        <v>72.363866077068849</v>
      </c>
      <c r="G8" s="22"/>
      <c r="H8" s="26"/>
      <c r="I8" s="21">
        <f t="shared" si="0"/>
        <v>72.363866077068849</v>
      </c>
      <c r="J8" s="21">
        <f t="shared" si="1"/>
        <v>618.77447883764989</v>
      </c>
      <c r="K8" s="27">
        <f>+'08-03-2025'!L8</f>
        <v>685</v>
      </c>
      <c r="L8" s="28">
        <v>610</v>
      </c>
      <c r="M8" s="24">
        <f t="shared" si="2"/>
        <v>72.363866077068849</v>
      </c>
      <c r="N8" s="24">
        <f>+C42</f>
        <v>15.83</v>
      </c>
      <c r="O8" s="29">
        <f t="shared" si="3"/>
        <v>1145.52</v>
      </c>
      <c r="P8" s="30">
        <f t="shared" si="4"/>
        <v>-8.7744788376498946</v>
      </c>
      <c r="R8" s="32"/>
      <c r="S8" s="35">
        <v>150</v>
      </c>
      <c r="T8" s="32"/>
      <c r="U8" s="32"/>
      <c r="V8" s="36"/>
      <c r="W8" s="36"/>
    </row>
    <row r="9" spans="1:23" s="31" customFormat="1" x14ac:dyDescent="0.3">
      <c r="A9" s="37" t="s">
        <v>31</v>
      </c>
      <c r="B9" s="21">
        <f>+'08-03-2025'!J9</f>
        <v>1301.3649193548388</v>
      </c>
      <c r="C9" s="22">
        <f>K29</f>
        <v>0</v>
      </c>
      <c r="D9" s="33"/>
      <c r="E9" s="24">
        <f>+B9+C9+D9</f>
        <v>1301.3649193548388</v>
      </c>
      <c r="F9" s="25">
        <f>+B43-G9</f>
        <v>106.34005376344085</v>
      </c>
      <c r="G9" s="22"/>
      <c r="H9" s="26"/>
      <c r="I9" s="21">
        <f t="shared" si="0"/>
        <v>106.34005376344085</v>
      </c>
      <c r="J9" s="21">
        <f t="shared" si="1"/>
        <v>1195.0248655913979</v>
      </c>
      <c r="K9" s="27">
        <f>+'08-03-2025'!L9</f>
        <v>1295</v>
      </c>
      <c r="L9" s="28">
        <v>1190</v>
      </c>
      <c r="M9" s="24">
        <f t="shared" si="2"/>
        <v>106.34005376344085</v>
      </c>
      <c r="N9" s="24">
        <f>+C43</f>
        <v>14.88</v>
      </c>
      <c r="O9" s="29">
        <f t="shared" si="3"/>
        <v>1582.34</v>
      </c>
      <c r="P9" s="30">
        <f t="shared" si="4"/>
        <v>-5.0248655913978837</v>
      </c>
      <c r="Q9" s="34"/>
      <c r="R9" s="32"/>
      <c r="S9" s="38">
        <v>160</v>
      </c>
    </row>
    <row r="10" spans="1:23" s="31" customFormat="1" ht="15" thickBot="1" x14ac:dyDescent="0.35">
      <c r="A10" s="39" t="s">
        <v>197</v>
      </c>
      <c r="B10" s="21">
        <f>+'08-03-2025'!J10</f>
        <v>1896.4111475409834</v>
      </c>
      <c r="C10" s="40">
        <f>K31</f>
        <v>0</v>
      </c>
      <c r="D10" s="41"/>
      <c r="E10" s="24">
        <f>+B10+C10+D10</f>
        <v>1896.4111475409834</v>
      </c>
      <c r="F10" s="43">
        <f>+B45-G10</f>
        <v>52.856393442622945</v>
      </c>
      <c r="G10" s="40"/>
      <c r="H10" s="26"/>
      <c r="I10" s="44">
        <f t="shared" si="0"/>
        <v>52.856393442622945</v>
      </c>
      <c r="J10" s="44">
        <f t="shared" si="1"/>
        <v>1843.5547540983605</v>
      </c>
      <c r="K10" s="27">
        <f>+'08-03-2025'!L10</f>
        <v>1897</v>
      </c>
      <c r="L10" s="28">
        <v>1845</v>
      </c>
      <c r="M10" s="42">
        <f t="shared" si="2"/>
        <v>52.856393442622945</v>
      </c>
      <c r="N10" s="42">
        <f>+C45</f>
        <v>15.25</v>
      </c>
      <c r="O10" s="45">
        <f t="shared" si="3"/>
        <v>806.06</v>
      </c>
      <c r="P10" s="30">
        <f t="shared" si="4"/>
        <v>1.4452459016395096</v>
      </c>
      <c r="Q10" s="34"/>
      <c r="R10" s="32"/>
      <c r="S10" s="38">
        <v>190</v>
      </c>
    </row>
    <row r="11" spans="1:23" s="31" customFormat="1" ht="15" thickBot="1" x14ac:dyDescent="0.35">
      <c r="A11" s="46" t="s">
        <v>34</v>
      </c>
      <c r="B11" s="21">
        <f t="shared" ref="B11:M11" si="5">SUM(B7:B10)</f>
        <v>5982.3268052961757</v>
      </c>
      <c r="C11" s="21">
        <f t="shared" si="5"/>
        <v>0</v>
      </c>
      <c r="D11" s="21">
        <f t="shared" si="5"/>
        <v>0</v>
      </c>
      <c r="E11" s="21">
        <f t="shared" si="5"/>
        <v>5982.3268052961757</v>
      </c>
      <c r="F11" s="21">
        <f t="shared" si="5"/>
        <v>482.73254292265199</v>
      </c>
      <c r="G11" s="21">
        <f t="shared" si="5"/>
        <v>0</v>
      </c>
      <c r="H11" s="21">
        <f t="shared" si="5"/>
        <v>0</v>
      </c>
      <c r="I11" s="21">
        <f t="shared" si="5"/>
        <v>482.73254292265199</v>
      </c>
      <c r="J11" s="21">
        <f t="shared" si="5"/>
        <v>5499.5942623735236</v>
      </c>
      <c r="K11" s="27">
        <f t="shared" si="5"/>
        <v>5970.4123934856343</v>
      </c>
      <c r="L11" s="21">
        <f t="shared" si="5"/>
        <v>5487.2401638461151</v>
      </c>
      <c r="M11" s="21">
        <f t="shared" si="5"/>
        <v>482.73254292265199</v>
      </c>
      <c r="N11" s="21"/>
      <c r="O11" s="21">
        <f>SUM(O7:O10)</f>
        <v>5415.2000000000007</v>
      </c>
      <c r="P11" s="47"/>
    </row>
    <row r="12" spans="1:23" ht="17.25" customHeight="1" thickBot="1" x14ac:dyDescent="0.35">
      <c r="A12" s="323" t="s">
        <v>35</v>
      </c>
      <c r="B12" s="324"/>
      <c r="C12" s="324"/>
      <c r="D12" s="324"/>
      <c r="E12" s="324"/>
      <c r="F12" s="324"/>
      <c r="G12" s="325"/>
      <c r="H12" s="326" t="s">
        <v>36</v>
      </c>
      <c r="I12" s="327"/>
      <c r="J12" s="327"/>
      <c r="K12" s="328"/>
      <c r="L12" s="329" t="s">
        <v>37</v>
      </c>
      <c r="M12" s="330"/>
      <c r="N12" s="330"/>
      <c r="O12" s="331"/>
      <c r="P12" s="48"/>
      <c r="Q12" s="31"/>
    </row>
    <row r="13" spans="1:23" ht="15" thickBot="1" x14ac:dyDescent="0.35">
      <c r="A13" s="319" t="s">
        <v>38</v>
      </c>
      <c r="B13" s="320"/>
      <c r="C13" s="49" t="s">
        <v>39</v>
      </c>
      <c r="D13" s="49" t="s">
        <v>16</v>
      </c>
      <c r="E13" s="49" t="s">
        <v>41</v>
      </c>
      <c r="F13" s="49" t="s">
        <v>42</v>
      </c>
      <c r="G13" s="50" t="s">
        <v>43</v>
      </c>
      <c r="H13" s="321" t="s">
        <v>44</v>
      </c>
      <c r="I13" s="322"/>
      <c r="J13" s="52" t="s">
        <v>45</v>
      </c>
      <c r="K13" s="51" t="s">
        <v>46</v>
      </c>
      <c r="L13" s="309" t="s">
        <v>47</v>
      </c>
      <c r="M13" s="310"/>
      <c r="N13" s="53" t="s">
        <v>48</v>
      </c>
      <c r="O13" s="54" t="s">
        <v>42</v>
      </c>
      <c r="P13" s="48"/>
    </row>
    <row r="14" spans="1:23" ht="15" thickBot="1" x14ac:dyDescent="0.35">
      <c r="A14" s="286" t="s">
        <v>49</v>
      </c>
      <c r="B14" s="287"/>
      <c r="C14" s="57" t="s">
        <v>50</v>
      </c>
      <c r="D14" s="58" t="s">
        <v>51</v>
      </c>
      <c r="E14" s="60">
        <v>0.45</v>
      </c>
      <c r="F14" s="61" t="e">
        <f>+#REF!*E14</f>
        <v>#REF!</v>
      </c>
      <c r="G14" s="62"/>
      <c r="H14" s="315" t="s">
        <v>52</v>
      </c>
      <c r="I14" s="316"/>
      <c r="J14" s="63"/>
      <c r="K14" s="63"/>
      <c r="L14" s="309" t="s">
        <v>53</v>
      </c>
      <c r="M14" s="310"/>
      <c r="N14" s="64">
        <f>+F11</f>
        <v>482.73254292265199</v>
      </c>
      <c r="O14" s="65">
        <f>+O11</f>
        <v>5415.2000000000007</v>
      </c>
      <c r="P14" s="48"/>
    </row>
    <row r="15" spans="1:23" ht="15" thickBot="1" x14ac:dyDescent="0.35">
      <c r="A15" s="286" t="s">
        <v>54</v>
      </c>
      <c r="B15" s="287"/>
      <c r="C15" s="57" t="s">
        <v>50</v>
      </c>
      <c r="D15" s="58" t="s">
        <v>55</v>
      </c>
      <c r="E15" s="60">
        <v>0.2</v>
      </c>
      <c r="F15" s="61" t="e">
        <f>+#REF!*E15</f>
        <v>#REF!</v>
      </c>
      <c r="G15" s="62" t="s">
        <v>153</v>
      </c>
      <c r="H15" s="317" t="s">
        <v>56</v>
      </c>
      <c r="I15" s="318"/>
      <c r="J15" s="66"/>
      <c r="K15" s="66"/>
      <c r="L15" s="309" t="s">
        <v>57</v>
      </c>
      <c r="M15" s="310"/>
      <c r="N15" s="67" t="s">
        <v>58</v>
      </c>
      <c r="O15" s="65">
        <f>+B38</f>
        <v>1575.28</v>
      </c>
      <c r="P15" s="48">
        <f>+P7/60</f>
        <v>0</v>
      </c>
    </row>
    <row r="16" spans="1:23" ht="15.75" customHeight="1" thickBot="1" x14ac:dyDescent="0.35">
      <c r="A16" s="286" t="s">
        <v>59</v>
      </c>
      <c r="B16" s="287"/>
      <c r="C16" s="57" t="s">
        <v>50</v>
      </c>
      <c r="D16" s="58" t="s">
        <v>60</v>
      </c>
      <c r="E16" s="60">
        <v>0.2</v>
      </c>
      <c r="F16" s="61" t="e">
        <f>+#REF!*E16</f>
        <v>#REF!</v>
      </c>
      <c r="G16" s="62"/>
      <c r="H16" s="306"/>
      <c r="I16" s="307"/>
      <c r="J16" s="307"/>
      <c r="K16" s="308"/>
      <c r="L16" s="309" t="s">
        <v>57</v>
      </c>
      <c r="M16" s="310"/>
      <c r="N16" s="67" t="s">
        <v>29</v>
      </c>
      <c r="O16" s="65">
        <f>+C38</f>
        <v>406.52</v>
      </c>
      <c r="P16" s="48"/>
    </row>
    <row r="17" spans="1:18" ht="15.75" customHeight="1" thickBot="1" x14ac:dyDescent="0.35">
      <c r="A17" s="286" t="s">
        <v>59</v>
      </c>
      <c r="B17" s="287"/>
      <c r="C17" s="57" t="s">
        <v>50</v>
      </c>
      <c r="D17" s="58" t="s">
        <v>61</v>
      </c>
      <c r="E17" s="60">
        <v>0.2</v>
      </c>
      <c r="F17" s="61" t="e">
        <f>+#REF!*E17</f>
        <v>#REF!</v>
      </c>
      <c r="G17" s="62"/>
      <c r="H17" s="311" t="s">
        <v>62</v>
      </c>
      <c r="I17" s="312"/>
      <c r="J17" s="313" t="s">
        <v>63</v>
      </c>
      <c r="K17" s="314"/>
      <c r="L17" s="288" t="s">
        <v>64</v>
      </c>
      <c r="M17" s="289"/>
      <c r="N17" s="290"/>
      <c r="O17" s="69">
        <v>0.30000000000063665</v>
      </c>
    </row>
    <row r="18" spans="1:18" ht="15.75" customHeight="1" thickBot="1" x14ac:dyDescent="0.35">
      <c r="A18" s="286" t="s">
        <v>59</v>
      </c>
      <c r="B18" s="287"/>
      <c r="C18" s="58" t="s">
        <v>50</v>
      </c>
      <c r="D18" s="58" t="s">
        <v>51</v>
      </c>
      <c r="E18" s="60">
        <v>0.2</v>
      </c>
      <c r="F18" s="61" t="e">
        <f>+#REF!*E18</f>
        <v>#REF!</v>
      </c>
      <c r="G18" s="71"/>
      <c r="H18" s="296" t="s">
        <v>65</v>
      </c>
      <c r="I18" s="297"/>
      <c r="J18" s="301" t="s">
        <v>66</v>
      </c>
      <c r="K18" s="302"/>
      <c r="L18" s="289"/>
      <c r="M18" s="289"/>
      <c r="N18" s="290"/>
      <c r="O18" s="69"/>
    </row>
    <row r="19" spans="1:18" ht="15" customHeight="1" x14ac:dyDescent="0.3">
      <c r="A19" s="286" t="s">
        <v>67</v>
      </c>
      <c r="B19" s="287"/>
      <c r="C19" s="58" t="s">
        <v>50</v>
      </c>
      <c r="D19" s="58" t="s">
        <v>51</v>
      </c>
      <c r="E19" s="60">
        <v>0.2</v>
      </c>
      <c r="F19" s="61" t="e">
        <f>+#REF!*E19</f>
        <v>#REF!</v>
      </c>
      <c r="G19" s="62"/>
      <c r="H19" s="72" t="s">
        <v>68</v>
      </c>
      <c r="I19" s="73">
        <f>+'[1]03'!J25</f>
        <v>4101.5004099999996</v>
      </c>
      <c r="J19" s="72" t="s">
        <v>68</v>
      </c>
      <c r="K19" s="73">
        <f>+'[2]07'!L25</f>
        <v>0</v>
      </c>
      <c r="L19" s="303"/>
      <c r="M19" s="304"/>
      <c r="N19" s="305"/>
      <c r="O19" s="69"/>
    </row>
    <row r="20" spans="1:18" ht="15" customHeight="1" x14ac:dyDescent="0.3">
      <c r="A20" s="286" t="s">
        <v>67</v>
      </c>
      <c r="B20" s="287"/>
      <c r="C20" s="58" t="s">
        <v>50</v>
      </c>
      <c r="D20" s="58" t="s">
        <v>55</v>
      </c>
      <c r="E20" s="60">
        <v>0.2</v>
      </c>
      <c r="F20" s="61" t="e">
        <f>+#REF!*E20</f>
        <v>#REF!</v>
      </c>
      <c r="G20" s="62"/>
      <c r="H20" s="74" t="s">
        <v>69</v>
      </c>
      <c r="I20" s="75"/>
      <c r="J20" s="76" t="s">
        <v>69</v>
      </c>
      <c r="K20" s="73" t="e">
        <f>+#REF!*(N10-E24)+#REF!*(N8-E25)+#REF!*(N9-E26)+#REF!*(N7-E27)</f>
        <v>#REF!</v>
      </c>
      <c r="L20" s="288" t="s">
        <v>70</v>
      </c>
      <c r="M20" s="289"/>
      <c r="N20" s="290"/>
      <c r="O20" s="77" t="e">
        <f>+K20</f>
        <v>#REF!</v>
      </c>
    </row>
    <row r="21" spans="1:18" ht="15" customHeight="1" x14ac:dyDescent="0.3">
      <c r="A21" s="286" t="s">
        <v>71</v>
      </c>
      <c r="B21" s="287"/>
      <c r="C21" s="58" t="s">
        <v>50</v>
      </c>
      <c r="D21" s="58" t="s">
        <v>51</v>
      </c>
      <c r="E21" s="60">
        <v>0.1</v>
      </c>
      <c r="F21" s="61" t="e">
        <f>+#REF!*E21</f>
        <v>#REF!</v>
      </c>
      <c r="G21" s="62"/>
      <c r="H21" s="74"/>
      <c r="I21" s="73"/>
      <c r="J21" s="76" t="s">
        <v>72</v>
      </c>
      <c r="K21" s="73"/>
      <c r="L21" s="288" t="s">
        <v>73</v>
      </c>
      <c r="M21" s="289"/>
      <c r="N21" s="290"/>
      <c r="O21" s="77" t="e">
        <f>+F31</f>
        <v>#REF!</v>
      </c>
    </row>
    <row r="22" spans="1:18" ht="15" customHeight="1" x14ac:dyDescent="0.3">
      <c r="A22" s="286" t="s">
        <v>74</v>
      </c>
      <c r="B22" s="287"/>
      <c r="C22" s="58" t="s">
        <v>50</v>
      </c>
      <c r="D22" s="58" t="s">
        <v>51</v>
      </c>
      <c r="E22" s="60">
        <v>0.2</v>
      </c>
      <c r="F22" s="61" t="e">
        <f>+#REF!*E22</f>
        <v>#REF!</v>
      </c>
      <c r="G22" s="71"/>
      <c r="H22" s="74" t="s">
        <v>75</v>
      </c>
      <c r="I22" s="75"/>
      <c r="J22" s="76" t="s">
        <v>75</v>
      </c>
      <c r="K22" s="78"/>
      <c r="L22" s="288" t="s">
        <v>76</v>
      </c>
      <c r="M22" s="289"/>
      <c r="N22" s="290"/>
      <c r="O22" s="77">
        <f>+I37+I20+I26+I31+I32</f>
        <v>0</v>
      </c>
    </row>
    <row r="23" spans="1:18" ht="15" customHeight="1" thickBot="1" x14ac:dyDescent="0.35">
      <c r="A23" s="286" t="s">
        <v>77</v>
      </c>
      <c r="B23" s="287"/>
      <c r="C23" s="58" t="s">
        <v>50</v>
      </c>
      <c r="D23" s="58" t="s">
        <v>51</v>
      </c>
      <c r="E23" s="60">
        <v>0.2</v>
      </c>
      <c r="F23" s="61" t="e">
        <f>+#REF!*E23</f>
        <v>#REF!</v>
      </c>
      <c r="G23" s="71"/>
      <c r="H23" s="79" t="s">
        <v>78</v>
      </c>
      <c r="I23" s="80">
        <f>+I19+I20-I22</f>
        <v>4101.5004099999996</v>
      </c>
      <c r="J23" s="81" t="s">
        <v>78</v>
      </c>
      <c r="K23" s="82" t="e">
        <f>+K19-K20+K22+K21</f>
        <v>#REF!</v>
      </c>
      <c r="L23" s="294" t="s">
        <v>79</v>
      </c>
      <c r="M23" s="295"/>
      <c r="N23" s="83"/>
      <c r="O23" s="84" t="e">
        <f>O14-SUM(O15:O22)</f>
        <v>#REF!</v>
      </c>
      <c r="P23" s="48"/>
    </row>
    <row r="24" spans="1:18" ht="15" customHeight="1" thickBot="1" x14ac:dyDescent="0.35">
      <c r="A24" s="286" t="s">
        <v>80</v>
      </c>
      <c r="B24" s="287"/>
      <c r="C24" s="58" t="s">
        <v>50</v>
      </c>
      <c r="D24" s="58" t="s">
        <v>51</v>
      </c>
      <c r="E24" s="60">
        <v>0</v>
      </c>
      <c r="F24" s="61" t="e">
        <f>+#REF!*E24</f>
        <v>#REF!</v>
      </c>
      <c r="G24" s="71"/>
      <c r="H24" s="296" t="s">
        <v>81</v>
      </c>
      <c r="I24" s="297"/>
      <c r="J24" s="298" t="s">
        <v>82</v>
      </c>
      <c r="K24" s="299"/>
      <c r="L24" s="299"/>
      <c r="M24" s="299"/>
      <c r="N24" s="299"/>
      <c r="O24" s="300"/>
      <c r="P24" s="85"/>
    </row>
    <row r="25" spans="1:18" ht="15.75" customHeight="1" x14ac:dyDescent="0.3">
      <c r="A25" s="286" t="s">
        <v>80</v>
      </c>
      <c r="B25" s="287"/>
      <c r="C25" s="58" t="s">
        <v>50</v>
      </c>
      <c r="D25" s="58" t="s">
        <v>60</v>
      </c>
      <c r="E25" s="60">
        <v>0</v>
      </c>
      <c r="F25" s="61" t="e">
        <f>+#REF!*E25</f>
        <v>#REF!</v>
      </c>
      <c r="G25" s="71"/>
      <c r="H25" s="72" t="s">
        <v>68</v>
      </c>
      <c r="I25" s="86">
        <f>+'[3]02'!J30</f>
        <v>2860.0556350000002</v>
      </c>
      <c r="J25" s="87" t="s">
        <v>83</v>
      </c>
      <c r="K25" s="53" t="s">
        <v>84</v>
      </c>
      <c r="L25" s="88" t="s">
        <v>85</v>
      </c>
      <c r="M25" s="88" t="s">
        <v>86</v>
      </c>
      <c r="N25" s="89" t="s">
        <v>87</v>
      </c>
      <c r="O25" s="90" t="s">
        <v>88</v>
      </c>
      <c r="P25" s="3"/>
    </row>
    <row r="26" spans="1:18" x14ac:dyDescent="0.3">
      <c r="A26" s="286" t="s">
        <v>80</v>
      </c>
      <c r="B26" s="287"/>
      <c r="C26" s="58" t="s">
        <v>50</v>
      </c>
      <c r="D26" s="58" t="s">
        <v>61</v>
      </c>
      <c r="E26" s="60">
        <v>0</v>
      </c>
      <c r="F26" s="61" t="e">
        <f>+#REF!*E26</f>
        <v>#REF!</v>
      </c>
      <c r="G26" s="71"/>
      <c r="H26" s="74" t="s">
        <v>69</v>
      </c>
      <c r="I26" s="86"/>
      <c r="J26" s="91" t="s">
        <v>89</v>
      </c>
      <c r="K26" s="92">
        <f>+J42</f>
        <v>0</v>
      </c>
      <c r="L26" s="93"/>
      <c r="M26" s="94"/>
      <c r="N26" s="95"/>
      <c r="O26" s="96" t="str">
        <f>+H42&amp;"   "&amp;"kg"</f>
        <v xml:space="preserve">   kg</v>
      </c>
      <c r="P26" s="97">
        <f>14028.78/1912.31</f>
        <v>7.336038612986389</v>
      </c>
      <c r="Q26" s="3" t="s">
        <v>90</v>
      </c>
      <c r="R26" s="48">
        <f>+P7*-1</f>
        <v>0</v>
      </c>
    </row>
    <row r="27" spans="1:18" x14ac:dyDescent="0.3">
      <c r="A27" s="55" t="s">
        <v>80</v>
      </c>
      <c r="B27" s="56"/>
      <c r="C27" s="58" t="s">
        <v>50</v>
      </c>
      <c r="D27" s="58" t="s">
        <v>29</v>
      </c>
      <c r="E27" s="60">
        <v>0</v>
      </c>
      <c r="F27" s="61" t="e">
        <f>+#REF!*E27</f>
        <v>#REF!</v>
      </c>
      <c r="G27" s="62"/>
      <c r="H27" s="74" t="s">
        <v>75</v>
      </c>
      <c r="I27" s="86"/>
      <c r="J27" s="91" t="s">
        <v>29</v>
      </c>
      <c r="K27" s="92"/>
      <c r="L27" s="94"/>
      <c r="M27" s="94"/>
      <c r="N27" s="95" t="s">
        <v>91</v>
      </c>
      <c r="O27" s="98"/>
      <c r="P27" s="97"/>
      <c r="R27" s="48" t="e">
        <f>+#REF!*-1</f>
        <v>#REF!</v>
      </c>
    </row>
    <row r="28" spans="1:18" ht="15.75" customHeight="1" thickBot="1" x14ac:dyDescent="0.35">
      <c r="A28" s="55" t="s">
        <v>92</v>
      </c>
      <c r="B28" s="56"/>
      <c r="C28" s="58" t="s">
        <v>50</v>
      </c>
      <c r="D28" s="58" t="s">
        <v>55</v>
      </c>
      <c r="E28" s="60">
        <v>0.2</v>
      </c>
      <c r="F28" s="61" t="e">
        <f>+#REF!*E28</f>
        <v>#REF!</v>
      </c>
      <c r="G28" s="62"/>
      <c r="H28" s="99" t="s">
        <v>78</v>
      </c>
      <c r="I28" s="86">
        <f>+I25+I26-I27</f>
        <v>2860.0556350000002</v>
      </c>
      <c r="J28" s="91" t="s">
        <v>30</v>
      </c>
      <c r="K28" s="92"/>
      <c r="L28" s="94"/>
      <c r="M28" s="94"/>
      <c r="N28" s="95" t="s">
        <v>93</v>
      </c>
      <c r="O28" s="100">
        <f>13666.1/980</f>
        <v>13.945</v>
      </c>
      <c r="P28" s="97">
        <f>+N8-O28</f>
        <v>1.8849999999999998</v>
      </c>
      <c r="R28" s="48">
        <f>+P8*-1</f>
        <v>8.7744788376498946</v>
      </c>
    </row>
    <row r="29" spans="1:18" ht="15" customHeight="1" thickBot="1" x14ac:dyDescent="0.35">
      <c r="A29" s="55" t="s">
        <v>94</v>
      </c>
      <c r="B29" s="56"/>
      <c r="C29" s="58" t="s">
        <v>50</v>
      </c>
      <c r="D29" s="58" t="s">
        <v>51</v>
      </c>
      <c r="E29" s="60">
        <v>0.2</v>
      </c>
      <c r="F29" s="61" t="e">
        <f>+#REF!*E29</f>
        <v>#REF!</v>
      </c>
      <c r="G29" s="62"/>
      <c r="H29" s="296" t="s">
        <v>94</v>
      </c>
      <c r="I29" s="297"/>
      <c r="J29" s="101" t="s">
        <v>31</v>
      </c>
      <c r="K29" s="92"/>
      <c r="L29" s="94"/>
      <c r="M29" s="94"/>
      <c r="N29" s="95" t="s">
        <v>96</v>
      </c>
      <c r="O29" s="100">
        <f>6258.25/500</f>
        <v>12.516500000000001</v>
      </c>
      <c r="P29" s="97">
        <f>+N9-O29</f>
        <v>2.3635000000000002</v>
      </c>
      <c r="R29" s="48">
        <f>+P9*-1</f>
        <v>5.0248655913978837</v>
      </c>
    </row>
    <row r="30" spans="1:18" ht="15" customHeight="1" x14ac:dyDescent="0.3">
      <c r="A30" s="55" t="s">
        <v>95</v>
      </c>
      <c r="B30" s="56"/>
      <c r="C30" s="58" t="s">
        <v>50</v>
      </c>
      <c r="D30" s="58" t="s">
        <v>51</v>
      </c>
      <c r="E30" s="60">
        <v>0.2</v>
      </c>
      <c r="F30" s="61" t="e">
        <f>+#REF!*E30</f>
        <v>#REF!</v>
      </c>
      <c r="G30" s="62"/>
      <c r="H30" s="72" t="s">
        <v>78</v>
      </c>
      <c r="I30" s="75">
        <f>+'08-03-2025'!I34</f>
        <v>-315</v>
      </c>
      <c r="J30" s="101" t="s">
        <v>32</v>
      </c>
      <c r="K30" s="92"/>
      <c r="L30" s="94"/>
      <c r="M30" s="94"/>
      <c r="N30" s="95" t="s">
        <v>96</v>
      </c>
      <c r="O30" s="100"/>
      <c r="P30" s="97"/>
      <c r="R30" s="48" t="e">
        <f>+#REF!*-1</f>
        <v>#REF!</v>
      </c>
    </row>
    <row r="31" spans="1:18" ht="15" thickBot="1" x14ac:dyDescent="0.35">
      <c r="A31" s="286"/>
      <c r="B31" s="287"/>
      <c r="C31" s="58"/>
      <c r="D31" s="58"/>
      <c r="E31" s="60" t="s">
        <v>97</v>
      </c>
      <c r="F31" s="103" t="e">
        <f>SUM(F14:F30)</f>
        <v>#REF!</v>
      </c>
      <c r="G31" s="104"/>
      <c r="H31" s="74" t="s">
        <v>98</v>
      </c>
      <c r="I31" s="105"/>
      <c r="J31" s="106" t="s">
        <v>33</v>
      </c>
      <c r="K31" s="92"/>
      <c r="L31" s="94"/>
      <c r="M31" s="94"/>
      <c r="N31" s="95" t="s">
        <v>96</v>
      </c>
      <c r="O31" s="100">
        <f>13635.35/990</f>
        <v>13.773080808080808</v>
      </c>
      <c r="P31" s="97">
        <f>+N10-O31</f>
        <v>1.4769191919191922</v>
      </c>
      <c r="Q31" s="3" t="s">
        <v>99</v>
      </c>
      <c r="R31" s="48">
        <f t="shared" ref="R31" si="6">+P10*-1</f>
        <v>-1.4452459016395096</v>
      </c>
    </row>
    <row r="32" spans="1:18" ht="15" thickBot="1" x14ac:dyDescent="0.35">
      <c r="A32" s="266"/>
      <c r="B32" s="267"/>
      <c r="C32" s="267"/>
      <c r="D32" s="268"/>
      <c r="E32" s="268"/>
      <c r="F32" s="268"/>
      <c r="G32" s="269"/>
      <c r="H32" s="74" t="s">
        <v>100</v>
      </c>
      <c r="I32" s="105"/>
      <c r="J32" s="107"/>
      <c r="K32" s="108"/>
      <c r="L32" s="94"/>
      <c r="M32" s="94"/>
      <c r="N32" s="95" t="s">
        <v>93</v>
      </c>
      <c r="O32" s="96"/>
      <c r="P32" s="97"/>
      <c r="Q32" s="109"/>
    </row>
    <row r="33" spans="1:17" ht="15" thickBot="1" x14ac:dyDescent="0.35">
      <c r="A33" s="291" t="s">
        <v>101</v>
      </c>
      <c r="B33" s="292"/>
      <c r="C33" s="293"/>
      <c r="D33" s="110" t="s">
        <v>102</v>
      </c>
      <c r="E33" s="111" t="s">
        <v>103</v>
      </c>
      <c r="F33" s="111" t="s">
        <v>104</v>
      </c>
      <c r="G33" s="112" t="s">
        <v>105</v>
      </c>
      <c r="H33" s="74" t="s">
        <v>75</v>
      </c>
      <c r="I33" s="113"/>
      <c r="J33" s="114" t="s">
        <v>106</v>
      </c>
      <c r="K33" s="115">
        <f>+N2</f>
        <v>45725</v>
      </c>
      <c r="L33" s="273" t="s">
        <v>107</v>
      </c>
      <c r="M33" s="274"/>
      <c r="N33" s="274"/>
      <c r="O33" s="275"/>
      <c r="P33" s="116"/>
      <c r="Q33" s="109"/>
    </row>
    <row r="34" spans="1:17" ht="15.75" customHeight="1" thickBot="1" x14ac:dyDescent="0.35">
      <c r="B34" s="3" t="s">
        <v>58</v>
      </c>
      <c r="C34" s="117" t="s">
        <v>29</v>
      </c>
      <c r="D34" s="118" t="s">
        <v>108</v>
      </c>
      <c r="E34" s="120">
        <f>+C42</f>
        <v>15.83</v>
      </c>
      <c r="F34" s="121">
        <v>15.99</v>
      </c>
      <c r="G34" s="122" t="e">
        <f>+#REF!*(E34-F34)</f>
        <v>#REF!</v>
      </c>
      <c r="H34" s="123" t="s">
        <v>78</v>
      </c>
      <c r="I34" s="124">
        <f>+I30-I31-I32+I33</f>
        <v>-315</v>
      </c>
      <c r="J34" s="118" t="s">
        <v>58</v>
      </c>
      <c r="K34" s="125">
        <v>1954.6</v>
      </c>
      <c r="L34" s="276"/>
      <c r="M34" s="276"/>
      <c r="N34" s="276"/>
      <c r="O34" s="277"/>
      <c r="P34" s="116"/>
      <c r="Q34" s="109"/>
    </row>
    <row r="35" spans="1:17" ht="15.75" customHeight="1" thickBot="1" x14ac:dyDescent="0.35">
      <c r="A35" s="126" t="s">
        <v>109</v>
      </c>
      <c r="B35" s="127">
        <v>1125.98</v>
      </c>
      <c r="C35" s="127"/>
      <c r="D35" s="128" t="s">
        <v>110</v>
      </c>
      <c r="E35" s="130">
        <f>+C43</f>
        <v>14.88</v>
      </c>
      <c r="F35" s="131">
        <v>15.08</v>
      </c>
      <c r="G35" s="132" t="e">
        <f>+#REF!*(E35-F35)</f>
        <v>#REF!</v>
      </c>
      <c r="H35" s="280" t="s">
        <v>111</v>
      </c>
      <c r="I35" s="280"/>
      <c r="J35" s="133" t="s">
        <v>29</v>
      </c>
      <c r="K35" s="134">
        <v>1474.5</v>
      </c>
      <c r="L35" s="278"/>
      <c r="M35" s="278"/>
      <c r="N35" s="278"/>
      <c r="O35" s="279"/>
      <c r="P35" s="116"/>
      <c r="Q35" s="109"/>
    </row>
    <row r="36" spans="1:17" ht="15.75" customHeight="1" thickBot="1" x14ac:dyDescent="0.35">
      <c r="A36" s="135" t="s">
        <v>112</v>
      </c>
      <c r="B36" s="136">
        <v>449.3</v>
      </c>
      <c r="C36" s="136">
        <v>406.52</v>
      </c>
      <c r="D36" s="128" t="s">
        <v>32</v>
      </c>
      <c r="E36" s="130"/>
      <c r="F36" s="131">
        <v>0</v>
      </c>
      <c r="G36" s="132" t="e">
        <f>+#REF!*(E36-F36)</f>
        <v>#REF!</v>
      </c>
      <c r="H36" s="137" t="s">
        <v>68</v>
      </c>
      <c r="I36" s="138">
        <f>+'03-03-2025'!I39</f>
        <v>274.83</v>
      </c>
      <c r="J36" s="128" t="s">
        <v>113</v>
      </c>
      <c r="K36" s="139"/>
      <c r="L36" s="281" t="s">
        <v>114</v>
      </c>
      <c r="M36" s="281"/>
      <c r="N36" s="140">
        <f>+K33</f>
        <v>45725</v>
      </c>
      <c r="O36" s="140"/>
      <c r="P36" s="116"/>
      <c r="Q36" s="109"/>
    </row>
    <row r="37" spans="1:17" ht="16.2" thickBot="1" x14ac:dyDescent="0.35">
      <c r="A37" s="135"/>
      <c r="B37" s="141"/>
      <c r="C37" s="142"/>
      <c r="D37" s="128" t="s">
        <v>33</v>
      </c>
      <c r="E37" s="130">
        <f>+C45</f>
        <v>15.25</v>
      </c>
      <c r="F37" s="131">
        <v>14.18</v>
      </c>
      <c r="G37" s="132" t="e">
        <f>+#REF!*(E37-F37)</f>
        <v>#REF!</v>
      </c>
      <c r="H37" s="76" t="s">
        <v>69</v>
      </c>
      <c r="I37" s="143"/>
      <c r="J37" s="144" t="s">
        <v>115</v>
      </c>
      <c r="K37" s="145"/>
      <c r="L37" s="146" t="s">
        <v>58</v>
      </c>
      <c r="M37" s="147" t="s">
        <v>116</v>
      </c>
      <c r="N37" s="148">
        <f>+K34</f>
        <v>1954.6</v>
      </c>
      <c r="O37" s="149"/>
      <c r="P37" s="150"/>
      <c r="Q37" s="109"/>
    </row>
    <row r="38" spans="1:17" ht="16.2" thickBot="1" x14ac:dyDescent="0.35">
      <c r="A38" s="151" t="s">
        <v>117</v>
      </c>
      <c r="B38" s="152">
        <f>SUM(B35:B37)</f>
        <v>1575.28</v>
      </c>
      <c r="C38" s="153">
        <f>SUM(C35:C37)</f>
        <v>406.52</v>
      </c>
      <c r="D38" s="144" t="s">
        <v>29</v>
      </c>
      <c r="E38" s="155">
        <f>+C46</f>
        <v>7.49</v>
      </c>
      <c r="F38" s="156">
        <v>7.14</v>
      </c>
      <c r="G38" s="157" t="e">
        <f>+#REF!*(E38-F38)</f>
        <v>#REF!</v>
      </c>
      <c r="H38" s="76" t="s">
        <v>75</v>
      </c>
      <c r="I38" s="158"/>
      <c r="J38" s="159" t="s">
        <v>97</v>
      </c>
      <c r="K38" s="160">
        <f>SUM(K34:K37)</f>
        <v>3429.1</v>
      </c>
      <c r="L38" s="161" t="s">
        <v>29</v>
      </c>
      <c r="M38" s="162" t="s">
        <v>118</v>
      </c>
      <c r="N38" s="163">
        <f>+K35</f>
        <v>1474.5</v>
      </c>
      <c r="O38" s="164"/>
      <c r="P38" s="150"/>
      <c r="Q38" s="109"/>
    </row>
    <row r="39" spans="1:17" ht="24.6" thickTop="1" thickBot="1" x14ac:dyDescent="0.5">
      <c r="A39" s="165" t="s">
        <v>119</v>
      </c>
      <c r="B39" s="166">
        <f>SUM(B38:C38)</f>
        <v>1981.8</v>
      </c>
      <c r="C39" s="167"/>
      <c r="D39" s="168"/>
      <c r="E39" s="170"/>
      <c r="F39" s="171">
        <f>SUM(F34:F38)</f>
        <v>52.39</v>
      </c>
      <c r="G39" s="172" t="e">
        <f>SUM(G34:G38)</f>
        <v>#REF!</v>
      </c>
      <c r="H39" s="99" t="s">
        <v>78</v>
      </c>
      <c r="I39" s="124">
        <f>+I36+I37-I38</f>
        <v>274.83</v>
      </c>
      <c r="J39" s="173" t="s">
        <v>120</v>
      </c>
      <c r="K39" s="174" t="e">
        <f>+O23-K38</f>
        <v>#REF!</v>
      </c>
      <c r="L39" s="282" t="s">
        <v>97</v>
      </c>
      <c r="M39" s="283"/>
      <c r="N39" s="284">
        <f>SUM(N37:O38)</f>
        <v>3429.1</v>
      </c>
      <c r="O39" s="285"/>
      <c r="P39" s="150"/>
      <c r="Q39" s="109"/>
    </row>
    <row r="40" spans="1:17" ht="15" thickBot="1" x14ac:dyDescent="0.35">
      <c r="A40" s="175"/>
      <c r="B40" s="175"/>
      <c r="C40" s="175"/>
      <c r="D40" s="175"/>
      <c r="E40" s="175"/>
      <c r="F40" s="176"/>
      <c r="G40" s="176"/>
      <c r="H40" s="176"/>
      <c r="I40" s="176"/>
      <c r="J40" s="176"/>
      <c r="K40" s="176"/>
      <c r="L40" s="176"/>
      <c r="M40" s="177"/>
      <c r="N40" s="176"/>
      <c r="O40" s="109"/>
      <c r="P40" s="150"/>
      <c r="Q40" s="109"/>
    </row>
    <row r="41" spans="1:17" ht="15" thickBot="1" x14ac:dyDescent="0.35">
      <c r="A41" s="178" t="s">
        <v>121</v>
      </c>
      <c r="B41" s="178" t="s">
        <v>122</v>
      </c>
      <c r="C41" s="178" t="s">
        <v>123</v>
      </c>
      <c r="D41" s="178" t="s">
        <v>124</v>
      </c>
      <c r="E41" s="180"/>
      <c r="F41" s="183"/>
      <c r="G41" s="270" t="s">
        <v>125</v>
      </c>
      <c r="H41" s="271"/>
      <c r="I41" s="271"/>
      <c r="J41" s="271"/>
      <c r="K41" s="272"/>
      <c r="O41" s="181"/>
      <c r="P41" s="150"/>
    </row>
    <row r="42" spans="1:17" ht="15.6" x14ac:dyDescent="0.3">
      <c r="A42" s="182" t="s">
        <v>30</v>
      </c>
      <c r="B42" s="183">
        <f>IF(D42&gt;"0",0,(D42/C42))</f>
        <v>72.363866077068849</v>
      </c>
      <c r="C42" s="184">
        <v>15.83</v>
      </c>
      <c r="D42" s="185">
        <v>1145.52</v>
      </c>
      <c r="E42" s="186"/>
      <c r="F42" s="183"/>
      <c r="G42" s="187" t="s">
        <v>126</v>
      </c>
      <c r="H42" s="188"/>
      <c r="I42" s="189">
        <v>2.0185</v>
      </c>
      <c r="J42" s="190">
        <f>+H42/I42</f>
        <v>0</v>
      </c>
      <c r="K42" s="191" t="s">
        <v>127</v>
      </c>
      <c r="L42" s="192"/>
      <c r="M42" s="193" t="s">
        <v>2</v>
      </c>
      <c r="N42" s="194"/>
      <c r="P42" s="3"/>
    </row>
    <row r="43" spans="1:17" ht="15.6" x14ac:dyDescent="0.3">
      <c r="A43" s="182" t="s">
        <v>31</v>
      </c>
      <c r="B43" s="183">
        <f>IF(D43&gt;"0",0,(D43/C43))</f>
        <v>106.34005376344085</v>
      </c>
      <c r="C43" s="184">
        <v>14.88</v>
      </c>
      <c r="D43" s="185">
        <v>1582.34</v>
      </c>
      <c r="E43" s="186"/>
      <c r="F43" s="183"/>
      <c r="G43" s="195" t="s">
        <v>128</v>
      </c>
      <c r="H43" s="196">
        <f>+J43/I43</f>
        <v>1.9786548317218788</v>
      </c>
      <c r="I43" s="197">
        <v>3.7854000000000001</v>
      </c>
      <c r="J43" s="198">
        <f>+C46</f>
        <v>7.49</v>
      </c>
      <c r="K43" s="199" t="s">
        <v>129</v>
      </c>
      <c r="L43" s="200"/>
      <c r="M43" s="193" t="s">
        <v>130</v>
      </c>
      <c r="N43" s="194"/>
      <c r="O43" s="201"/>
      <c r="P43" s="3"/>
    </row>
    <row r="44" spans="1:17" ht="15.6" x14ac:dyDescent="0.3">
      <c r="A44" s="175">
        <v>84</v>
      </c>
      <c r="B44" s="183">
        <f>IF(D44&gt;"0",0,(D44/C44))</f>
        <v>0</v>
      </c>
      <c r="C44" s="184">
        <v>17.89</v>
      </c>
      <c r="D44" s="185"/>
      <c r="E44" s="186"/>
      <c r="F44" s="183"/>
      <c r="G44" s="202"/>
      <c r="H44" s="203"/>
      <c r="I44" s="203"/>
      <c r="J44" s="203"/>
      <c r="K44" s="204"/>
      <c r="L44" s="200"/>
      <c r="M44" s="205"/>
      <c r="N44" s="194"/>
      <c r="P44" s="3"/>
    </row>
    <row r="45" spans="1:17" ht="15.6" x14ac:dyDescent="0.3">
      <c r="A45" s="182" t="s">
        <v>131</v>
      </c>
      <c r="B45" s="183">
        <f>IF(D45&gt;"0",0,(D45/C45))</f>
        <v>52.856393442622945</v>
      </c>
      <c r="C45" s="184">
        <v>15.25</v>
      </c>
      <c r="D45" s="185">
        <v>806.06</v>
      </c>
      <c r="E45" s="186"/>
      <c r="F45" s="183"/>
      <c r="G45" s="206" t="s">
        <v>132</v>
      </c>
      <c r="H45" s="207" t="e">
        <f>+J45/I45</f>
        <v>#DIV/0!</v>
      </c>
      <c r="I45" s="208">
        <f>+I43</f>
        <v>3.7854000000000001</v>
      </c>
      <c r="J45" s="209" t="e">
        <f>+K45/H42</f>
        <v>#DIV/0!</v>
      </c>
      <c r="K45" s="210">
        <v>25000</v>
      </c>
      <c r="L45" s="200" t="s">
        <v>34</v>
      </c>
      <c r="M45" s="211" t="s">
        <v>133</v>
      </c>
      <c r="N45" s="3" t="s">
        <v>116</v>
      </c>
      <c r="O45" s="201"/>
      <c r="P45" s="3"/>
      <c r="Q45" s="201"/>
    </row>
    <row r="46" spans="1:17" ht="15.6" x14ac:dyDescent="0.3">
      <c r="A46" s="182" t="s">
        <v>29</v>
      </c>
      <c r="B46" s="183">
        <f>IF(D46&gt;"0",0,(D46/C46))</f>
        <v>251.17222963951934</v>
      </c>
      <c r="C46" s="184">
        <v>7.49</v>
      </c>
      <c r="D46" s="185">
        <v>1881.28</v>
      </c>
      <c r="E46" s="186"/>
      <c r="F46" s="183"/>
      <c r="G46" s="262" t="e">
        <f>(K34+B38+O21+O22+O20+K36)-SUM(D42:D45)+(O18+O19)</f>
        <v>#REF!</v>
      </c>
      <c r="H46" s="203" t="s">
        <v>134</v>
      </c>
      <c r="I46" s="196" t="s">
        <v>135</v>
      </c>
      <c r="J46" s="214">
        <v>2.1061999999999999</v>
      </c>
      <c r="K46" s="215"/>
      <c r="L46" s="200"/>
      <c r="M46" s="3" t="s">
        <v>136</v>
      </c>
      <c r="N46" s="194"/>
      <c r="O46" s="201"/>
      <c r="P46" s="3"/>
      <c r="Q46" s="201"/>
    </row>
    <row r="47" spans="1:17" ht="16.5" customHeight="1" thickBot="1" x14ac:dyDescent="0.35">
      <c r="A47" s="180"/>
      <c r="B47" s="216">
        <f>SUM(B42:B46)</f>
        <v>482.73254292265199</v>
      </c>
      <c r="C47" s="216"/>
      <c r="D47" s="217">
        <f>SUM(D42:D46)</f>
        <v>5415.2</v>
      </c>
      <c r="E47" s="186"/>
      <c r="F47" s="183"/>
      <c r="G47" s="263">
        <f>(C36+K35+K37)-D46</f>
        <v>-0.25999999999999091</v>
      </c>
      <c r="H47" s="220" t="s">
        <v>90</v>
      </c>
      <c r="I47" s="221" t="s">
        <v>137</v>
      </c>
      <c r="J47" s="222">
        <v>2.0185</v>
      </c>
      <c r="K47" s="223" t="e">
        <f>+J45-J43</f>
        <v>#DIV/0!</v>
      </c>
      <c r="L47" s="200"/>
      <c r="M47" s="205" t="s">
        <v>138</v>
      </c>
      <c r="N47" s="194"/>
      <c r="O47" s="201"/>
      <c r="P47" s="3"/>
      <c r="Q47" s="201"/>
    </row>
    <row r="48" spans="1:17" ht="16.2" thickTop="1" x14ac:dyDescent="0.3">
      <c r="A48" s="180"/>
      <c r="B48" s="180"/>
      <c r="C48" s="180"/>
      <c r="D48" s="180"/>
      <c r="E48" s="186"/>
      <c r="F48" s="183"/>
      <c r="G48" s="183"/>
      <c r="H48" s="183"/>
      <c r="I48" s="183"/>
      <c r="J48" s="205"/>
      <c r="K48" s="225"/>
      <c r="L48" s="200"/>
      <c r="M48" s="201"/>
      <c r="N48" s="194"/>
      <c r="O48" s="201"/>
      <c r="P48" s="3"/>
    </row>
    <row r="49" spans="1:16" ht="16.5" customHeight="1" x14ac:dyDescent="0.3">
      <c r="A49" s="180"/>
      <c r="B49" s="180"/>
      <c r="C49" s="180"/>
      <c r="D49" s="180"/>
      <c r="E49" s="224"/>
      <c r="F49" s="183"/>
      <c r="G49" s="183"/>
      <c r="H49" s="183"/>
      <c r="I49" s="183"/>
      <c r="J49" s="205"/>
      <c r="K49" s="205"/>
      <c r="L49" s="200"/>
      <c r="M49" s="201"/>
      <c r="N49" s="194"/>
      <c r="O49" s="227"/>
      <c r="P49" s="3"/>
    </row>
    <row r="50" spans="1:16" ht="15.6" x14ac:dyDescent="0.3">
      <c r="A50" s="180"/>
      <c r="B50" s="180"/>
      <c r="C50" s="180"/>
      <c r="D50" s="180"/>
      <c r="E50" s="224"/>
      <c r="F50" s="183"/>
      <c r="G50" s="218"/>
      <c r="H50" s="183"/>
      <c r="I50" s="183"/>
      <c r="J50" s="205"/>
      <c r="K50" s="201"/>
      <c r="L50" s="200"/>
      <c r="M50" s="201"/>
      <c r="N50" s="194"/>
      <c r="O50" s="227"/>
      <c r="P50" s="3"/>
    </row>
    <row r="51" spans="1:16" ht="15.6" x14ac:dyDescent="0.3">
      <c r="A51" s="180"/>
      <c r="B51" s="228"/>
      <c r="C51" s="228"/>
      <c r="D51" s="229"/>
      <c r="E51" s="224"/>
      <c r="F51" s="183"/>
      <c r="G51" s="231"/>
      <c r="H51" s="232"/>
      <c r="I51" s="233"/>
      <c r="J51" s="234"/>
      <c r="K51" s="235"/>
      <c r="L51" s="236"/>
      <c r="N51" s="194"/>
      <c r="P51" s="3"/>
    </row>
    <row r="52" spans="1:16" ht="15.6" x14ac:dyDescent="0.3">
      <c r="A52" s="180"/>
      <c r="B52" s="228"/>
      <c r="C52" s="228"/>
      <c r="D52" s="229"/>
      <c r="E52" s="224"/>
      <c r="F52" s="264"/>
      <c r="G52" s="231"/>
      <c r="H52" s="228"/>
      <c r="I52" s="233"/>
      <c r="J52" s="234"/>
      <c r="K52" s="235"/>
      <c r="L52" s="236"/>
      <c r="N52" s="237"/>
      <c r="P52" s="3"/>
    </row>
    <row r="53" spans="1:16" ht="15.6" x14ac:dyDescent="0.3">
      <c r="A53" s="238"/>
      <c r="B53" s="239"/>
      <c r="C53" s="239"/>
      <c r="D53" s="240"/>
      <c r="E53" s="224"/>
      <c r="F53" s="183"/>
      <c r="G53" s="231"/>
      <c r="H53" s="228"/>
      <c r="I53" s="233"/>
      <c r="J53" s="234"/>
      <c r="K53" s="235"/>
      <c r="L53" s="236"/>
      <c r="P53" s="3"/>
    </row>
    <row r="54" spans="1:16" ht="15.6" x14ac:dyDescent="0.3">
      <c r="A54" s="238"/>
      <c r="B54" s="241"/>
      <c r="C54" s="241"/>
      <c r="D54" s="242"/>
      <c r="E54" s="224"/>
      <c r="F54" s="218"/>
      <c r="G54" s="231"/>
      <c r="H54" s="228"/>
      <c r="I54" s="233"/>
      <c r="J54" s="234"/>
      <c r="K54" s="235"/>
      <c r="L54" s="236"/>
      <c r="P54" s="3"/>
    </row>
    <row r="55" spans="1:16" ht="15.6" x14ac:dyDescent="0.3">
      <c r="A55" s="238"/>
      <c r="D55" s="229"/>
      <c r="E55" s="224"/>
      <c r="F55" s="218"/>
      <c r="G55" s="228"/>
      <c r="H55" s="228"/>
      <c r="I55" s="233"/>
      <c r="J55" s="234"/>
      <c r="K55" s="235"/>
      <c r="L55" s="236"/>
      <c r="P55" s="3"/>
    </row>
    <row r="56" spans="1:16" ht="15.6" x14ac:dyDescent="0.3">
      <c r="A56" s="244"/>
      <c r="D56" s="229"/>
      <c r="E56" s="245"/>
      <c r="F56" s="218"/>
      <c r="G56" s="228"/>
      <c r="H56" s="228"/>
      <c r="I56" s="233"/>
      <c r="J56" s="234"/>
      <c r="K56" s="235"/>
      <c r="L56" s="236"/>
      <c r="P56" s="3"/>
    </row>
    <row r="57" spans="1:16" ht="15.6" x14ac:dyDescent="0.3">
      <c r="A57" s="246"/>
      <c r="D57" s="229"/>
      <c r="E57" s="224"/>
      <c r="F57" s="218"/>
      <c r="G57" s="228"/>
      <c r="H57" s="228"/>
      <c r="I57" s="231"/>
      <c r="J57" s="231"/>
      <c r="K57" s="235"/>
      <c r="L57" s="228"/>
      <c r="P57" s="3"/>
    </row>
    <row r="58" spans="1:16" ht="15.6" x14ac:dyDescent="0.3">
      <c r="A58" s="238"/>
      <c r="D58" s="229"/>
      <c r="E58" s="247"/>
      <c r="F58" s="218"/>
      <c r="I58" s="180"/>
      <c r="J58" s="180"/>
      <c r="K58" s="248"/>
      <c r="N58" s="109"/>
      <c r="O58" s="109"/>
      <c r="P58" s="3"/>
    </row>
    <row r="59" spans="1:16" ht="15.6" x14ac:dyDescent="0.3">
      <c r="A59" s="238"/>
      <c r="D59" s="229"/>
      <c r="E59" s="245"/>
      <c r="F59" s="218"/>
      <c r="I59" s="180"/>
      <c r="J59" s="180"/>
      <c r="M59" s="109"/>
      <c r="N59" s="109"/>
      <c r="O59" s="109"/>
      <c r="P59" s="3"/>
    </row>
    <row r="60" spans="1:16" ht="15.6" x14ac:dyDescent="0.3">
      <c r="A60" s="238"/>
      <c r="B60" s="109"/>
      <c r="C60" s="109"/>
      <c r="D60" s="229"/>
      <c r="E60" s="249"/>
      <c r="F60" s="218"/>
      <c r="J60" s="180"/>
      <c r="M60" s="109"/>
      <c r="N60" s="109"/>
      <c r="O60" s="109"/>
      <c r="P60" s="3"/>
    </row>
    <row r="61" spans="1:16" ht="15.6" x14ac:dyDescent="0.3">
      <c r="A61" s="244"/>
      <c r="D61" s="229"/>
      <c r="E61" s="249"/>
      <c r="F61" s="218"/>
      <c r="M61" s="109"/>
      <c r="N61" s="109"/>
      <c r="O61" s="109"/>
      <c r="P61" s="3"/>
    </row>
    <row r="62" spans="1:16" ht="15.6" x14ac:dyDescent="0.3">
      <c r="A62" s="244"/>
      <c r="D62" s="229"/>
      <c r="E62" s="250"/>
      <c r="F62" s="246"/>
      <c r="M62" s="109"/>
      <c r="N62" s="109"/>
      <c r="O62" s="109"/>
      <c r="P62" s="3"/>
    </row>
    <row r="63" spans="1:16" x14ac:dyDescent="0.3">
      <c r="A63" s="238"/>
      <c r="D63" s="109"/>
      <c r="E63" s="249"/>
      <c r="F63" s="246"/>
      <c r="M63" s="109"/>
      <c r="N63" s="109"/>
      <c r="O63" s="109"/>
      <c r="P63" s="3"/>
    </row>
    <row r="64" spans="1:16" x14ac:dyDescent="0.3">
      <c r="A64" s="238"/>
      <c r="E64" s="249"/>
      <c r="F64" s="246"/>
      <c r="M64" s="109"/>
      <c r="N64" s="109"/>
      <c r="O64" s="109"/>
      <c r="P64" s="3"/>
    </row>
    <row r="65" spans="1:19" x14ac:dyDescent="0.3">
      <c r="A65" s="238">
        <v>84</v>
      </c>
      <c r="E65" s="251"/>
      <c r="F65" s="246"/>
      <c r="M65" s="109"/>
      <c r="P65" s="3"/>
    </row>
    <row r="66" spans="1:19" x14ac:dyDescent="0.3">
      <c r="A66" s="244" t="s">
        <v>131</v>
      </c>
      <c r="E66" s="249"/>
      <c r="F66" s="246"/>
      <c r="M66" s="109"/>
      <c r="P66" s="3"/>
    </row>
    <row r="67" spans="1:19" x14ac:dyDescent="0.3">
      <c r="A67" s="85"/>
      <c r="E67" s="247"/>
      <c r="F67" s="246"/>
      <c r="M67" s="109"/>
      <c r="P67" s="3"/>
    </row>
    <row r="68" spans="1:19" x14ac:dyDescent="0.3">
      <c r="A68" s="238">
        <v>95</v>
      </c>
      <c r="E68" s="249"/>
      <c r="F68" s="246"/>
      <c r="G68" s="70"/>
      <c r="H68" s="70"/>
      <c r="I68" s="70"/>
      <c r="J68" s="70"/>
      <c r="K68" s="70"/>
      <c r="L68" s="70"/>
      <c r="M68" s="109"/>
      <c r="O68" s="201"/>
      <c r="P68" s="3"/>
    </row>
    <row r="69" spans="1:19" x14ac:dyDescent="0.3">
      <c r="A69" s="238">
        <v>90</v>
      </c>
      <c r="E69" s="249"/>
      <c r="F69" s="246"/>
      <c r="G69" s="70"/>
      <c r="H69" s="70"/>
      <c r="I69" s="70"/>
      <c r="J69" s="70"/>
      <c r="K69" s="70"/>
      <c r="L69" s="70"/>
      <c r="M69" s="109"/>
      <c r="P69" s="3"/>
    </row>
    <row r="70" spans="1:19" x14ac:dyDescent="0.3">
      <c r="A70" s="238">
        <v>84</v>
      </c>
      <c r="E70" s="252"/>
      <c r="F70" s="85"/>
      <c r="G70" s="70"/>
      <c r="H70" s="70"/>
      <c r="I70" s="70"/>
      <c r="J70" s="70"/>
      <c r="K70" s="70"/>
      <c r="L70" s="70"/>
      <c r="M70" s="109"/>
      <c r="N70" s="109"/>
      <c r="O70" s="109"/>
      <c r="P70" s="109"/>
      <c r="Q70" s="109"/>
    </row>
    <row r="71" spans="1:19" x14ac:dyDescent="0.3">
      <c r="A71" s="244" t="s">
        <v>131</v>
      </c>
      <c r="E71" s="252"/>
      <c r="F71" s="85"/>
      <c r="G71" s="70"/>
      <c r="H71" s="70"/>
      <c r="I71" s="70"/>
      <c r="J71" s="70"/>
      <c r="K71" s="70"/>
      <c r="L71" s="70"/>
      <c r="M71" s="109"/>
      <c r="N71" s="109"/>
      <c r="O71" s="109"/>
      <c r="P71" s="109"/>
      <c r="Q71" s="109"/>
    </row>
    <row r="72" spans="1:19" x14ac:dyDescent="0.3">
      <c r="A72" s="85"/>
      <c r="E72" s="85"/>
      <c r="F72" s="85"/>
      <c r="G72" s="70"/>
      <c r="H72" s="70"/>
      <c r="I72" s="70"/>
      <c r="J72" s="70"/>
      <c r="K72" s="70"/>
      <c r="L72" s="70"/>
      <c r="M72" s="109"/>
      <c r="N72" s="109"/>
      <c r="O72" s="109"/>
      <c r="P72" s="109"/>
      <c r="Q72" s="109"/>
    </row>
    <row r="73" spans="1:19" x14ac:dyDescent="0.3">
      <c r="A73" s="244" t="s">
        <v>29</v>
      </c>
      <c r="E73" s="253"/>
      <c r="F73" s="254"/>
      <c r="G73" s="70"/>
      <c r="H73" s="70"/>
      <c r="I73" s="70"/>
      <c r="J73" s="70"/>
      <c r="K73" s="70"/>
      <c r="L73" s="70"/>
      <c r="M73" s="109"/>
      <c r="N73" s="109"/>
      <c r="O73" s="109"/>
      <c r="P73" s="109"/>
      <c r="Q73" s="109"/>
    </row>
    <row r="74" spans="1:19" x14ac:dyDescent="0.3">
      <c r="A74" s="244" t="s">
        <v>29</v>
      </c>
      <c r="E74" s="255"/>
      <c r="F74" s="85"/>
      <c r="G74" s="70"/>
      <c r="H74" s="70"/>
      <c r="I74" s="70"/>
      <c r="J74" s="70"/>
      <c r="K74" s="70"/>
      <c r="L74" s="70"/>
      <c r="M74" s="109"/>
      <c r="N74" s="109"/>
      <c r="O74" s="109"/>
      <c r="P74" s="109"/>
      <c r="Q74" s="200"/>
    </row>
    <row r="75" spans="1:19" x14ac:dyDescent="0.3">
      <c r="A75" s="85"/>
      <c r="E75" s="85"/>
      <c r="F75" s="85"/>
      <c r="G75" s="70"/>
      <c r="H75" s="70"/>
      <c r="I75" s="70"/>
      <c r="J75" s="70"/>
      <c r="K75" s="70"/>
      <c r="L75" s="70"/>
      <c r="M75" s="109"/>
      <c r="N75" s="109"/>
      <c r="O75" s="109"/>
      <c r="P75" s="109"/>
      <c r="Q75" s="200"/>
    </row>
    <row r="76" spans="1:19" x14ac:dyDescent="0.3">
      <c r="A76" s="244" t="s">
        <v>29</v>
      </c>
      <c r="E76" s="255"/>
      <c r="F76" s="85"/>
      <c r="M76" s="109"/>
      <c r="N76" s="109"/>
      <c r="O76" s="109"/>
      <c r="P76" s="109"/>
      <c r="Q76" s="200"/>
      <c r="R76" s="256"/>
      <c r="S76" s="3">
        <v>3</v>
      </c>
    </row>
    <row r="77" spans="1:19" x14ac:dyDescent="0.3">
      <c r="A77" s="244" t="s">
        <v>29</v>
      </c>
      <c r="E77" s="255"/>
      <c r="F77" s="254"/>
      <c r="M77" s="109"/>
      <c r="N77" s="109"/>
      <c r="O77" s="109"/>
      <c r="P77" s="109"/>
      <c r="Q77" s="200"/>
    </row>
    <row r="78" spans="1:19" x14ac:dyDescent="0.3">
      <c r="A78" s="85"/>
      <c r="E78" s="255"/>
      <c r="F78" s="228"/>
      <c r="M78" s="109"/>
      <c r="N78" s="109"/>
      <c r="O78" s="109"/>
      <c r="P78" s="109"/>
      <c r="Q78" s="200"/>
    </row>
    <row r="79" spans="1:19" x14ac:dyDescent="0.3">
      <c r="A79" s="85"/>
      <c r="E79" s="239"/>
      <c r="F79" s="228"/>
      <c r="M79" s="109"/>
      <c r="N79" s="109"/>
      <c r="O79" s="109"/>
      <c r="P79" s="109"/>
      <c r="Q79" s="200"/>
    </row>
    <row r="80" spans="1:19" x14ac:dyDescent="0.3">
      <c r="A80" s="85"/>
      <c r="E80" s="241"/>
      <c r="F80" s="228"/>
      <c r="M80" s="109"/>
      <c r="N80" s="109"/>
      <c r="O80" s="109"/>
      <c r="P80" s="109"/>
      <c r="Q80" s="200"/>
    </row>
    <row r="81" spans="1:18" x14ac:dyDescent="0.3">
      <c r="A81" s="85"/>
      <c r="E81" s="241"/>
      <c r="F81" s="228"/>
      <c r="M81" s="109"/>
      <c r="N81" s="109"/>
      <c r="O81" s="109"/>
      <c r="P81" s="109"/>
      <c r="Q81" s="200"/>
    </row>
    <row r="82" spans="1:18" x14ac:dyDescent="0.3">
      <c r="A82" s="85"/>
      <c r="E82" s="228"/>
      <c r="F82" s="228"/>
      <c r="M82" s="109"/>
      <c r="N82" s="109"/>
      <c r="O82" s="109"/>
      <c r="P82" s="109"/>
    </row>
    <row r="83" spans="1:18" x14ac:dyDescent="0.3">
      <c r="M83" s="109"/>
      <c r="N83" s="109"/>
      <c r="O83" s="109"/>
      <c r="P83" s="109"/>
    </row>
    <row r="84" spans="1:18" x14ac:dyDescent="0.3">
      <c r="M84" s="109"/>
      <c r="N84" s="257"/>
      <c r="O84" s="257"/>
      <c r="P84" s="109"/>
    </row>
    <row r="85" spans="1:18" x14ac:dyDescent="0.3">
      <c r="M85" s="109"/>
      <c r="N85" s="257"/>
      <c r="O85" s="257"/>
      <c r="P85" s="109"/>
    </row>
    <row r="86" spans="1:18" x14ac:dyDescent="0.3">
      <c r="M86" s="109"/>
      <c r="N86" s="257"/>
      <c r="O86" s="257"/>
      <c r="P86" s="109"/>
    </row>
    <row r="87" spans="1:18" x14ac:dyDescent="0.3">
      <c r="M87" s="109"/>
      <c r="N87" s="257"/>
      <c r="O87" s="257"/>
      <c r="P87" s="109"/>
    </row>
    <row r="88" spans="1:18" x14ac:dyDescent="0.3">
      <c r="M88" s="109"/>
      <c r="N88" s="257"/>
      <c r="O88" s="257"/>
      <c r="P88" s="109"/>
    </row>
    <row r="89" spans="1:18" x14ac:dyDescent="0.3">
      <c r="M89" s="109"/>
      <c r="N89" s="257"/>
      <c r="O89" s="257"/>
      <c r="P89" s="109"/>
      <c r="R89" s="256"/>
    </row>
    <row r="90" spans="1:18" x14ac:dyDescent="0.3">
      <c r="P90" s="3"/>
    </row>
    <row r="91" spans="1:18" x14ac:dyDescent="0.3">
      <c r="P91" s="3"/>
    </row>
    <row r="92" spans="1:18" x14ac:dyDescent="0.3">
      <c r="P92" s="3"/>
    </row>
    <row r="93" spans="1:18" s="70" customFormat="1" x14ac:dyDescent="0.3">
      <c r="G93" s="3"/>
      <c r="H93" s="3"/>
      <c r="I93" s="3"/>
      <c r="J93" s="3"/>
      <c r="K93" s="3"/>
      <c r="L93" s="3"/>
    </row>
    <row r="94" spans="1:18" s="70" customFormat="1" x14ac:dyDescent="0.3">
      <c r="G94" s="3"/>
      <c r="H94" s="3"/>
      <c r="I94" s="3"/>
      <c r="J94" s="3"/>
      <c r="K94" s="3"/>
      <c r="L94" s="3"/>
    </row>
    <row r="95" spans="1:18" s="70" customFormat="1" x14ac:dyDescent="0.3">
      <c r="G95" s="3"/>
      <c r="H95" s="3"/>
      <c r="I95" s="3"/>
      <c r="J95" s="3"/>
      <c r="K95" s="3"/>
      <c r="L95" s="3"/>
    </row>
    <row r="96" spans="1:18" s="70" customFormat="1" x14ac:dyDescent="0.3">
      <c r="G96" s="3"/>
      <c r="H96" s="3"/>
      <c r="I96" s="3"/>
      <c r="J96" s="3"/>
      <c r="K96" s="3"/>
      <c r="L96" s="3"/>
      <c r="M96" s="109"/>
      <c r="N96" s="257"/>
      <c r="O96" s="257"/>
      <c r="P96" s="109"/>
      <c r="R96" s="258"/>
    </row>
    <row r="97" spans="7:16" s="70" customFormat="1" x14ac:dyDescent="0.3">
      <c r="G97" s="3"/>
      <c r="H97" s="3"/>
      <c r="I97" s="3"/>
      <c r="J97" s="3"/>
      <c r="K97" s="3"/>
      <c r="L97" s="3"/>
      <c r="M97" s="109"/>
      <c r="N97" s="257"/>
      <c r="O97" s="257"/>
      <c r="P97" s="109"/>
    </row>
    <row r="98" spans="7:16" s="70" customFormat="1" x14ac:dyDescent="0.3">
      <c r="G98" s="3"/>
      <c r="H98" s="3"/>
      <c r="I98" s="3"/>
      <c r="J98" s="3"/>
      <c r="K98" s="3"/>
      <c r="L98" s="3"/>
      <c r="M98" s="109"/>
      <c r="N98" s="257"/>
      <c r="O98" s="257"/>
      <c r="P98" s="109"/>
    </row>
    <row r="99" spans="7:16" s="70" customFormat="1" ht="15" thickBot="1" x14ac:dyDescent="0.35">
      <c r="G99" s="3"/>
      <c r="H99" s="3"/>
      <c r="I99" s="3"/>
      <c r="J99" s="3"/>
      <c r="K99" s="3"/>
      <c r="L99" s="3"/>
      <c r="M99" s="109"/>
      <c r="N99" s="259"/>
      <c r="O99" s="259"/>
      <c r="P99" s="109"/>
    </row>
    <row r="100" spans="7:16" s="70" customFormat="1" x14ac:dyDescent="0.3">
      <c r="G100" s="3"/>
      <c r="H100" s="3"/>
      <c r="I100" s="3"/>
      <c r="J100" s="3"/>
      <c r="K100" s="3"/>
      <c r="L100" s="3"/>
      <c r="M100" s="109"/>
      <c r="N100" s="260"/>
      <c r="O100" s="260"/>
      <c r="P100" s="109"/>
    </row>
    <row r="101" spans="7:16" x14ac:dyDescent="0.3">
      <c r="M101" s="109"/>
      <c r="N101" s="257"/>
      <c r="O101" s="257"/>
      <c r="P101" s="109"/>
    </row>
    <row r="102" spans="7:16" x14ac:dyDescent="0.3">
      <c r="G102" s="70"/>
      <c r="H102" s="70"/>
      <c r="I102" s="70"/>
      <c r="J102" s="70"/>
      <c r="K102" s="70"/>
      <c r="L102" s="70"/>
      <c r="M102" s="109"/>
      <c r="N102" s="257"/>
      <c r="O102" s="257"/>
      <c r="P102" s="109"/>
    </row>
    <row r="103" spans="7:16" x14ac:dyDescent="0.3">
      <c r="G103" s="70"/>
      <c r="H103" s="70"/>
      <c r="I103" s="70"/>
      <c r="J103" s="70"/>
      <c r="K103" s="70"/>
      <c r="L103" s="70"/>
      <c r="M103" s="109"/>
      <c r="N103" s="257"/>
      <c r="O103" s="257"/>
      <c r="P103" s="109"/>
    </row>
    <row r="104" spans="7:16" x14ac:dyDescent="0.3">
      <c r="G104" s="70"/>
      <c r="H104" s="70"/>
      <c r="I104" s="70"/>
      <c r="J104" s="70"/>
      <c r="K104" s="70"/>
      <c r="L104" s="70"/>
      <c r="M104" s="109"/>
      <c r="N104" s="257"/>
      <c r="P104" s="109"/>
    </row>
    <row r="105" spans="7:16" x14ac:dyDescent="0.3">
      <c r="G105" s="70"/>
      <c r="H105" s="70"/>
      <c r="I105" s="70"/>
      <c r="J105" s="70"/>
      <c r="K105" s="70"/>
      <c r="L105" s="70"/>
      <c r="M105" s="109"/>
      <c r="N105" s="257"/>
      <c r="P105" s="109"/>
    </row>
    <row r="106" spans="7:16" x14ac:dyDescent="0.3">
      <c r="G106" s="70"/>
      <c r="H106" s="70"/>
      <c r="I106" s="70"/>
      <c r="J106" s="70"/>
      <c r="K106" s="70"/>
      <c r="L106" s="70"/>
      <c r="M106" s="109"/>
      <c r="N106" s="257"/>
      <c r="P106" s="109"/>
    </row>
    <row r="107" spans="7:16" x14ac:dyDescent="0.3">
      <c r="G107" s="70"/>
      <c r="H107" s="70"/>
      <c r="I107" s="70"/>
      <c r="J107" s="70"/>
      <c r="K107" s="70"/>
      <c r="L107" s="70"/>
      <c r="M107" s="109"/>
      <c r="N107" s="260"/>
      <c r="O107" s="260"/>
      <c r="P107" s="109"/>
    </row>
    <row r="108" spans="7:16" x14ac:dyDescent="0.3">
      <c r="G108" s="70"/>
      <c r="H108" s="70"/>
      <c r="I108" s="70"/>
      <c r="J108" s="70"/>
      <c r="K108" s="70"/>
      <c r="L108" s="70"/>
      <c r="M108" s="109"/>
      <c r="N108" s="257"/>
      <c r="P108" s="109"/>
    </row>
    <row r="109" spans="7:16" x14ac:dyDescent="0.3">
      <c r="G109" s="70"/>
      <c r="H109" s="70"/>
      <c r="I109" s="70"/>
      <c r="J109" s="70"/>
      <c r="K109" s="70"/>
      <c r="L109" s="70"/>
      <c r="M109" s="109"/>
      <c r="N109" s="257"/>
      <c r="P109" s="109"/>
    </row>
    <row r="110" spans="7:16" x14ac:dyDescent="0.3">
      <c r="G110" s="70"/>
      <c r="H110" s="70"/>
      <c r="I110" s="70"/>
      <c r="J110" s="70"/>
      <c r="K110" s="70"/>
      <c r="L110" s="70"/>
      <c r="M110" s="109"/>
      <c r="N110" s="257"/>
      <c r="P110" s="109"/>
    </row>
    <row r="111" spans="7:16" x14ac:dyDescent="0.3">
      <c r="G111" s="70"/>
      <c r="H111" s="70"/>
      <c r="I111" s="70"/>
      <c r="J111" s="70"/>
      <c r="K111" s="70"/>
      <c r="L111" s="70"/>
      <c r="M111" s="109"/>
      <c r="N111" s="257"/>
      <c r="P111" s="109"/>
    </row>
    <row r="112" spans="7:16" x14ac:dyDescent="0.3">
      <c r="G112" s="70"/>
      <c r="H112" s="70"/>
      <c r="I112" s="70"/>
      <c r="J112" s="70"/>
      <c r="K112" s="70"/>
      <c r="L112" s="70"/>
      <c r="M112" s="109"/>
      <c r="N112" s="257"/>
      <c r="P112" s="109"/>
    </row>
    <row r="113" spans="7:16" ht="15" thickBot="1" x14ac:dyDescent="0.35">
      <c r="G113" s="70"/>
      <c r="H113" s="70"/>
      <c r="I113" s="70"/>
      <c r="J113" s="70"/>
      <c r="K113" s="70"/>
      <c r="L113" s="70"/>
      <c r="M113" s="109"/>
      <c r="N113" s="259"/>
      <c r="O113" s="261"/>
      <c r="P113" s="109"/>
    </row>
    <row r="114" spans="7:16" x14ac:dyDescent="0.3">
      <c r="G114" s="70"/>
      <c r="H114" s="70"/>
      <c r="I114" s="70"/>
      <c r="J114" s="70"/>
      <c r="K114" s="70"/>
      <c r="L114" s="70"/>
      <c r="M114" s="109"/>
      <c r="N114" s="257"/>
      <c r="P114" s="109"/>
    </row>
    <row r="115" spans="7:16" x14ac:dyDescent="0.3">
      <c r="G115" s="70"/>
      <c r="H115" s="70"/>
      <c r="I115" s="70"/>
      <c r="J115" s="70"/>
      <c r="K115" s="70"/>
      <c r="L115" s="70"/>
      <c r="M115" s="109"/>
      <c r="N115" s="257"/>
    </row>
    <row r="116" spans="7:16" x14ac:dyDescent="0.3">
      <c r="G116" s="70"/>
      <c r="H116" s="70"/>
      <c r="I116" s="70"/>
      <c r="J116" s="70"/>
      <c r="K116" s="70"/>
      <c r="L116" s="70"/>
      <c r="M116" s="109"/>
      <c r="N116" s="257"/>
    </row>
    <row r="117" spans="7:16" x14ac:dyDescent="0.3">
      <c r="M117" s="109"/>
      <c r="N117" s="257"/>
    </row>
    <row r="118" spans="7:16" x14ac:dyDescent="0.3">
      <c r="M118" s="109"/>
      <c r="N118" s="257"/>
    </row>
    <row r="119" spans="7:16" x14ac:dyDescent="0.3">
      <c r="M119" s="109"/>
      <c r="N119" s="205"/>
    </row>
    <row r="120" spans="7:16" x14ac:dyDescent="0.3">
      <c r="M120" s="109"/>
    </row>
    <row r="121" spans="7:16" x14ac:dyDescent="0.3">
      <c r="M121" s="109"/>
    </row>
    <row r="122" spans="7:16" x14ac:dyDescent="0.3">
      <c r="M122" s="109"/>
    </row>
    <row r="123" spans="7:16" x14ac:dyDescent="0.3">
      <c r="M123" s="109"/>
    </row>
    <row r="124" spans="7:16" x14ac:dyDescent="0.3">
      <c r="M124" s="109"/>
    </row>
    <row r="125" spans="7:16" x14ac:dyDescent="0.3">
      <c r="M125" s="109"/>
    </row>
    <row r="126" spans="7:16" ht="15" thickBot="1" x14ac:dyDescent="0.35">
      <c r="M126" s="109"/>
      <c r="N126" s="261"/>
      <c r="O126" s="261"/>
    </row>
    <row r="127" spans="7:16" s="70" customFormat="1" x14ac:dyDescent="0.3">
      <c r="G127" s="3"/>
      <c r="H127" s="3"/>
      <c r="I127" s="3"/>
      <c r="J127" s="3"/>
      <c r="K127" s="3"/>
      <c r="L127" s="3"/>
      <c r="M127" s="109"/>
      <c r="N127" s="3"/>
      <c r="O127" s="3"/>
    </row>
    <row r="128" spans="7:16" s="70" customFormat="1" x14ac:dyDescent="0.3">
      <c r="G128" s="3"/>
      <c r="H128" s="3"/>
      <c r="I128" s="3"/>
      <c r="J128" s="3"/>
      <c r="K128" s="3"/>
      <c r="L128" s="3"/>
      <c r="M128" s="109"/>
      <c r="N128" s="3"/>
      <c r="O128" s="3"/>
    </row>
    <row r="129" spans="7:15" s="70" customFormat="1" x14ac:dyDescent="0.3">
      <c r="G129" s="3"/>
      <c r="H129" s="3"/>
      <c r="I129" s="3"/>
      <c r="J129" s="3"/>
      <c r="K129" s="3"/>
      <c r="L129" s="3"/>
      <c r="M129" s="109"/>
      <c r="N129" s="3"/>
      <c r="O129" s="3"/>
    </row>
    <row r="130" spans="7:15" s="70" customFormat="1" x14ac:dyDescent="0.3">
      <c r="G130" s="3"/>
      <c r="H130" s="3"/>
      <c r="I130" s="3"/>
      <c r="J130" s="3"/>
      <c r="K130" s="3"/>
      <c r="L130" s="3"/>
      <c r="M130" s="109"/>
      <c r="N130" s="3"/>
      <c r="O130" s="3"/>
    </row>
    <row r="131" spans="7:15" s="70" customFormat="1" x14ac:dyDescent="0.3">
      <c r="G131" s="3"/>
      <c r="H131" s="3"/>
      <c r="I131" s="3"/>
      <c r="J131" s="3"/>
      <c r="K131" s="3"/>
      <c r="L131" s="3"/>
      <c r="M131" s="109"/>
      <c r="N131" s="3"/>
      <c r="O131" s="3"/>
    </row>
    <row r="132" spans="7:15" s="70" customFormat="1" x14ac:dyDescent="0.3">
      <c r="G132" s="3"/>
      <c r="H132" s="3"/>
      <c r="I132" s="3"/>
      <c r="J132" s="3"/>
      <c r="K132" s="3"/>
      <c r="L132" s="3"/>
      <c r="M132" s="109"/>
      <c r="N132" s="3"/>
      <c r="O132" s="3"/>
    </row>
    <row r="133" spans="7:15" s="70" customFormat="1" x14ac:dyDescent="0.3">
      <c r="G133" s="3"/>
      <c r="H133" s="3"/>
      <c r="I133" s="3"/>
      <c r="J133" s="3"/>
      <c r="K133" s="3"/>
      <c r="L133" s="3"/>
      <c r="M133" s="109"/>
      <c r="N133" s="3"/>
      <c r="O133" s="3"/>
    </row>
    <row r="134" spans="7:15" s="70" customFormat="1" x14ac:dyDescent="0.3">
      <c r="G134" s="3"/>
      <c r="H134" s="3"/>
      <c r="I134" s="3"/>
      <c r="J134" s="3"/>
      <c r="K134" s="3"/>
      <c r="L134" s="3"/>
      <c r="M134" s="109"/>
      <c r="N134" s="3"/>
      <c r="O134" s="3"/>
    </row>
    <row r="135" spans="7:15" s="70" customFormat="1" x14ac:dyDescent="0.3">
      <c r="G135" s="3"/>
      <c r="H135" s="3"/>
      <c r="I135" s="3"/>
      <c r="J135" s="3"/>
      <c r="K135" s="3"/>
      <c r="L135" s="3"/>
      <c r="M135" s="109"/>
      <c r="N135" s="3"/>
      <c r="O135" s="3"/>
    </row>
    <row r="136" spans="7:15" s="70" customFormat="1" x14ac:dyDescent="0.3">
      <c r="G136" s="3"/>
      <c r="H136" s="3"/>
      <c r="I136" s="3"/>
      <c r="J136" s="3"/>
      <c r="K136" s="3"/>
      <c r="L136" s="3"/>
      <c r="M136" s="109"/>
      <c r="N136" s="3"/>
      <c r="O136" s="3"/>
    </row>
    <row r="137" spans="7:15" s="70" customFormat="1" x14ac:dyDescent="0.3">
      <c r="G137" s="3"/>
      <c r="H137" s="3"/>
      <c r="I137" s="3"/>
      <c r="J137" s="3"/>
      <c r="K137" s="3"/>
      <c r="L137" s="3"/>
      <c r="M137" s="109"/>
      <c r="N137" s="3"/>
      <c r="O137" s="3"/>
    </row>
    <row r="138" spans="7:15" s="70" customFormat="1" x14ac:dyDescent="0.3">
      <c r="G138" s="3"/>
      <c r="H138" s="3"/>
      <c r="I138" s="3"/>
      <c r="J138" s="3"/>
      <c r="K138" s="3"/>
      <c r="L138" s="3"/>
      <c r="M138" s="109"/>
      <c r="N138" s="3"/>
      <c r="O138" s="3"/>
    </row>
    <row r="139" spans="7:15" s="70" customFormat="1" x14ac:dyDescent="0.3">
      <c r="G139" s="3"/>
      <c r="H139" s="3"/>
      <c r="I139" s="3"/>
      <c r="J139" s="3"/>
      <c r="K139" s="3"/>
      <c r="L139" s="3"/>
      <c r="M139" s="109"/>
      <c r="N139" s="3"/>
      <c r="O139" s="3"/>
    </row>
    <row r="140" spans="7:15" s="70" customFormat="1" x14ac:dyDescent="0.3">
      <c r="G140" s="3"/>
      <c r="H140" s="3"/>
      <c r="I140" s="3"/>
      <c r="J140" s="3"/>
      <c r="K140" s="3"/>
      <c r="L140" s="3"/>
      <c r="M140" s="109"/>
      <c r="N140" s="3"/>
      <c r="O140" s="3"/>
    </row>
    <row r="141" spans="7:15" s="70" customFormat="1" ht="15" thickBot="1" x14ac:dyDescent="0.35">
      <c r="G141" s="3"/>
      <c r="H141" s="3"/>
      <c r="I141" s="3"/>
      <c r="J141" s="3"/>
      <c r="K141" s="3"/>
      <c r="L141" s="3"/>
      <c r="M141" s="3"/>
      <c r="N141" s="261"/>
      <c r="O141" s="261"/>
    </row>
  </sheetData>
  <autoFilter ref="A6:O6" xr:uid="{00000000-0009-0000-0000-000005000000}"/>
  <mergeCells count="64">
    <mergeCell ref="A32:G32"/>
    <mergeCell ref="G41:K41"/>
    <mergeCell ref="L33:O33"/>
    <mergeCell ref="L34:O35"/>
    <mergeCell ref="H35:I35"/>
    <mergeCell ref="L36:M36"/>
    <mergeCell ref="L39:M39"/>
    <mergeCell ref="N39:O39"/>
    <mergeCell ref="A20:B20"/>
    <mergeCell ref="L20:N20"/>
    <mergeCell ref="A21:B21"/>
    <mergeCell ref="L21:N21"/>
    <mergeCell ref="A33:C33"/>
    <mergeCell ref="A22:B22"/>
    <mergeCell ref="L22:N22"/>
    <mergeCell ref="A23:B23"/>
    <mergeCell ref="L23:M23"/>
    <mergeCell ref="A24:B24"/>
    <mergeCell ref="H24:I24"/>
    <mergeCell ref="J24:O24"/>
    <mergeCell ref="A25:B25"/>
    <mergeCell ref="A26:B26"/>
    <mergeCell ref="H29:I29"/>
    <mergeCell ref="A31:B31"/>
    <mergeCell ref="A18:B18"/>
    <mergeCell ref="H18:I18"/>
    <mergeCell ref="J18:K18"/>
    <mergeCell ref="L18:N18"/>
    <mergeCell ref="A19:B19"/>
    <mergeCell ref="L19:N19"/>
    <mergeCell ref="A16:B16"/>
    <mergeCell ref="H16:K16"/>
    <mergeCell ref="L16:M16"/>
    <mergeCell ref="A17:B17"/>
    <mergeCell ref="H17:I17"/>
    <mergeCell ref="J17:K17"/>
    <mergeCell ref="L17:N17"/>
    <mergeCell ref="A14:B14"/>
    <mergeCell ref="H14:I14"/>
    <mergeCell ref="L14:M14"/>
    <mergeCell ref="A15:B15"/>
    <mergeCell ref="H15:I15"/>
    <mergeCell ref="L15:M15"/>
    <mergeCell ref="A13:B13"/>
    <mergeCell ref="H13:I13"/>
    <mergeCell ref="L13:M13"/>
    <mergeCell ref="A12:G12"/>
    <mergeCell ref="H12:K12"/>
    <mergeCell ref="L12:O12"/>
    <mergeCell ref="N4:O4"/>
    <mergeCell ref="C5:E5"/>
    <mergeCell ref="F5:I5"/>
    <mergeCell ref="A1:G3"/>
    <mergeCell ref="H1:I1"/>
    <mergeCell ref="J1:L1"/>
    <mergeCell ref="N1:O1"/>
    <mergeCell ref="H2:I2"/>
    <mergeCell ref="J2:L2"/>
    <mergeCell ref="N2:O2"/>
    <mergeCell ref="H3:I3"/>
    <mergeCell ref="J3:L3"/>
    <mergeCell ref="N3:O3"/>
    <mergeCell ref="K5:L5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31</vt:i4>
      </vt:variant>
    </vt:vector>
  </HeadingPairs>
  <TitlesOfParts>
    <vt:vector size="62" baseType="lpstr">
      <vt:lpstr>01-03-2025</vt:lpstr>
      <vt:lpstr>02-03-2025</vt:lpstr>
      <vt:lpstr>03-03-2025</vt:lpstr>
      <vt:lpstr>04-03-2025</vt:lpstr>
      <vt:lpstr>05-03-2025</vt:lpstr>
      <vt:lpstr>06-03-2025</vt:lpstr>
      <vt:lpstr>07-03-2025</vt:lpstr>
      <vt:lpstr>08-03-2025</vt:lpstr>
      <vt:lpstr>09-03-2025</vt:lpstr>
      <vt:lpstr>10-03-2025</vt:lpstr>
      <vt:lpstr>11-03-2025</vt:lpstr>
      <vt:lpstr>12-03-2025</vt:lpstr>
      <vt:lpstr>13-03-2025</vt:lpstr>
      <vt:lpstr>14-03-2025</vt:lpstr>
      <vt:lpstr>15-03-2025</vt:lpstr>
      <vt:lpstr>16-03-2025</vt:lpstr>
      <vt:lpstr>17-03-2025</vt:lpstr>
      <vt:lpstr>18-03-2025</vt:lpstr>
      <vt:lpstr>19-03-2025</vt:lpstr>
      <vt:lpstr>20-03-2025</vt:lpstr>
      <vt:lpstr>21-03-2025</vt:lpstr>
      <vt:lpstr>22-03-2025</vt:lpstr>
      <vt:lpstr>23-03-2025</vt:lpstr>
      <vt:lpstr>24-03-2025</vt:lpstr>
      <vt:lpstr>25-03-2025</vt:lpstr>
      <vt:lpstr>26-03-2025</vt:lpstr>
      <vt:lpstr>27-03-2025</vt:lpstr>
      <vt:lpstr>28-03-2025</vt:lpstr>
      <vt:lpstr>29-03-2025</vt:lpstr>
      <vt:lpstr>30-03-2025</vt:lpstr>
      <vt:lpstr>31-03-2025</vt:lpstr>
      <vt:lpstr>'01-03-2025'!Área_de_impresión</vt:lpstr>
      <vt:lpstr>'02-03-2025'!Área_de_impresión</vt:lpstr>
      <vt:lpstr>'03-03-2025'!Área_de_impresión</vt:lpstr>
      <vt:lpstr>'04-03-2025'!Área_de_impresión</vt:lpstr>
      <vt:lpstr>'05-03-2025'!Área_de_impresión</vt:lpstr>
      <vt:lpstr>'06-03-2025'!Área_de_impresión</vt:lpstr>
      <vt:lpstr>'07-03-2025'!Área_de_impresión</vt:lpstr>
      <vt:lpstr>'08-03-2025'!Área_de_impresión</vt:lpstr>
      <vt:lpstr>'09-03-2025'!Área_de_impresión</vt:lpstr>
      <vt:lpstr>'10-03-2025'!Área_de_impresión</vt:lpstr>
      <vt:lpstr>'11-03-2025'!Área_de_impresión</vt:lpstr>
      <vt:lpstr>'12-03-2025'!Área_de_impresión</vt:lpstr>
      <vt:lpstr>'13-03-2025'!Área_de_impresión</vt:lpstr>
      <vt:lpstr>'14-03-2025'!Área_de_impresión</vt:lpstr>
      <vt:lpstr>'15-03-2025'!Área_de_impresión</vt:lpstr>
      <vt:lpstr>'16-03-2025'!Área_de_impresión</vt:lpstr>
      <vt:lpstr>'17-03-2025'!Área_de_impresión</vt:lpstr>
      <vt:lpstr>'18-03-2025'!Área_de_impresión</vt:lpstr>
      <vt:lpstr>'19-03-2025'!Área_de_impresión</vt:lpstr>
      <vt:lpstr>'20-03-2025'!Área_de_impresión</vt:lpstr>
      <vt:lpstr>'21-03-2025'!Área_de_impresión</vt:lpstr>
      <vt:lpstr>'22-03-2025'!Área_de_impresión</vt:lpstr>
      <vt:lpstr>'23-03-2025'!Área_de_impresión</vt:lpstr>
      <vt:lpstr>'24-03-2025'!Área_de_impresión</vt:lpstr>
      <vt:lpstr>'25-03-2025'!Área_de_impresión</vt:lpstr>
      <vt:lpstr>'26-03-2025'!Área_de_impresión</vt:lpstr>
      <vt:lpstr>'27-03-2025'!Área_de_impresión</vt:lpstr>
      <vt:lpstr>'28-03-2025'!Área_de_impresión</vt:lpstr>
      <vt:lpstr>'29-03-2025'!Área_de_impresión</vt:lpstr>
      <vt:lpstr>'30-03-2025'!Área_de_impresión</vt:lpstr>
      <vt:lpstr>'31-03-2025'!Área_de_impresión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Soler</dc:creator>
  <cp:lastModifiedBy>sistemas</cp:lastModifiedBy>
  <cp:lastPrinted>2025-04-01T16:30:28Z</cp:lastPrinted>
  <dcterms:created xsi:type="dcterms:W3CDTF">2025-03-03T16:34:01Z</dcterms:created>
  <dcterms:modified xsi:type="dcterms:W3CDTF">2025-06-17T12:10:25Z</dcterms:modified>
</cp:coreProperties>
</file>