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OneDrive\Documentos\GitHub\UC_projeto\"/>
    </mc:Choice>
  </mc:AlternateContent>
  <xr:revisionPtr revIDLastSave="0" documentId="13_ncr:1_{C37688BB-4AFF-4B78-B4F0-AC0AE809486E}" xr6:coauthVersionLast="47" xr6:coauthVersionMax="47" xr10:uidLastSave="{00000000-0000-0000-0000-000000000000}"/>
  <bookViews>
    <workbookView xWindow="-108" yWindow="-108" windowWidth="23256" windowHeight="12576" activeTab="4" xr2:uid="{C94ABC85-F8B5-4533-8961-D8998B419AEF}"/>
  </bookViews>
  <sheets>
    <sheet name="Total" sheetId="2" r:id="rId1"/>
    <sheet name="DNA" sheetId="5" r:id="rId2"/>
    <sheet name="RNA" sheetId="4" r:id="rId3"/>
    <sheet name="Protein" sheetId="1" r:id="rId4"/>
    <sheet name="Exopolysaccharide" sheetId="3" r:id="rId5"/>
    <sheet name="FattyAcid" sheetId="8" r:id="rId6"/>
    <sheet name="Lipid" sheetId="6" r:id="rId7"/>
    <sheet name="Cofacto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2" l="1"/>
  <c r="H19" i="6"/>
  <c r="I19" i="6" s="1"/>
  <c r="H18" i="6"/>
  <c r="I18" i="6" s="1"/>
  <c r="H17" i="6"/>
  <c r="I17" i="6" s="1"/>
  <c r="H16" i="6"/>
  <c r="I16" i="6" s="1"/>
  <c r="H15" i="6"/>
  <c r="I15" i="6" s="1"/>
  <c r="G41" i="8"/>
  <c r="G40" i="8"/>
  <c r="G39" i="8"/>
  <c r="G38" i="8"/>
  <c r="G37" i="8"/>
  <c r="G36" i="8"/>
  <c r="G35" i="8"/>
  <c r="G34" i="8"/>
  <c r="G33" i="8"/>
  <c r="G31" i="8"/>
  <c r="G30" i="8"/>
  <c r="G28" i="8"/>
  <c r="G27" i="8"/>
  <c r="E28" i="8"/>
  <c r="E41" i="8"/>
  <c r="E40" i="8"/>
  <c r="E39" i="8"/>
  <c r="E38" i="8"/>
  <c r="E37" i="8"/>
  <c r="E36" i="8"/>
  <c r="E35" i="8"/>
  <c r="E34" i="8"/>
  <c r="E33" i="8"/>
  <c r="E32" i="8"/>
  <c r="G32" i="8" s="1"/>
  <c r="E31" i="8"/>
  <c r="E30" i="8"/>
  <c r="E29" i="8"/>
  <c r="E27" i="8"/>
  <c r="E26" i="8"/>
  <c r="E25" i="8"/>
  <c r="G25" i="8" s="1"/>
  <c r="E24" i="8"/>
  <c r="E23" i="8"/>
  <c r="G26" i="8"/>
  <c r="E22" i="8"/>
  <c r="G29" i="8"/>
  <c r="G24" i="8"/>
  <c r="G23" i="8"/>
  <c r="G22" i="8"/>
  <c r="K9" i="1"/>
  <c r="L5" i="1"/>
  <c r="H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5" i="9"/>
  <c r="H5" i="6"/>
  <c r="I5" i="6" s="1"/>
  <c r="H6" i="6"/>
  <c r="I6" i="6" s="1"/>
  <c r="H7" i="6"/>
  <c r="I7" i="6" s="1"/>
  <c r="H8" i="6"/>
  <c r="I8" i="6" s="1"/>
  <c r="H4" i="6"/>
  <c r="I4" i="6" s="1"/>
  <c r="K5" i="1"/>
  <c r="J5" i="1"/>
  <c r="H4" i="3"/>
  <c r="E12" i="3"/>
  <c r="F12" i="3"/>
  <c r="G12" i="3"/>
  <c r="H5" i="3"/>
  <c r="H6" i="3"/>
  <c r="H11" i="3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G8" i="8"/>
  <c r="G9" i="8"/>
  <c r="G10" i="8"/>
  <c r="G11" i="8"/>
  <c r="G12" i="8"/>
  <c r="G13" i="8"/>
  <c r="G7" i="8"/>
  <c r="K25" i="1"/>
  <c r="J2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H12" i="3" l="1"/>
  <c r="J4" i="3" s="1"/>
  <c r="I5" i="3"/>
  <c r="J11" i="3"/>
  <c r="I6" i="3"/>
  <c r="J6" i="3"/>
  <c r="K6" i="3" s="1"/>
  <c r="I11" i="3"/>
  <c r="I20" i="6"/>
  <c r="E42" i="8"/>
  <c r="I9" i="6"/>
  <c r="L25" i="1"/>
  <c r="I6" i="1"/>
  <c r="I7" i="1"/>
  <c r="I8" i="1"/>
  <c r="I9" i="1"/>
  <c r="I10" i="1"/>
  <c r="I11" i="1"/>
  <c r="I12" i="1"/>
  <c r="I13" i="1"/>
  <c r="I14" i="1"/>
  <c r="I25" i="1" s="1"/>
  <c r="K24" i="1" s="1"/>
  <c r="I15" i="1"/>
  <c r="I16" i="1"/>
  <c r="I17" i="1"/>
  <c r="I18" i="1"/>
  <c r="I19" i="1"/>
  <c r="I20" i="1"/>
  <c r="I21" i="1"/>
  <c r="I22" i="1"/>
  <c r="I23" i="1"/>
  <c r="I24" i="1"/>
  <c r="I5" i="1"/>
  <c r="H25" i="1"/>
  <c r="F25" i="1"/>
  <c r="G25" i="1"/>
  <c r="L50" i="1"/>
  <c r="K50" i="1"/>
  <c r="G21" i="9"/>
  <c r="F21" i="9"/>
  <c r="E14" i="8"/>
  <c r="D11" i="2"/>
  <c r="I4" i="3" l="1"/>
  <c r="J5" i="3"/>
  <c r="K5" i="3" s="1"/>
  <c r="I12" i="3"/>
  <c r="J16" i="3"/>
  <c r="K11" i="3"/>
  <c r="J18" i="3"/>
  <c r="J17" i="3"/>
  <c r="K4" i="3"/>
  <c r="K19" i="6"/>
  <c r="K17" i="6"/>
  <c r="K15" i="6"/>
  <c r="K20" i="6" s="1"/>
  <c r="K18" i="6"/>
  <c r="K16" i="6"/>
  <c r="J17" i="6"/>
  <c r="J19" i="6"/>
  <c r="J18" i="6"/>
  <c r="J15" i="6"/>
  <c r="J20" i="6" s="1"/>
  <c r="J16" i="6"/>
  <c r="J5" i="6"/>
  <c r="J4" i="6"/>
  <c r="J9" i="6" s="1"/>
  <c r="K6" i="6"/>
  <c r="J6" i="6"/>
  <c r="K4" i="6"/>
  <c r="K9" i="6" s="1"/>
  <c r="J7" i="6"/>
  <c r="K8" i="6"/>
  <c r="K5" i="6"/>
  <c r="K7" i="6"/>
  <c r="J8" i="6"/>
  <c r="H6" i="9"/>
  <c r="H7" i="9"/>
  <c r="H8" i="9"/>
  <c r="H9" i="9"/>
  <c r="H10" i="9"/>
  <c r="H11" i="9"/>
  <c r="H12" i="9"/>
  <c r="H13" i="9"/>
  <c r="H15" i="9"/>
  <c r="H16" i="9"/>
  <c r="H18" i="9"/>
  <c r="H19" i="9"/>
  <c r="H14" i="9"/>
  <c r="H17" i="9"/>
  <c r="H20" i="9"/>
  <c r="K10" i="1"/>
  <c r="K15" i="1"/>
  <c r="K13" i="1"/>
  <c r="K11" i="1"/>
  <c r="K21" i="1"/>
  <c r="K19" i="1"/>
  <c r="K8" i="1"/>
  <c r="K20" i="1"/>
  <c r="K18" i="1"/>
  <c r="K17" i="1"/>
  <c r="K23" i="1"/>
  <c r="K7" i="1"/>
  <c r="K16" i="1"/>
  <c r="K14" i="1"/>
  <c r="K12" i="1"/>
  <c r="K22" i="1"/>
  <c r="K6" i="1"/>
  <c r="J12" i="3" l="1"/>
  <c r="K12" i="3"/>
  <c r="H21" i="9"/>
  <c r="I21" i="9" l="1"/>
</calcChain>
</file>

<file path=xl/sharedStrings.xml><?xml version="1.0" encoding="utf-8"?>
<sst xmlns="http://schemas.openxmlformats.org/spreadsheetml/2006/main" count="331" uniqueCount="260">
  <si>
    <t>Protein</t>
  </si>
  <si>
    <t>Glycine</t>
  </si>
  <si>
    <t>C2H5NO2</t>
  </si>
  <si>
    <t>L-Alanine</t>
  </si>
  <si>
    <t>C3H7NO2</t>
  </si>
  <si>
    <t>L-Arginine</t>
  </si>
  <si>
    <t>L-Asparagine</t>
  </si>
  <si>
    <t>C4H8N2O3</t>
  </si>
  <si>
    <t>L-Aspartate</t>
  </si>
  <si>
    <t>L-Cysteine</t>
  </si>
  <si>
    <t>C3H7NO2S</t>
  </si>
  <si>
    <t>L-Glutamate</t>
  </si>
  <si>
    <t>L-Glutamine</t>
  </si>
  <si>
    <t>C5H10N2O3</t>
  </si>
  <si>
    <t>L-Histidine</t>
  </si>
  <si>
    <t>C6H9N3O2</t>
  </si>
  <si>
    <t>L-Isoleucine</t>
  </si>
  <si>
    <t>C6H13NO2</t>
  </si>
  <si>
    <t>L-Leucine</t>
  </si>
  <si>
    <t>L-Lysine</t>
  </si>
  <si>
    <t>L-Methionine</t>
  </si>
  <si>
    <t>C5H11NO2S</t>
  </si>
  <si>
    <t>L-Phenylalanine</t>
  </si>
  <si>
    <t>C9H11NO2</t>
  </si>
  <si>
    <t>L-Proline</t>
  </si>
  <si>
    <t>C5H9NO2</t>
  </si>
  <si>
    <t>L-Serine</t>
  </si>
  <si>
    <t>C3H7NO3</t>
  </si>
  <si>
    <t>L-Threonine</t>
  </si>
  <si>
    <t>C4H9NO3</t>
  </si>
  <si>
    <t>L-Tryptophan</t>
  </si>
  <si>
    <t>C11H12N2O2</t>
  </si>
  <si>
    <t>L-Tyrosine</t>
  </si>
  <si>
    <t>C9H11NO3</t>
  </si>
  <si>
    <t>L-Valine</t>
  </si>
  <si>
    <t>C5H11NO2</t>
  </si>
  <si>
    <t>Macromolecule</t>
  </si>
  <si>
    <t>mol M /mol MM</t>
  </si>
  <si>
    <t>Cofactors</t>
  </si>
  <si>
    <t>e-RNA</t>
  </si>
  <si>
    <t>e-DNA</t>
  </si>
  <si>
    <t>Lipid</t>
  </si>
  <si>
    <t>DNA</t>
  </si>
  <si>
    <t>RNA</t>
  </si>
  <si>
    <t>mass % (g MM/gDW)</t>
  </si>
  <si>
    <t>mol M/mol MM</t>
  </si>
  <si>
    <t>Reactants</t>
  </si>
  <si>
    <t>Products</t>
  </si>
  <si>
    <t>UDP</t>
  </si>
  <si>
    <t>Metabolite</t>
  </si>
  <si>
    <t>Chemical Formula</t>
  </si>
  <si>
    <t>MW (g/mol)</t>
  </si>
  <si>
    <t>C17H25N3O17P2</t>
  </si>
  <si>
    <t>UDP-glucose</t>
  </si>
  <si>
    <t>C15H22N2O17P2</t>
  </si>
  <si>
    <t>dTDP-L-rhamnose</t>
  </si>
  <si>
    <t>C16H24N2O15P2</t>
  </si>
  <si>
    <t>Total</t>
  </si>
  <si>
    <t>e-Exopolysaccharide</t>
  </si>
  <si>
    <t>dTDP</t>
  </si>
  <si>
    <t>C10H13N2O11P2</t>
  </si>
  <si>
    <t>C9H11N2O12P2</t>
  </si>
  <si>
    <t>H2O</t>
  </si>
  <si>
    <t>MW - dTDP or UDP or H2O (g/mol)</t>
  </si>
  <si>
    <r>
      <t>mol/mol</t>
    </r>
    <r>
      <rPr>
        <vertAlign val="subscript"/>
        <sz val="11"/>
        <color rgb="FF000000"/>
        <rFont val="Calibri"/>
        <family val="2"/>
        <scheme val="minor"/>
      </rPr>
      <t>e-RNA</t>
    </r>
  </si>
  <si>
    <t>MW - Diphosphate (g/mol)</t>
  </si>
  <si>
    <r>
      <t>g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/mol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</si>
  <si>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</si>
  <si>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e-RNA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</si>
  <si>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DW</t>
    </r>
  </si>
  <si>
    <t>UTP</t>
  </si>
  <si>
    <t>C9H11N2O15P3</t>
  </si>
  <si>
    <t>GTP</t>
  </si>
  <si>
    <t>C10H12N5O14P3</t>
  </si>
  <si>
    <t>CTP</t>
  </si>
  <si>
    <t>C9H12N3O14P3</t>
  </si>
  <si>
    <t>ATP</t>
  </si>
  <si>
    <t>C10H12N5O13P3</t>
  </si>
  <si>
    <t>Diphosphate</t>
  </si>
  <si>
    <t>H1O7P2</t>
  </si>
  <si>
    <r>
      <t>mol/mol</t>
    </r>
    <r>
      <rPr>
        <vertAlign val="subscript"/>
        <sz val="11"/>
        <color rgb="FF000000"/>
        <rFont val="Calibri"/>
        <family val="2"/>
        <scheme val="minor"/>
      </rPr>
      <t>e-DNA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</si>
  <si>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/mol</t>
    </r>
    <r>
      <rPr>
        <vertAlign val="subscript"/>
        <sz val="11"/>
        <color rgb="FF000000"/>
        <rFont val="Calibri"/>
        <family val="2"/>
        <scheme val="minor"/>
      </rPr>
      <t>e-DNA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</si>
  <si>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e-DNA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</si>
  <si>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e-DNA</t>
    </r>
  </si>
  <si>
    <t>dTTP</t>
  </si>
  <si>
    <t>C10H13N2O14P3</t>
  </si>
  <si>
    <t>dGTP</t>
  </si>
  <si>
    <t>dCTP</t>
  </si>
  <si>
    <t>C9H12N3O13P3</t>
  </si>
  <si>
    <t>dATP</t>
  </si>
  <si>
    <t>C10H12N5O12P3</t>
  </si>
  <si>
    <t># of Acyl Group</t>
  </si>
  <si>
    <t>MW of Core Structure (g/mol)</t>
  </si>
  <si>
    <r>
      <t>MW + Acyl group - CO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H (g/mol)</t>
    </r>
  </si>
  <si>
    <t>1-Acyl-sn-glycero-3-phosphoglycerol</t>
  </si>
  <si>
    <t>C7H14O9PR</t>
  </si>
  <si>
    <t>3-D-Glucosyl-1,2-diacylglycerol</t>
  </si>
  <si>
    <t>C11H16O10R2</t>
  </si>
  <si>
    <t>Cardiolipin</t>
  </si>
  <si>
    <t>C13H16O17P2R4</t>
  </si>
  <si>
    <t>Diglucosyldiacylglycerol</t>
  </si>
  <si>
    <t>C17H26O15R2</t>
  </si>
  <si>
    <t>Phosphatidylglycerol</t>
  </si>
  <si>
    <t>C8H12O10PR2</t>
  </si>
  <si>
    <t>molar fraction</t>
  </si>
  <si>
    <r>
      <t>MW of Each Fatty Acid in the final Fatty Acid (g/mol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>)</t>
    </r>
  </si>
  <si>
    <t>Octadecanoic acid</t>
  </si>
  <si>
    <t>C18H35O2</t>
  </si>
  <si>
    <t>Tridecanoic acid</t>
  </si>
  <si>
    <t>C13H25O2</t>
  </si>
  <si>
    <t>(9Z)-Octadecenoic acid</t>
  </si>
  <si>
    <t>C18H33O2</t>
  </si>
  <si>
    <t>Hexadecanoic acid</t>
  </si>
  <si>
    <t>C16H31O2</t>
  </si>
  <si>
    <t>Tetradecanoic acid</t>
  </si>
  <si>
    <t>C14H27O2</t>
  </si>
  <si>
    <t>(9Z)-Hexadecenoic acid</t>
  </si>
  <si>
    <t>C16H29O2</t>
  </si>
  <si>
    <t>(11E)-Octadecenoic acid</t>
  </si>
  <si>
    <r>
      <t>Average Fatty Acid (g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 xml:space="preserve"> /mol</t>
    </r>
    <r>
      <rPr>
        <vertAlign val="subscript"/>
        <sz val="11"/>
        <color rgb="FF000000"/>
        <rFont val="Calibri"/>
        <family val="2"/>
        <scheme val="minor"/>
      </rPr>
      <t>Fatty Acid</t>
    </r>
    <r>
      <rPr>
        <sz val="11"/>
        <color rgb="FF000000"/>
        <rFont val="Calibri"/>
        <family val="2"/>
        <scheme val="minor"/>
      </rPr>
      <t>)</t>
    </r>
  </si>
  <si>
    <t>Average Fatty Acid without CHO2 (gFatty Acid /molFatty Acid)</t>
  </si>
  <si>
    <r>
      <t>mmol</t>
    </r>
    <r>
      <rPr>
        <vertAlign val="subscript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 xml:space="preserve"> MM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</si>
  <si>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 xml:space="preserve"> MM</t>
    </r>
  </si>
  <si>
    <r>
      <t>g</t>
    </r>
    <r>
      <rPr>
        <vertAlign val="subscript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/mol</t>
    </r>
    <r>
      <rPr>
        <vertAlign val="subscript"/>
        <sz val="11"/>
        <color rgb="FF000000"/>
        <rFont val="Calibri"/>
        <family val="2"/>
        <scheme val="minor"/>
      </rPr>
      <t xml:space="preserve"> MM</t>
    </r>
  </si>
  <si>
    <r>
      <t>mmol</t>
    </r>
    <r>
      <rPr>
        <vertAlign val="subscript"/>
        <sz val="11"/>
        <color rgb="FF000000"/>
        <rFont val="Calibri"/>
        <family val="2"/>
        <scheme val="minor"/>
      </rPr>
      <t>monomer</t>
    </r>
    <r>
      <rPr>
        <sz val="11"/>
        <color rgb="FF000000"/>
        <rFont val="Calibri"/>
        <family val="2"/>
        <scheme val="minor"/>
      </rPr>
      <t>/g</t>
    </r>
    <r>
      <rPr>
        <vertAlign val="subscript"/>
        <sz val="11"/>
        <color rgb="FF000000"/>
        <rFont val="Calibri"/>
        <family val="2"/>
        <scheme val="minor"/>
      </rPr>
      <t>e-Cofactor</t>
    </r>
  </si>
  <si>
    <t>Thiamine</t>
  </si>
  <si>
    <t>C12H17N4OS</t>
  </si>
  <si>
    <t>Tetrahydrofolate</t>
  </si>
  <si>
    <t>C19H21N7O6</t>
  </si>
  <si>
    <t>Spermidine</t>
  </si>
  <si>
    <t>C7H22N3</t>
  </si>
  <si>
    <t>S-Adenosyl-L-methionine</t>
  </si>
  <si>
    <t>C15H23N6O5S</t>
  </si>
  <si>
    <t>Riboflavin</t>
  </si>
  <si>
    <t>C17H20N4O6</t>
  </si>
  <si>
    <t>Pyridoxal</t>
  </si>
  <si>
    <t>C8H9NO3</t>
  </si>
  <si>
    <t>Putrescine</t>
  </si>
  <si>
    <t>C4H14N2</t>
  </si>
  <si>
    <t>Pantothenate</t>
  </si>
  <si>
    <t>C9H16NO5</t>
  </si>
  <si>
    <t>NADP+</t>
  </si>
  <si>
    <t>C21H25N7O17P3</t>
  </si>
  <si>
    <t>NAD+</t>
  </si>
  <si>
    <t>C21H26N7O14P2</t>
  </si>
  <si>
    <t>Glutathione</t>
  </si>
  <si>
    <t>C10H16N3O6S</t>
  </si>
  <si>
    <t>FMN</t>
  </si>
  <si>
    <t>C17H19N4O9P</t>
  </si>
  <si>
    <t>FAD</t>
  </si>
  <si>
    <t>C27H31N9O15P2</t>
  </si>
  <si>
    <t>CoA</t>
  </si>
  <si>
    <t>C21H32N7O16P3S</t>
  </si>
  <si>
    <t>Biotin</t>
  </si>
  <si>
    <t>C10H15N2O3S</t>
  </si>
  <si>
    <t>4-Aminobenzoate</t>
  </si>
  <si>
    <t>C7H6NO2</t>
  </si>
  <si>
    <t># of mol into Cofactor</t>
  </si>
  <si>
    <t>e-Protein</t>
  </si>
  <si>
    <t>tRNA(Val)</t>
  </si>
  <si>
    <t>tRNA(Tyr)</t>
  </si>
  <si>
    <t>tRNA(Trp)</t>
  </si>
  <si>
    <t>tRNA(Thr)</t>
  </si>
  <si>
    <t>tRNA(Ser)</t>
  </si>
  <si>
    <t>tRNA(Pro)</t>
  </si>
  <si>
    <t>tRNA(Phe)</t>
  </si>
  <si>
    <t>tRNA(Met)</t>
  </si>
  <si>
    <t>tRNA(Lys)</t>
  </si>
  <si>
    <t>tRNA(Leu)</t>
  </si>
  <si>
    <t>tRNA(Ile)</t>
  </si>
  <si>
    <t>tRNA(His)</t>
  </si>
  <si>
    <t>tRNA(Gly)</t>
  </si>
  <si>
    <t>tRNA(Glu)</t>
  </si>
  <si>
    <t>tRNA(Gln)</t>
  </si>
  <si>
    <t>tRNA(Cys)</t>
  </si>
  <si>
    <t>tRNA(Asp)</t>
  </si>
  <si>
    <t>tRNA(Asn)</t>
  </si>
  <si>
    <t>tRNA(Arg)</t>
  </si>
  <si>
    <t>tRNA(Ala)</t>
  </si>
  <si>
    <t>Amino Acid</t>
  </si>
  <si>
    <t>MW - H2O (g/mol)</t>
  </si>
  <si>
    <t>L-Valyl-tRNA(Val)</t>
  </si>
  <si>
    <t>L-Tyrosyl-tRNA(Tyr)</t>
  </si>
  <si>
    <t>L-Tryptophanyl-tRNA(Trp)</t>
  </si>
  <si>
    <t>L-Threonyl-tRNA(Thr)</t>
  </si>
  <si>
    <t>L-Seryl-tRNA(Ser)</t>
  </si>
  <si>
    <t>L-Prolyl-tRNA(Pro)</t>
  </si>
  <si>
    <t>L-Phenylalanyl-tRNA(Phe)</t>
  </si>
  <si>
    <t>L-Methionyl-tRNA</t>
  </si>
  <si>
    <t>L-Lysyl-tRNA</t>
  </si>
  <si>
    <t>C6H15N2O2</t>
  </si>
  <si>
    <t>L-Leucyl-tRNA</t>
  </si>
  <si>
    <t>L-Isoleucyl-tRNA(Ile)</t>
  </si>
  <si>
    <t>L-Histidyl-tRNA(His)</t>
  </si>
  <si>
    <t>L-Glutamyl-tRNA(Glu)</t>
  </si>
  <si>
    <t>C5H8NO4</t>
  </si>
  <si>
    <t>L-Cysteinyl-tRNA(Cys)</t>
  </si>
  <si>
    <t>L-Aspartyl-tRNA(Asp)</t>
  </si>
  <si>
    <t>C4H6NO4</t>
  </si>
  <si>
    <t>L-Asparaginyl-tRNA(Asn)</t>
  </si>
  <si>
    <t>L-Arginyl-tRNA(Arg)</t>
  </si>
  <si>
    <t>C6H15N4O2</t>
  </si>
  <si>
    <t>L-Alanyl-tRNA</t>
  </si>
  <si>
    <t>Glycyl-tRNA(Gly)</t>
  </si>
  <si>
    <t>Glutaminyl-tRNA</t>
  </si>
  <si>
    <r>
      <t>mol M/mol</t>
    </r>
    <r>
      <rPr>
        <vertAlign val="subscript"/>
        <sz val="11"/>
        <color theme="1"/>
        <rFont val="Calibri"/>
        <family val="2"/>
        <scheme val="minor"/>
      </rPr>
      <t xml:space="preserve"> MM</t>
    </r>
  </si>
  <si>
    <t>mmol M / g MM</t>
  </si>
  <si>
    <t>g M / mol MM</t>
  </si>
  <si>
    <t>g M / g MM</t>
  </si>
  <si>
    <t>mmol M / gDW</t>
  </si>
  <si>
    <t>Note: Some authors do not make this calculations for cofactors and just assume a slow value (e.g. 1 x 10^(−5)) for each metabolite</t>
  </si>
  <si>
    <t>Note: some authors consider th g/g to be the same for all metabolites, while others consider the mol/mol</t>
  </si>
  <si>
    <t>Carbohydrates</t>
  </si>
  <si>
    <t>Pigments</t>
  </si>
  <si>
    <r>
      <rPr>
        <sz val="9"/>
        <color rgb="FF000000"/>
        <rFont val="Cambria"/>
        <family val="1"/>
      </rPr>
      <t>Impact of Cultivation Condition and Media Content on</t>
    </r>
    <r>
      <rPr>
        <i/>
        <sz val="9"/>
        <color rgb="FF000000"/>
        <rFont val="Cambria"/>
        <family val="1"/>
      </rPr>
      <t>Chlorella vulgaris</t>
    </r>
    <r>
      <rPr>
        <sz val="9"/>
        <color rgb="FF000000"/>
        <rFont val="Cambria"/>
        <family val="1"/>
      </rPr>
      <t> Composition</t>
    </r>
  </si>
  <si>
    <r>
      <t>Insights into cell wall disintegration of </t>
    </r>
    <r>
      <rPr>
        <i/>
        <sz val="9"/>
        <color rgb="FF000000"/>
        <rFont val="Cambria"/>
        <family val="1"/>
      </rPr>
      <t>Chlorella vulgaris</t>
    </r>
  </si>
  <si>
    <t>Extraction lipids from chlorella vulgaris by supercritical CO2 for</t>
  </si>
  <si>
    <t>Myristic acid</t>
  </si>
  <si>
    <t>Pentadecanoic acid</t>
  </si>
  <si>
    <t>Palmitic acid</t>
  </si>
  <si>
    <t>Palmitoleic acid</t>
  </si>
  <si>
    <t>Margaric acid</t>
  </si>
  <si>
    <t>7,10-Hexadecadienoic acid</t>
  </si>
  <si>
    <t>Stearic acid</t>
  </si>
  <si>
    <t>Oleic acid</t>
  </si>
  <si>
    <t>5-Octadecenoic acid</t>
  </si>
  <si>
    <t>11-Octadecenoic acid</t>
  </si>
  <si>
    <t>Linoleic acid</t>
  </si>
  <si>
    <t>Nonadecylic acid</t>
  </si>
  <si>
    <t>Linolenic acid</t>
  </si>
  <si>
    <t>Arachidic acid</t>
  </si>
  <si>
    <t>9-Eicosenoic acid</t>
  </si>
  <si>
    <t>Eicosadienoic acid</t>
  </si>
  <si>
    <t>Homolinolenic acid</t>
  </si>
  <si>
    <t>Heneicosylic acid</t>
  </si>
  <si>
    <t>Arachidonic acid</t>
  </si>
  <si>
    <t>Behenic acid</t>
  </si>
  <si>
    <t>Comprehensive GCMS and LC-MS/MS Metabolite Profiling of Chlorella vulgaris</t>
  </si>
  <si>
    <t>Biomass and lipid productivities of Chlorella vulgaris under autotrophic, heterotrophic and mixotrophic growth conditions</t>
  </si>
  <si>
    <t>aminoacidos/pigmentos: https://onlinelibrary.wiley.com/doi/10.1111/raq.12320; Morphology, composition, production, processing and applications of chlorella vulgaris, a review</t>
  </si>
  <si>
    <t>Rhamnose 45–54</t>
  </si>
  <si>
    <t>Arabinose 2–9</t>
  </si>
  <si>
    <t>Xylose 7–19</t>
  </si>
  <si>
    <t>Mannose 2–7</t>
  </si>
  <si>
    <t>Galactose 14–26</t>
  </si>
  <si>
    <t>Glucose 1–4</t>
  </si>
  <si>
    <t>Neutral sugars Percentage (%)</t>
  </si>
  <si>
    <t xml:space="preserve"> Morphology, composition, production, processing and applications of chlorella vulgaris, a review</t>
  </si>
  <si>
    <t>cellwall*</t>
  </si>
  <si>
    <t>Chlorella vulgaris, a microalgae important to be used in Biotechnology: a review</t>
  </si>
  <si>
    <t>mais % de AG: Lipid and fatty acid composition microalgae Chlorella vulgaris using photobioreactor and open pond; Comparison between several methods of total lipid extraction from Chlorella vulgaris biomass; Chlorella vulgaris, a microalgae important to be used in Biotechnology: a review</t>
  </si>
  <si>
    <t>Flux balance analysis of Chlorella sp. FC2 IITG
under photoautotrophic and heterotrophic growth conditions</t>
  </si>
  <si>
    <t xml:space="preserve">Flux balance analysis of Chlorella sp. FC2 IITG under photoautotrophic and heterotrophic growth conditions: </t>
  </si>
  <si>
    <t>50% mono-galactosildiacilglicerol, 20 % Di-galactosyl diacylglycerol, 10 % Sulfoquinovosyl diacylglycerol, 10 % Phosphatidyl glycerol, 5 % Phosphatidyl ethanolamine, and 5 % Phosphatidylinositol (clamidomonas)</t>
  </si>
  <si>
    <t>UDP-L-arabinose</t>
  </si>
  <si>
    <t>UDP-D-Xylose</t>
  </si>
  <si>
    <t>GDP-mannose</t>
  </si>
  <si>
    <t>β1-3 glucan</t>
  </si>
  <si>
    <t xml:space="preserve">Celulose </t>
  </si>
  <si>
    <t>UDP-alpha-D-Galactose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</si>
</sst>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i/>
      <sz val="9"/>
      <color rgb="FF000000"/>
      <name val="Cambria"/>
      <family val="1"/>
    </font>
    <font>
      <sz val="9"/>
      <color theme="1"/>
      <name val="Calibri"/>
      <family val="2"/>
      <scheme val="minor"/>
    </font>
    <font>
      <sz val="9"/>
      <color theme="1"/>
      <name val="Cambria"/>
      <family val="1"/>
    </font>
    <font>
      <sz val="9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/>
    <xf numFmtId="0" fontId="2" fillId="0" borderId="0"/>
  </cellStyleXfs>
  <cellXfs count="58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3" xfId="0" applyFont="1" applyBorder="1"/>
    <xf numFmtId="0" fontId="3" fillId="0" borderId="6" xfId="0" applyFont="1" applyBorder="1"/>
    <xf numFmtId="0" fontId="3" fillId="0" borderId="0" xfId="0" applyFont="1"/>
    <xf numFmtId="0" fontId="3" fillId="0" borderId="6" xfId="0" applyFont="1" applyBorder="1" applyAlignment="1">
      <alignment wrapText="1"/>
    </xf>
    <xf numFmtId="0" fontId="3" fillId="0" borderId="0" xfId="0" applyFont="1" applyAlignment="1">
      <alignment horizontal="right"/>
    </xf>
    <xf numFmtId="0" fontId="5" fillId="0" borderId="3" xfId="0" applyFont="1" applyBorder="1"/>
    <xf numFmtId="0" fontId="5" fillId="0" borderId="0" xfId="0" applyFont="1"/>
    <xf numFmtId="0" fontId="5" fillId="0" borderId="6" xfId="0" applyFont="1" applyBorder="1" applyAlignment="1">
      <alignment horizontal="right"/>
    </xf>
    <xf numFmtId="0" fontId="5" fillId="0" borderId="6" xfId="0" applyFont="1" applyBorder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3" borderId="6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5" xfId="0" applyFont="1" applyBorder="1"/>
    <xf numFmtId="0" fontId="3" fillId="0" borderId="3" xfId="0" applyFont="1" applyBorder="1" applyAlignment="1">
      <alignment wrapText="1"/>
    </xf>
    <xf numFmtId="0" fontId="3" fillId="3" borderId="0" xfId="0" applyFont="1" applyFill="1"/>
    <xf numFmtId="0" fontId="3" fillId="3" borderId="6" xfId="0" applyFont="1" applyFill="1" applyBorder="1"/>
    <xf numFmtId="0" fontId="3" fillId="0" borderId="5" xfId="0" applyFont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7" xfId="0" applyFont="1" applyBorder="1"/>
    <xf numFmtId="0" fontId="3" fillId="0" borderId="4" xfId="0" applyFont="1" applyBorder="1"/>
    <xf numFmtId="0" fontId="5" fillId="0" borderId="8" xfId="0" applyFont="1" applyBorder="1" applyAlignment="1">
      <alignment wrapText="1"/>
    </xf>
    <xf numFmtId="0" fontId="5" fillId="0" borderId="4" xfId="0" applyFont="1" applyBorder="1"/>
    <xf numFmtId="0" fontId="3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5" xfId="0" applyFon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/>
    <xf numFmtId="0" fontId="0" fillId="0" borderId="6" xfId="0" applyBorder="1"/>
    <xf numFmtId="0" fontId="0" fillId="4" borderId="6" xfId="0" applyFill="1" applyBorder="1"/>
    <xf numFmtId="0" fontId="1" fillId="0" borderId="0" xfId="0" applyFont="1"/>
    <xf numFmtId="0" fontId="0" fillId="5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0" fillId="0" borderId="6" xfId="0" applyBorder="1" applyAlignment="1">
      <alignment horizontal="right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1" fillId="6" borderId="0" xfId="0" applyFont="1" applyFill="1" applyAlignment="1">
      <alignment horizontal="left" vertical="center" wrapText="1"/>
    </xf>
    <xf numFmtId="0" fontId="3" fillId="7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Normal" xfId="0" builtinId="0"/>
    <cellStyle name="Normal 2" xfId="2" xr:uid="{F665BA16-CB41-4BC3-86CF-16352D63B265}"/>
    <cellStyle name="Normal 2 2" xfId="3" xr:uid="{79D5EF3A-0454-4736-833D-21475C8FDCA4}"/>
    <cellStyle name="Total" xfId="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4426-0E01-4794-B053-81038EC004DE}">
  <dimension ref="C1:I15"/>
  <sheetViews>
    <sheetView workbookViewId="0">
      <selection activeCell="M4" sqref="M4"/>
    </sheetView>
  </sheetViews>
  <sheetFormatPr defaultRowHeight="14.4" x14ac:dyDescent="0.3"/>
  <cols>
    <col min="3" max="3" width="16.21875" bestFit="1" customWidth="1"/>
    <col min="4" max="4" width="18.109375" bestFit="1" customWidth="1"/>
  </cols>
  <sheetData>
    <row r="1" spans="3:9" ht="132.6" x14ac:dyDescent="0.3">
      <c r="D1" s="45" t="s">
        <v>215</v>
      </c>
      <c r="E1" s="45" t="s">
        <v>214</v>
      </c>
      <c r="F1" s="47" t="s">
        <v>216</v>
      </c>
      <c r="G1" s="46" t="s">
        <v>238</v>
      </c>
      <c r="H1" s="47" t="s">
        <v>249</v>
      </c>
      <c r="I1" s="51" t="s">
        <v>251</v>
      </c>
    </row>
    <row r="3" spans="3:9" x14ac:dyDescent="0.3">
      <c r="C3" s="2" t="s">
        <v>36</v>
      </c>
      <c r="D3" s="1" t="s">
        <v>44</v>
      </c>
      <c r="E3" s="2"/>
      <c r="F3" s="2"/>
      <c r="G3" s="2"/>
      <c r="H3" s="2"/>
      <c r="I3" s="2"/>
    </row>
    <row r="4" spans="3:9" x14ac:dyDescent="0.3">
      <c r="C4" s="2" t="s">
        <v>0</v>
      </c>
      <c r="D4" s="49">
        <v>0.52</v>
      </c>
      <c r="E4" s="49">
        <v>0.54</v>
      </c>
      <c r="F4" s="49">
        <v>0.18</v>
      </c>
      <c r="G4" s="49">
        <v>0.37</v>
      </c>
      <c r="H4" s="49">
        <v>0.51</v>
      </c>
      <c r="I4" s="49">
        <v>0.28999999999999998</v>
      </c>
    </row>
    <row r="5" spans="3:9" x14ac:dyDescent="0.3">
      <c r="C5" s="2" t="s">
        <v>42</v>
      </c>
      <c r="D5" s="49"/>
      <c r="E5" s="49"/>
      <c r="F5" s="49"/>
      <c r="G5" s="49"/>
      <c r="H5" s="49"/>
      <c r="I5" s="49">
        <v>1E-3</v>
      </c>
    </row>
    <row r="6" spans="3:9" x14ac:dyDescent="0.3">
      <c r="C6" s="2" t="s">
        <v>43</v>
      </c>
      <c r="D6" s="49"/>
      <c r="E6" s="49"/>
      <c r="F6" s="49"/>
      <c r="G6" s="49"/>
      <c r="H6" s="49"/>
      <c r="I6" s="49">
        <v>2.8000000000000001E-2</v>
      </c>
    </row>
    <row r="7" spans="3:9" x14ac:dyDescent="0.3">
      <c r="C7" s="2" t="s">
        <v>41</v>
      </c>
      <c r="D7" s="49">
        <v>0.09</v>
      </c>
      <c r="E7" s="49">
        <v>1.7999999999999999E-2</v>
      </c>
      <c r="F7" s="49">
        <v>0.35</v>
      </c>
      <c r="G7" s="49">
        <v>0.26</v>
      </c>
      <c r="H7" s="49">
        <v>0.12</v>
      </c>
      <c r="I7" s="49">
        <v>0.11</v>
      </c>
    </row>
    <row r="8" spans="3:9" x14ac:dyDescent="0.3">
      <c r="C8" s="2" t="s">
        <v>212</v>
      </c>
      <c r="D8" s="49">
        <v>0.09</v>
      </c>
      <c r="E8" s="49">
        <v>1.4999999999999999E-2</v>
      </c>
      <c r="F8" s="49">
        <v>0.39</v>
      </c>
      <c r="G8" s="49">
        <v>0.3</v>
      </c>
      <c r="H8" s="49">
        <v>0.12</v>
      </c>
      <c r="I8" s="49">
        <v>0.53</v>
      </c>
    </row>
    <row r="9" spans="3:9" x14ac:dyDescent="0.3">
      <c r="C9" s="2" t="s">
        <v>213</v>
      </c>
      <c r="D9" s="49"/>
      <c r="E9" s="49"/>
      <c r="F9" s="49"/>
      <c r="G9" s="49"/>
      <c r="H9" s="49"/>
      <c r="I9" s="49">
        <v>0.04</v>
      </c>
    </row>
    <row r="10" spans="3:9" x14ac:dyDescent="0.3">
      <c r="C10" s="2" t="s">
        <v>38</v>
      </c>
      <c r="D10" s="49"/>
      <c r="E10" s="49"/>
      <c r="F10" s="49"/>
      <c r="G10" s="49"/>
      <c r="H10" s="49"/>
      <c r="I10" s="49"/>
    </row>
    <row r="11" spans="3:9" x14ac:dyDescent="0.3">
      <c r="D11">
        <f>SUM(D4:D10)</f>
        <v>0.7</v>
      </c>
      <c r="I11">
        <f>SUM(I4:I10)</f>
        <v>0.99900000000000011</v>
      </c>
    </row>
    <row r="15" spans="3:9" x14ac:dyDescent="0.3">
      <c r="C1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E846-9879-4CB9-98FE-F59C32476FE9}">
  <dimension ref="C4:K13"/>
  <sheetViews>
    <sheetView workbookViewId="0">
      <selection activeCell="E20" sqref="E20"/>
    </sheetView>
  </sheetViews>
  <sheetFormatPr defaultRowHeight="14.4" x14ac:dyDescent="0.3"/>
  <cols>
    <col min="3" max="3" width="11.21875" bestFit="1" customWidth="1"/>
    <col min="4" max="4" width="15.6640625" bestFit="1" customWidth="1"/>
    <col min="5" max="5" width="11.77734375" bestFit="1" customWidth="1"/>
    <col min="6" max="6" width="10.77734375" bestFit="1" customWidth="1"/>
    <col min="7" max="7" width="8.5546875" bestFit="1" customWidth="1"/>
    <col min="8" max="9" width="12" bestFit="1" customWidth="1"/>
    <col min="10" max="10" width="9" bestFit="1" customWidth="1"/>
  </cols>
  <sheetData>
    <row r="4" spans="3:11" ht="58.2" x14ac:dyDescent="0.35">
      <c r="C4" s="3" t="s">
        <v>49</v>
      </c>
      <c r="D4" s="4" t="s">
        <v>50</v>
      </c>
      <c r="E4" s="4" t="s">
        <v>80</v>
      </c>
      <c r="F4" s="4" t="s">
        <v>51</v>
      </c>
      <c r="G4" s="6" t="s">
        <v>65</v>
      </c>
      <c r="H4" s="6" t="s">
        <v>81</v>
      </c>
      <c r="I4" s="6" t="s">
        <v>82</v>
      </c>
      <c r="J4" s="14" t="s">
        <v>83</v>
      </c>
      <c r="K4" s="15" t="s">
        <v>69</v>
      </c>
    </row>
    <row r="5" spans="3:11" x14ac:dyDescent="0.3">
      <c r="C5" s="5" t="s">
        <v>84</v>
      </c>
      <c r="D5" s="5" t="s">
        <v>85</v>
      </c>
      <c r="E5" s="5">
        <v>0.32419999999999999</v>
      </c>
      <c r="F5" s="7">
        <v>478.14</v>
      </c>
      <c r="G5" s="5">
        <v>303.19</v>
      </c>
      <c r="H5" s="5">
        <v>98.290334779999995</v>
      </c>
      <c r="I5" s="5">
        <v>0.31759021199999998</v>
      </c>
      <c r="J5" s="5">
        <v>0.98183900000000002</v>
      </c>
      <c r="K5" s="5">
        <v>2.2582297000000001E-2</v>
      </c>
    </row>
    <row r="6" spans="3:11" x14ac:dyDescent="0.3">
      <c r="C6" s="5" t="s">
        <v>86</v>
      </c>
      <c r="D6" s="5" t="s">
        <v>77</v>
      </c>
      <c r="E6" s="5">
        <v>0.191</v>
      </c>
      <c r="F6" s="7">
        <v>503.15</v>
      </c>
      <c r="G6" s="5">
        <v>328.2</v>
      </c>
      <c r="H6" s="5">
        <v>62.6872288</v>
      </c>
      <c r="I6" s="5">
        <v>0.20255145499999999</v>
      </c>
      <c r="J6" s="5">
        <v>0.63540399999999997</v>
      </c>
      <c r="K6" s="5">
        <v>1.4614291999999999E-2</v>
      </c>
    </row>
    <row r="7" spans="3:11" x14ac:dyDescent="0.3">
      <c r="C7" s="5" t="s">
        <v>87</v>
      </c>
      <c r="D7" s="5" t="s">
        <v>88</v>
      </c>
      <c r="E7" s="5">
        <v>0.16089999999999999</v>
      </c>
      <c r="F7" s="7">
        <v>463.12</v>
      </c>
      <c r="G7" s="5">
        <v>288.17</v>
      </c>
      <c r="H7" s="5">
        <v>46.375778099999998</v>
      </c>
      <c r="I7" s="5">
        <v>0.149846811</v>
      </c>
      <c r="J7" s="5">
        <v>0.63380800000000004</v>
      </c>
      <c r="K7" s="5">
        <v>1.4577583999999999E-2</v>
      </c>
    </row>
    <row r="8" spans="3:11" x14ac:dyDescent="0.3">
      <c r="C8" s="5" t="s">
        <v>89</v>
      </c>
      <c r="D8" s="5" t="s">
        <v>90</v>
      </c>
      <c r="E8" s="5">
        <v>0.3271</v>
      </c>
      <c r="F8" s="7">
        <v>487.15</v>
      </c>
      <c r="G8" s="5">
        <v>312.2</v>
      </c>
      <c r="H8" s="5">
        <v>102.1345802</v>
      </c>
      <c r="I8" s="5">
        <v>0.330011522</v>
      </c>
      <c r="J8" s="5">
        <v>0.99658000000000002</v>
      </c>
      <c r="K8" s="5">
        <v>2.2921339999999998E-2</v>
      </c>
    </row>
    <row r="9" spans="3:11" x14ac:dyDescent="0.3">
      <c r="C9" s="8" t="s">
        <v>57</v>
      </c>
      <c r="D9" s="11"/>
      <c r="E9" s="11">
        <v>1.0033000000000001</v>
      </c>
      <c r="F9" s="11">
        <v>1931.56</v>
      </c>
      <c r="G9" s="11">
        <v>1231.76</v>
      </c>
      <c r="H9" s="11">
        <v>309.4879219</v>
      </c>
      <c r="I9" s="11">
        <v>1</v>
      </c>
      <c r="J9" s="11">
        <v>3.2476310000000002</v>
      </c>
      <c r="K9" s="16">
        <v>7.4695513000000005E-2</v>
      </c>
    </row>
    <row r="10" spans="3:11" x14ac:dyDescent="0.3">
      <c r="C10" s="5"/>
      <c r="D10" s="5"/>
      <c r="E10" s="5"/>
      <c r="F10" s="5"/>
      <c r="G10" s="5"/>
      <c r="H10" s="5"/>
      <c r="I10" s="5"/>
      <c r="J10" s="5"/>
      <c r="K10" s="5"/>
    </row>
    <row r="11" spans="3:11" x14ac:dyDescent="0.3">
      <c r="C11" s="5" t="s">
        <v>40</v>
      </c>
      <c r="D11" s="13"/>
      <c r="E11" s="13"/>
      <c r="F11" s="13"/>
      <c r="G11" s="13"/>
      <c r="H11" s="13"/>
      <c r="I11" s="13"/>
      <c r="J11" s="5">
        <v>1</v>
      </c>
      <c r="K11" s="5">
        <v>2.3E-2</v>
      </c>
    </row>
    <row r="12" spans="3:11" x14ac:dyDescent="0.3">
      <c r="C12" s="5" t="s">
        <v>78</v>
      </c>
      <c r="D12" s="5" t="s">
        <v>79</v>
      </c>
      <c r="E12" s="13"/>
      <c r="F12" s="7">
        <v>174.95</v>
      </c>
      <c r="G12" s="13"/>
      <c r="H12" s="5">
        <v>177.98</v>
      </c>
      <c r="I12" s="5">
        <v>0.57507898499999999</v>
      </c>
      <c r="J12" s="5">
        <v>3.24763</v>
      </c>
      <c r="K12" s="5">
        <v>7.4695490000000003E-2</v>
      </c>
    </row>
    <row r="13" spans="3:11" x14ac:dyDescent="0.3">
      <c r="C13" s="8" t="s">
        <v>57</v>
      </c>
      <c r="D13" s="11"/>
      <c r="E13" s="11"/>
      <c r="F13" s="11">
        <v>174.95</v>
      </c>
      <c r="G13" s="11"/>
      <c r="H13" s="11"/>
      <c r="I13" s="11"/>
      <c r="J13" s="11">
        <v>4.24763</v>
      </c>
      <c r="K13" s="16">
        <v>9.7695489999999996E-2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257B6-A1EF-4773-B731-129917550A7D}">
  <dimension ref="C4:K14"/>
  <sheetViews>
    <sheetView workbookViewId="0">
      <selection activeCell="E25" sqref="E25"/>
    </sheetView>
  </sheetViews>
  <sheetFormatPr defaultRowHeight="14.4" x14ac:dyDescent="0.3"/>
  <cols>
    <col min="3" max="3" width="11.21875" bestFit="1" customWidth="1"/>
    <col min="4" max="4" width="15.6640625" bestFit="1" customWidth="1"/>
    <col min="5" max="5" width="12" bestFit="1" customWidth="1"/>
    <col min="6" max="6" width="10.77734375" bestFit="1" customWidth="1"/>
    <col min="7" max="7" width="8.5546875" bestFit="1" customWidth="1"/>
    <col min="8" max="9" width="12" bestFit="1" customWidth="1"/>
    <col min="10" max="10" width="9" bestFit="1" customWidth="1"/>
    <col min="11" max="11" width="12" bestFit="1" customWidth="1"/>
  </cols>
  <sheetData>
    <row r="4" spans="3:11" ht="58.2" x14ac:dyDescent="0.35">
      <c r="C4" s="3" t="s">
        <v>49</v>
      </c>
      <c r="D4" s="4" t="s">
        <v>50</v>
      </c>
      <c r="E4" s="4" t="s">
        <v>64</v>
      </c>
      <c r="F4" s="4" t="s">
        <v>51</v>
      </c>
      <c r="G4" s="6" t="s">
        <v>65</v>
      </c>
      <c r="H4" s="6" t="s">
        <v>66</v>
      </c>
      <c r="I4" s="6" t="s">
        <v>67</v>
      </c>
      <c r="J4" s="14" t="s">
        <v>68</v>
      </c>
      <c r="K4" s="15" t="s">
        <v>69</v>
      </c>
    </row>
    <row r="5" spans="3:11" x14ac:dyDescent="0.3">
      <c r="C5" s="5" t="s">
        <v>70</v>
      </c>
      <c r="D5" s="5" t="s">
        <v>71</v>
      </c>
      <c r="E5" s="5">
        <v>0.208572954</v>
      </c>
      <c r="F5" s="5">
        <v>480.11</v>
      </c>
      <c r="G5" s="5">
        <v>305.16000000000003</v>
      </c>
      <c r="H5" s="5">
        <v>63.648122790000002</v>
      </c>
      <c r="I5" s="5">
        <v>0.19647151400000001</v>
      </c>
      <c r="J5" s="5">
        <v>0.72516400000000003</v>
      </c>
      <c r="K5" s="5">
        <v>7.7592547999999997E-2</v>
      </c>
    </row>
    <row r="6" spans="3:11" x14ac:dyDescent="0.3">
      <c r="C6" s="5" t="s">
        <v>72</v>
      </c>
      <c r="D6" s="5" t="s">
        <v>73</v>
      </c>
      <c r="E6" s="5">
        <v>0.30812833499999998</v>
      </c>
      <c r="F6" s="5">
        <v>519.15</v>
      </c>
      <c r="G6" s="5">
        <v>344.2</v>
      </c>
      <c r="H6" s="5">
        <v>106.057773</v>
      </c>
      <c r="I6" s="5">
        <v>0.32738328</v>
      </c>
      <c r="J6" s="5">
        <v>0.91296900000000003</v>
      </c>
      <c r="K6" s="5">
        <v>9.7687682999999997E-2</v>
      </c>
    </row>
    <row r="7" spans="3:11" x14ac:dyDescent="0.3">
      <c r="C7" s="5" t="s">
        <v>74</v>
      </c>
      <c r="D7" s="5" t="s">
        <v>75</v>
      </c>
      <c r="E7" s="5">
        <v>0.22450176899999999</v>
      </c>
      <c r="F7" s="5">
        <v>479.12</v>
      </c>
      <c r="G7" s="5">
        <v>304.17</v>
      </c>
      <c r="H7" s="5">
        <v>68.286703000000003</v>
      </c>
      <c r="I7" s="5">
        <v>0.210790064</v>
      </c>
      <c r="J7" s="5">
        <v>0.62776699999999996</v>
      </c>
      <c r="K7" s="5">
        <v>6.7171069E-2</v>
      </c>
    </row>
    <row r="8" spans="3:11" x14ac:dyDescent="0.3">
      <c r="C8" s="5" t="s">
        <v>76</v>
      </c>
      <c r="D8" s="5" t="s">
        <v>77</v>
      </c>
      <c r="E8" s="5">
        <v>0.26192378599999999</v>
      </c>
      <c r="F8" s="5">
        <v>503.15</v>
      </c>
      <c r="G8" s="5">
        <v>328.2</v>
      </c>
      <c r="H8" s="5">
        <v>85.963386619999994</v>
      </c>
      <c r="I8" s="5">
        <v>0.26535514199999999</v>
      </c>
      <c r="J8" s="5">
        <v>0.83338599999999996</v>
      </c>
      <c r="K8" s="5">
        <v>8.9172301999999995E-2</v>
      </c>
    </row>
    <row r="9" spans="3:11" x14ac:dyDescent="0.3">
      <c r="C9" s="8" t="s">
        <v>57</v>
      </c>
      <c r="D9" s="4"/>
      <c r="E9" s="11">
        <v>1</v>
      </c>
      <c r="F9" s="11">
        <v>1981.53</v>
      </c>
      <c r="G9" s="11">
        <v>1281.73</v>
      </c>
      <c r="H9" s="11">
        <v>323.95598539999997</v>
      </c>
      <c r="I9" s="11">
        <v>1</v>
      </c>
      <c r="J9" s="11">
        <v>3.0992860000000002</v>
      </c>
      <c r="K9" s="16">
        <v>0.33162360200000002</v>
      </c>
    </row>
    <row r="10" spans="3:11" x14ac:dyDescent="0.3">
      <c r="C10" s="9"/>
      <c r="D10" s="5"/>
      <c r="E10" s="9"/>
      <c r="F10" s="9"/>
      <c r="G10" s="9"/>
      <c r="H10" s="9"/>
      <c r="I10" s="9"/>
      <c r="J10" s="9"/>
      <c r="K10" s="9"/>
    </row>
    <row r="11" spans="3:11" x14ac:dyDescent="0.3">
      <c r="C11" s="5"/>
      <c r="D11" s="5"/>
      <c r="E11" s="5"/>
      <c r="F11" s="5"/>
      <c r="G11" s="5"/>
      <c r="H11" s="5"/>
      <c r="I11" s="5"/>
      <c r="J11" s="5"/>
      <c r="K11" s="5"/>
    </row>
    <row r="12" spans="3:11" x14ac:dyDescent="0.3">
      <c r="C12" s="5" t="s">
        <v>39</v>
      </c>
      <c r="D12" s="13"/>
      <c r="E12" s="13"/>
      <c r="F12" s="13"/>
      <c r="G12" s="13"/>
      <c r="H12" s="13"/>
      <c r="I12" s="13"/>
      <c r="J12" s="5">
        <v>1</v>
      </c>
      <c r="K12" s="5">
        <v>0.107</v>
      </c>
    </row>
    <row r="13" spans="3:11" x14ac:dyDescent="0.3">
      <c r="C13" s="5" t="s">
        <v>78</v>
      </c>
      <c r="D13" s="5" t="s">
        <v>79</v>
      </c>
      <c r="E13" s="13"/>
      <c r="F13" s="5">
        <v>174.95</v>
      </c>
      <c r="G13" s="13"/>
      <c r="H13" s="5">
        <v>177.98</v>
      </c>
      <c r="I13" s="5">
        <v>0.54939562200000003</v>
      </c>
      <c r="J13" s="5">
        <v>3.0992899999999999</v>
      </c>
      <c r="K13" s="5">
        <v>0.33162403000000001</v>
      </c>
    </row>
    <row r="14" spans="3:11" x14ac:dyDescent="0.3">
      <c r="C14" s="8" t="s">
        <v>57</v>
      </c>
      <c r="D14" s="4"/>
      <c r="E14" s="11"/>
      <c r="F14" s="11">
        <v>174.95</v>
      </c>
      <c r="G14" s="11"/>
      <c r="H14" s="11"/>
      <c r="I14" s="11"/>
      <c r="J14" s="11">
        <v>4.0992899999999999</v>
      </c>
      <c r="K14" s="16">
        <v>0.43862403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0B7C-07CA-4C13-88D2-EC644FA6D534}">
  <dimension ref="C4:L50"/>
  <sheetViews>
    <sheetView topLeftCell="A37" zoomScale="80" zoomScaleNormal="80" workbookViewId="0">
      <selection activeCell="L12" sqref="L12"/>
    </sheetView>
  </sheetViews>
  <sheetFormatPr defaultRowHeight="14.4" x14ac:dyDescent="0.3"/>
  <cols>
    <col min="3" max="3" width="23.88671875" bestFit="1" customWidth="1"/>
    <col min="4" max="4" width="14.109375" bestFit="1" customWidth="1"/>
    <col min="5" max="5" width="16.5546875" bestFit="1" customWidth="1"/>
    <col min="6" max="6" width="11.33203125" customWidth="1"/>
    <col min="7" max="7" width="16.77734375" bestFit="1" customWidth="1"/>
    <col min="8" max="8" width="13.6640625" bestFit="1" customWidth="1"/>
    <col min="9" max="9" width="15.5546875" bestFit="1" customWidth="1"/>
    <col min="10" max="10" width="10.5546875" customWidth="1"/>
    <col min="11" max="11" width="14.5546875" bestFit="1" customWidth="1"/>
    <col min="12" max="12" width="15.5546875" customWidth="1"/>
  </cols>
  <sheetData>
    <row r="4" spans="3:12" ht="19.8" customHeight="1" x14ac:dyDescent="0.35">
      <c r="C4" s="32" t="s">
        <v>49</v>
      </c>
      <c r="D4" s="33" t="s">
        <v>179</v>
      </c>
      <c r="E4" s="40" t="s">
        <v>50</v>
      </c>
      <c r="F4" s="33" t="s">
        <v>51</v>
      </c>
      <c r="G4" s="33" t="s">
        <v>180</v>
      </c>
      <c r="H4" s="33" t="s">
        <v>205</v>
      </c>
      <c r="I4" s="30" t="s">
        <v>207</v>
      </c>
      <c r="J4" s="30" t="s">
        <v>208</v>
      </c>
      <c r="K4" s="34" t="s">
        <v>206</v>
      </c>
      <c r="L4" s="31" t="s">
        <v>209</v>
      </c>
    </row>
    <row r="5" spans="3:12" x14ac:dyDescent="0.3">
      <c r="C5" t="s">
        <v>181</v>
      </c>
      <c r="D5" t="s">
        <v>34</v>
      </c>
      <c r="E5" s="38" t="s">
        <v>35</v>
      </c>
      <c r="F5" s="38">
        <v>117.15</v>
      </c>
      <c r="G5">
        <v>99.13000000000001</v>
      </c>
      <c r="H5" s="37">
        <v>7.1480070038108898E-2</v>
      </c>
      <c r="I5">
        <f>H5*G5</f>
        <v>7.0858193428777358</v>
      </c>
      <c r="J5">
        <f>I5/$I$25</f>
        <v>6.3250224752430764E-2</v>
      </c>
      <c r="K5">
        <f>H5/$I$25*1000</f>
        <v>0.63805331133290388</v>
      </c>
      <c r="L5">
        <f>K5*Total!$D$4</f>
        <v>0.33178772189311001</v>
      </c>
    </row>
    <row r="6" spans="3:12" x14ac:dyDescent="0.3">
      <c r="C6" t="s">
        <v>182</v>
      </c>
      <c r="D6" t="s">
        <v>32</v>
      </c>
      <c r="E6" s="38" t="s">
        <v>33</v>
      </c>
      <c r="F6" s="38">
        <v>181.19</v>
      </c>
      <c r="G6">
        <v>163.16999999999999</v>
      </c>
      <c r="H6" s="37">
        <v>3.7554047265213601E-2</v>
      </c>
      <c r="I6">
        <f t="shared" ref="I6:I24" si="0">H6*G6</f>
        <v>6.1276938922649027</v>
      </c>
      <c r="J6">
        <f t="shared" ref="J6:J24" si="1">I6/$I$25</f>
        <v>5.4697699326673323E-2</v>
      </c>
      <c r="K6">
        <f t="shared" ref="K6:K24" si="2">H6/$I$25*1000</f>
        <v>0.33521909252113335</v>
      </c>
      <c r="L6">
        <f>K6*Total!$D$4</f>
        <v>0.17431392811098936</v>
      </c>
    </row>
    <row r="7" spans="3:12" x14ac:dyDescent="0.3">
      <c r="C7" t="s">
        <v>183</v>
      </c>
      <c r="D7" t="s">
        <v>30</v>
      </c>
      <c r="E7" s="38" t="s">
        <v>31</v>
      </c>
      <c r="F7" s="38">
        <v>204.22</v>
      </c>
      <c r="G7">
        <v>186.2</v>
      </c>
      <c r="H7" s="37">
        <v>8.1388822909944699E-3</v>
      </c>
      <c r="I7">
        <f t="shared" si="0"/>
        <v>1.5154598825831702</v>
      </c>
      <c r="J7">
        <f t="shared" si="1"/>
        <v>1.352746570839744E-2</v>
      </c>
      <c r="K7">
        <f t="shared" si="2"/>
        <v>7.2650191774422349E-2</v>
      </c>
      <c r="L7">
        <f>K7*Total!$D$4</f>
        <v>3.7778099722699625E-2</v>
      </c>
    </row>
    <row r="8" spans="3:12" x14ac:dyDescent="0.3">
      <c r="C8" t="s">
        <v>184</v>
      </c>
      <c r="D8" t="s">
        <v>28</v>
      </c>
      <c r="E8" s="38" t="s">
        <v>29</v>
      </c>
      <c r="F8" s="38">
        <v>119.12</v>
      </c>
      <c r="G8">
        <v>101.10000000000001</v>
      </c>
      <c r="H8" s="37">
        <v>5.7213904204178302E-2</v>
      </c>
      <c r="I8">
        <f t="shared" si="0"/>
        <v>5.784325715042427</v>
      </c>
      <c r="J8">
        <f t="shared" si="1"/>
        <v>5.1632688305190834E-2</v>
      </c>
      <c r="K8">
        <f t="shared" si="2"/>
        <v>0.51070908313739694</v>
      </c>
      <c r="L8">
        <f>K8*Total!$D$4</f>
        <v>0.26556872323144642</v>
      </c>
    </row>
    <row r="9" spans="3:12" x14ac:dyDescent="0.3">
      <c r="C9" t="s">
        <v>185</v>
      </c>
      <c r="D9" t="s">
        <v>26</v>
      </c>
      <c r="E9" s="38" t="s">
        <v>27</v>
      </c>
      <c r="F9" s="38">
        <v>105.09</v>
      </c>
      <c r="G9">
        <v>87.070000000000007</v>
      </c>
      <c r="H9" s="37">
        <v>6.2405804839187701E-2</v>
      </c>
      <c r="I9">
        <f t="shared" si="0"/>
        <v>5.4336734273480731</v>
      </c>
      <c r="J9">
        <f t="shared" si="1"/>
        <v>4.8502657050736857E-2</v>
      </c>
      <c r="K9">
        <f>H9/$I$25*1000</f>
        <v>0.55705360113399394</v>
      </c>
      <c r="L9">
        <f>K9*Total!$D$4</f>
        <v>0.28966787258967686</v>
      </c>
    </row>
    <row r="10" spans="3:12" x14ac:dyDescent="0.3">
      <c r="C10" t="s">
        <v>186</v>
      </c>
      <c r="D10" t="s">
        <v>24</v>
      </c>
      <c r="E10" s="38" t="s">
        <v>25</v>
      </c>
      <c r="F10" s="38">
        <v>115.13</v>
      </c>
      <c r="G10">
        <v>97.11</v>
      </c>
      <c r="H10" s="37">
        <v>3.2740503761500402E-2</v>
      </c>
      <c r="I10">
        <f t="shared" si="0"/>
        <v>3.1794303202793039</v>
      </c>
      <c r="J10">
        <f t="shared" si="1"/>
        <v>2.8380582768384139E-2</v>
      </c>
      <c r="K10">
        <f t="shared" si="2"/>
        <v>0.29225190781983468</v>
      </c>
      <c r="L10">
        <f>K10*Total!$D$4</f>
        <v>0.15197099206631404</v>
      </c>
    </row>
    <row r="11" spans="3:12" x14ac:dyDescent="0.3">
      <c r="C11" t="s">
        <v>187</v>
      </c>
      <c r="D11" t="s">
        <v>22</v>
      </c>
      <c r="E11" s="38" t="s">
        <v>23</v>
      </c>
      <c r="F11" s="38">
        <v>165.19</v>
      </c>
      <c r="G11">
        <v>147.16999999999999</v>
      </c>
      <c r="H11" s="37">
        <v>4.5894720026232697E-2</v>
      </c>
      <c r="I11">
        <f t="shared" si="0"/>
        <v>6.7543259462606651</v>
      </c>
      <c r="J11">
        <f t="shared" si="1"/>
        <v>6.0291211711680399E-2</v>
      </c>
      <c r="K11">
        <f t="shared" si="2"/>
        <v>0.40967052871971465</v>
      </c>
      <c r="L11">
        <f>K11*Total!$D$4</f>
        <v>0.21302867493425162</v>
      </c>
    </row>
    <row r="12" spans="3:12" x14ac:dyDescent="0.3">
      <c r="C12" t="s">
        <v>188</v>
      </c>
      <c r="D12" t="s">
        <v>20</v>
      </c>
      <c r="E12" s="38" t="s">
        <v>21</v>
      </c>
      <c r="F12" s="38">
        <v>149.21</v>
      </c>
      <c r="G12">
        <v>131.19</v>
      </c>
      <c r="H12" s="37">
        <v>2.4954754793049101E-2</v>
      </c>
      <c r="I12">
        <f t="shared" si="0"/>
        <v>3.2738142813001114</v>
      </c>
      <c r="J12">
        <f t="shared" si="1"/>
        <v>2.9223083326007197E-2</v>
      </c>
      <c r="K12">
        <f t="shared" si="2"/>
        <v>0.22275389378769112</v>
      </c>
      <c r="L12">
        <f>K12*Total!$D$4</f>
        <v>0.11583202476959939</v>
      </c>
    </row>
    <row r="13" spans="3:12" x14ac:dyDescent="0.3">
      <c r="C13" t="s">
        <v>189</v>
      </c>
      <c r="D13" t="s">
        <v>19</v>
      </c>
      <c r="E13" s="38" t="s">
        <v>190</v>
      </c>
      <c r="F13" s="38">
        <v>147.19</v>
      </c>
      <c r="G13">
        <v>129.16999999999999</v>
      </c>
      <c r="H13" s="37">
        <v>7.0101168492940402E-2</v>
      </c>
      <c r="I13">
        <f t="shared" si="0"/>
        <v>9.0549679342331117</v>
      </c>
      <c r="J13">
        <f t="shared" si="1"/>
        <v>8.0827456819368745E-2</v>
      </c>
      <c r="K13">
        <f t="shared" si="2"/>
        <v>0.6257448077678156</v>
      </c>
      <c r="L13">
        <f>K13*Total!$D$4</f>
        <v>0.32538730003926414</v>
      </c>
    </row>
    <row r="14" spans="3:12" x14ac:dyDescent="0.3">
      <c r="C14" t="s">
        <v>191</v>
      </c>
      <c r="D14" t="s">
        <v>18</v>
      </c>
      <c r="E14" s="38" t="s">
        <v>17</v>
      </c>
      <c r="F14" s="38">
        <v>131.16999999999999</v>
      </c>
      <c r="G14">
        <v>113.14999999999999</v>
      </c>
      <c r="H14" s="37">
        <v>9.9079120782106206E-2</v>
      </c>
      <c r="I14">
        <f t="shared" si="0"/>
        <v>11.210802516495317</v>
      </c>
      <c r="J14">
        <f t="shared" si="1"/>
        <v>0.10007110603746595</v>
      </c>
      <c r="K14">
        <f t="shared" si="2"/>
        <v>0.88441101226218244</v>
      </c>
      <c r="L14">
        <f>K14*Total!$D$4</f>
        <v>0.45989372637633491</v>
      </c>
    </row>
    <row r="15" spans="3:12" x14ac:dyDescent="0.3">
      <c r="C15" t="s">
        <v>192</v>
      </c>
      <c r="D15" t="s">
        <v>16</v>
      </c>
      <c r="E15" s="38" t="s">
        <v>17</v>
      </c>
      <c r="F15" s="38">
        <v>131.16999999999999</v>
      </c>
      <c r="G15">
        <v>113.14999999999999</v>
      </c>
      <c r="H15" s="37">
        <v>7.3624093782120897E-2</v>
      </c>
      <c r="I15">
        <f t="shared" si="0"/>
        <v>8.3305662114469783</v>
      </c>
      <c r="J15">
        <f t="shared" si="1"/>
        <v>7.4361221997375271E-2</v>
      </c>
      <c r="K15">
        <f t="shared" si="2"/>
        <v>0.6571915333395959</v>
      </c>
      <c r="L15">
        <f>K15*Total!$D$4</f>
        <v>0.34173959733658987</v>
      </c>
    </row>
    <row r="16" spans="3:12" x14ac:dyDescent="0.3">
      <c r="C16" t="s">
        <v>193</v>
      </c>
      <c r="D16" t="s">
        <v>14</v>
      </c>
      <c r="E16" s="38" t="s">
        <v>15</v>
      </c>
      <c r="F16" s="38">
        <v>155.15</v>
      </c>
      <c r="G16">
        <v>137.13</v>
      </c>
      <c r="H16" s="37">
        <v>1.8827471250112901E-2</v>
      </c>
      <c r="I16">
        <f t="shared" si="0"/>
        <v>2.581811132527982</v>
      </c>
      <c r="J16">
        <f t="shared" si="1"/>
        <v>2.3046048240682668E-2</v>
      </c>
      <c r="K16">
        <f t="shared" si="2"/>
        <v>0.16805985736660592</v>
      </c>
      <c r="L16">
        <f>K16*Total!$D$4</f>
        <v>8.7391125830635075E-2</v>
      </c>
    </row>
    <row r="17" spans="3:12" x14ac:dyDescent="0.3">
      <c r="C17" t="s">
        <v>194</v>
      </c>
      <c r="D17" t="s">
        <v>11</v>
      </c>
      <c r="E17" s="38" t="s">
        <v>195</v>
      </c>
      <c r="F17" s="38">
        <v>146.12</v>
      </c>
      <c r="G17">
        <v>128.1</v>
      </c>
      <c r="H17" s="37">
        <v>6.8766408613089899E-2</v>
      </c>
      <c r="I17">
        <f t="shared" si="0"/>
        <v>8.8089769433368161</v>
      </c>
      <c r="J17">
        <f t="shared" si="1"/>
        <v>7.8631664814467733E-2</v>
      </c>
      <c r="K17">
        <f t="shared" si="2"/>
        <v>0.61383032642051327</v>
      </c>
      <c r="L17">
        <f>K17*Total!$D$4</f>
        <v>0.31919176973866692</v>
      </c>
    </row>
    <row r="18" spans="3:12" x14ac:dyDescent="0.3">
      <c r="C18" t="s">
        <v>196</v>
      </c>
      <c r="D18" t="s">
        <v>9</v>
      </c>
      <c r="E18" s="38" t="s">
        <v>10</v>
      </c>
      <c r="F18" s="38">
        <v>121.16</v>
      </c>
      <c r="G18">
        <v>103.14</v>
      </c>
      <c r="H18" s="37">
        <v>5.6122974475607502E-3</v>
      </c>
      <c r="I18">
        <f t="shared" si="0"/>
        <v>0.57885235874141583</v>
      </c>
      <c r="J18">
        <f t="shared" si="1"/>
        <v>5.167015981810217E-3</v>
      </c>
      <c r="K18">
        <f t="shared" si="2"/>
        <v>5.0097110546928614E-2</v>
      </c>
      <c r="L18">
        <f>K18*Total!$D$4</f>
        <v>2.6050497484402881E-2</v>
      </c>
    </row>
    <row r="19" spans="3:12" x14ac:dyDescent="0.3">
      <c r="C19" t="s">
        <v>197</v>
      </c>
      <c r="D19" t="s">
        <v>8</v>
      </c>
      <c r="E19" s="38" t="s">
        <v>198</v>
      </c>
      <c r="F19" s="38">
        <v>132.09</v>
      </c>
      <c r="G19">
        <v>114.07000000000001</v>
      </c>
      <c r="H19" s="37">
        <v>5.8788290267183102E-2</v>
      </c>
      <c r="I19">
        <f t="shared" si="0"/>
        <v>6.7059802707775766</v>
      </c>
      <c r="J19">
        <f t="shared" si="1"/>
        <v>5.9859663193132996E-2</v>
      </c>
      <c r="K19">
        <f t="shared" si="2"/>
        <v>0.5247625422383887</v>
      </c>
      <c r="L19">
        <f>K19*Total!$D$4</f>
        <v>0.27287652196396212</v>
      </c>
    </row>
    <row r="20" spans="3:12" x14ac:dyDescent="0.3">
      <c r="C20" t="s">
        <v>199</v>
      </c>
      <c r="D20" t="s">
        <v>6</v>
      </c>
      <c r="E20" s="38" t="s">
        <v>7</v>
      </c>
      <c r="F20" s="38">
        <v>132.12</v>
      </c>
      <c r="G20">
        <v>114.10000000000001</v>
      </c>
      <c r="H20" s="37">
        <v>4.5985105340931302E-2</v>
      </c>
      <c r="I20">
        <f t="shared" si="0"/>
        <v>5.2469005194002616</v>
      </c>
      <c r="J20">
        <f t="shared" si="1"/>
        <v>4.683546405106797E-2</v>
      </c>
      <c r="K20">
        <f t="shared" si="2"/>
        <v>0.41047733611803655</v>
      </c>
      <c r="L20">
        <f>K20*Total!$D$4</f>
        <v>0.21344821478137901</v>
      </c>
    </row>
    <row r="21" spans="3:12" x14ac:dyDescent="0.3">
      <c r="C21" t="s">
        <v>200</v>
      </c>
      <c r="D21" t="s">
        <v>5</v>
      </c>
      <c r="E21" s="38" t="s">
        <v>201</v>
      </c>
      <c r="F21" s="38">
        <v>175.21</v>
      </c>
      <c r="G21">
        <v>157.19</v>
      </c>
      <c r="H21" s="37">
        <v>4.1444819765376499E-2</v>
      </c>
      <c r="I21">
        <f t="shared" si="0"/>
        <v>6.5147112189195315</v>
      </c>
      <c r="J21">
        <f t="shared" si="1"/>
        <v>5.8152336216138342E-2</v>
      </c>
      <c r="K21">
        <f t="shared" si="2"/>
        <v>0.3699493365744535</v>
      </c>
      <c r="L21">
        <f>K21*Total!$D$4</f>
        <v>0.19237365501871584</v>
      </c>
    </row>
    <row r="22" spans="3:12" x14ac:dyDescent="0.3">
      <c r="C22" t="s">
        <v>202</v>
      </c>
      <c r="D22" t="s">
        <v>3</v>
      </c>
      <c r="E22" s="38" t="s">
        <v>4</v>
      </c>
      <c r="F22" s="38">
        <v>89.09</v>
      </c>
      <c r="G22">
        <v>71.070000000000007</v>
      </c>
      <c r="H22" s="37">
        <v>7.4237873128445903E-2</v>
      </c>
      <c r="I22">
        <f t="shared" si="0"/>
        <v>5.2760856432386509</v>
      </c>
      <c r="J22">
        <f t="shared" si="1"/>
        <v>4.7095979533171121E-2</v>
      </c>
      <c r="K22">
        <f t="shared" si="2"/>
        <v>0.66267031846308033</v>
      </c>
      <c r="L22">
        <f>K22*Total!$D$4</f>
        <v>0.34458856560080181</v>
      </c>
    </row>
    <row r="23" spans="3:12" x14ac:dyDescent="0.3">
      <c r="C23" t="s">
        <v>203</v>
      </c>
      <c r="D23" t="s">
        <v>1</v>
      </c>
      <c r="E23" s="38" t="s">
        <v>2</v>
      </c>
      <c r="F23" s="38">
        <v>75.069999999999993</v>
      </c>
      <c r="G23">
        <v>57.05</v>
      </c>
      <c r="H23" s="37">
        <v>6.5449477762059602E-2</v>
      </c>
      <c r="I23">
        <f t="shared" si="0"/>
        <v>3.7338927063255003</v>
      </c>
      <c r="J23">
        <f t="shared" si="1"/>
        <v>3.3329886276868476E-2</v>
      </c>
      <c r="K23">
        <f t="shared" si="2"/>
        <v>0.58422237119839571</v>
      </c>
      <c r="L23">
        <f>K23*Total!$D$4</f>
        <v>0.30379563302316576</v>
      </c>
    </row>
    <row r="24" spans="3:12" x14ac:dyDescent="0.3">
      <c r="C24" t="s">
        <v>204</v>
      </c>
      <c r="D24" t="s">
        <v>12</v>
      </c>
      <c r="E24" s="38" t="s">
        <v>13</v>
      </c>
      <c r="F24" s="38">
        <v>146.13999999999999</v>
      </c>
      <c r="G24">
        <v>128.11999999999998</v>
      </c>
      <c r="H24" s="37">
        <v>3.7701186149606603E-2</v>
      </c>
      <c r="I24">
        <f t="shared" si="0"/>
        <v>4.8302759694875972</v>
      </c>
      <c r="J24">
        <f t="shared" si="1"/>
        <v>4.3116543888949602E-2</v>
      </c>
      <c r="K24">
        <f t="shared" si="2"/>
        <v>0.33653249991374967</v>
      </c>
      <c r="L24">
        <f>K24*Total!$D$4</f>
        <v>0.17499689995514983</v>
      </c>
    </row>
    <row r="25" spans="3:12" x14ac:dyDescent="0.3">
      <c r="C25" s="27" t="s">
        <v>57</v>
      </c>
      <c r="D25" s="28"/>
      <c r="E25" s="40"/>
      <c r="F25" s="29">
        <f>SUM(F5:F24)</f>
        <v>2737.9800000000005</v>
      </c>
      <c r="G25" s="29">
        <f>SUM(G5:G24)</f>
        <v>2377.5800000000004</v>
      </c>
      <c r="H25" s="29">
        <f>SUM(H5:H24)</f>
        <v>0.99999999999999911</v>
      </c>
      <c r="I25" s="29">
        <f t="shared" ref="I25" si="3">SUM(I5:I24)</f>
        <v>112.02836623288712</v>
      </c>
      <c r="J25" s="29">
        <f>SUM(J5:J24)</f>
        <v>1.0000000000000002</v>
      </c>
      <c r="K25" s="29">
        <f>SUM(K5:K24)</f>
        <v>8.9263106624368369</v>
      </c>
      <c r="L25" s="29">
        <f>SUM(L5:L24)</f>
        <v>4.6416815444671542</v>
      </c>
    </row>
    <row r="26" spans="3:12" x14ac:dyDescent="0.3">
      <c r="C26" s="35"/>
      <c r="D26" s="35"/>
      <c r="E26" s="38"/>
      <c r="K26" s="35"/>
      <c r="L26" s="35"/>
    </row>
    <row r="27" spans="3:12" x14ac:dyDescent="0.3">
      <c r="E27" s="38"/>
    </row>
    <row r="28" spans="3:12" x14ac:dyDescent="0.3">
      <c r="C28" t="s">
        <v>62</v>
      </c>
      <c r="E28" s="38" t="s">
        <v>62</v>
      </c>
      <c r="F28">
        <v>18.02</v>
      </c>
      <c r="G28" s="36"/>
      <c r="H28" s="36"/>
    </row>
    <row r="29" spans="3:12" x14ac:dyDescent="0.3">
      <c r="C29" t="s">
        <v>158</v>
      </c>
      <c r="E29" s="39"/>
      <c r="F29" s="36"/>
      <c r="G29" s="36"/>
      <c r="H29" s="36"/>
      <c r="I29" s="36"/>
      <c r="J29" s="36"/>
    </row>
    <row r="30" spans="3:12" x14ac:dyDescent="0.3">
      <c r="C30" t="s">
        <v>159</v>
      </c>
      <c r="E30" s="39"/>
      <c r="F30" s="36"/>
      <c r="G30" s="36"/>
      <c r="H30" s="36"/>
      <c r="I30" s="36"/>
      <c r="J30" s="36"/>
    </row>
    <row r="31" spans="3:12" x14ac:dyDescent="0.3">
      <c r="C31" t="s">
        <v>160</v>
      </c>
      <c r="E31" s="39"/>
      <c r="F31" s="36"/>
      <c r="G31" s="36"/>
      <c r="H31" s="36"/>
      <c r="I31" s="36"/>
      <c r="J31" s="36"/>
    </row>
    <row r="32" spans="3:12" x14ac:dyDescent="0.3">
      <c r="C32" t="s">
        <v>161</v>
      </c>
      <c r="E32" s="39"/>
      <c r="F32" s="36"/>
      <c r="G32" s="36"/>
      <c r="H32" s="36"/>
      <c r="I32" s="36"/>
      <c r="J32" s="36"/>
    </row>
    <row r="33" spans="3:10" x14ac:dyDescent="0.3">
      <c r="C33" t="s">
        <v>162</v>
      </c>
      <c r="E33" s="39"/>
      <c r="F33" s="36"/>
      <c r="G33" s="36"/>
      <c r="H33" s="36"/>
      <c r="I33" s="36"/>
      <c r="J33" s="36"/>
    </row>
    <row r="34" spans="3:10" x14ac:dyDescent="0.3">
      <c r="C34" t="s">
        <v>163</v>
      </c>
      <c r="E34" s="39"/>
      <c r="F34" s="36"/>
      <c r="G34" s="36"/>
      <c r="H34" s="36"/>
      <c r="I34" s="36"/>
      <c r="J34" s="36"/>
    </row>
    <row r="35" spans="3:10" x14ac:dyDescent="0.3">
      <c r="C35" t="s">
        <v>164</v>
      </c>
      <c r="E35" s="39"/>
      <c r="F35" s="36"/>
      <c r="G35" s="36"/>
      <c r="H35" s="36"/>
      <c r="I35" s="36"/>
      <c r="J35" s="36"/>
    </row>
    <row r="36" spans="3:10" x14ac:dyDescent="0.3">
      <c r="C36" t="s">
        <v>165</v>
      </c>
      <c r="E36" s="39"/>
      <c r="F36" s="36"/>
      <c r="G36" s="36"/>
      <c r="H36" s="36"/>
      <c r="I36" s="36"/>
      <c r="J36" s="36"/>
    </row>
    <row r="37" spans="3:10" x14ac:dyDescent="0.3">
      <c r="C37" t="s">
        <v>166</v>
      </c>
      <c r="E37" s="39"/>
      <c r="F37" s="36"/>
      <c r="G37" s="36"/>
      <c r="H37" s="36"/>
      <c r="I37" s="36"/>
      <c r="J37" s="36"/>
    </row>
    <row r="38" spans="3:10" x14ac:dyDescent="0.3">
      <c r="C38" t="s">
        <v>167</v>
      </c>
      <c r="E38" s="39"/>
      <c r="F38" s="36"/>
      <c r="G38" s="36"/>
      <c r="H38" s="36"/>
      <c r="I38" s="36"/>
      <c r="J38" s="36"/>
    </row>
    <row r="39" spans="3:10" x14ac:dyDescent="0.3">
      <c r="C39" t="s">
        <v>168</v>
      </c>
      <c r="E39" s="39"/>
      <c r="F39" s="36"/>
      <c r="G39" s="36"/>
      <c r="H39" s="36"/>
      <c r="I39" s="36"/>
      <c r="J39" s="36"/>
    </row>
    <row r="40" spans="3:10" x14ac:dyDescent="0.3">
      <c r="C40" t="s">
        <v>169</v>
      </c>
      <c r="E40" s="39"/>
      <c r="F40" s="36"/>
      <c r="G40" s="36"/>
      <c r="H40" s="36"/>
      <c r="I40" s="36"/>
      <c r="J40" s="36"/>
    </row>
    <row r="41" spans="3:10" x14ac:dyDescent="0.3">
      <c r="C41" t="s">
        <v>170</v>
      </c>
      <c r="E41" s="39"/>
      <c r="F41" s="36"/>
      <c r="G41" s="36"/>
      <c r="H41" s="36"/>
      <c r="I41" s="36"/>
      <c r="J41" s="36"/>
    </row>
    <row r="42" spans="3:10" x14ac:dyDescent="0.3">
      <c r="C42" t="s">
        <v>171</v>
      </c>
      <c r="E42" s="39"/>
      <c r="F42" s="36"/>
      <c r="G42" s="36"/>
      <c r="H42" s="36"/>
      <c r="I42" s="36"/>
      <c r="J42" s="36"/>
    </row>
    <row r="43" spans="3:10" x14ac:dyDescent="0.3">
      <c r="C43" t="s">
        <v>172</v>
      </c>
      <c r="E43" s="39"/>
      <c r="F43" s="36"/>
      <c r="G43" s="36"/>
      <c r="H43" s="36"/>
      <c r="I43" s="36"/>
      <c r="J43" s="36"/>
    </row>
    <row r="44" spans="3:10" x14ac:dyDescent="0.3">
      <c r="C44" t="s">
        <v>173</v>
      </c>
      <c r="E44" s="39"/>
      <c r="F44" s="36"/>
      <c r="G44" s="36"/>
      <c r="H44" s="36"/>
      <c r="I44" s="36"/>
      <c r="J44" s="36"/>
    </row>
    <row r="45" spans="3:10" x14ac:dyDescent="0.3">
      <c r="C45" t="s">
        <v>174</v>
      </c>
      <c r="E45" s="39"/>
      <c r="F45" s="36"/>
      <c r="G45" s="36"/>
      <c r="H45" s="36"/>
      <c r="I45" s="36"/>
      <c r="J45" s="36"/>
    </row>
    <row r="46" spans="3:10" x14ac:dyDescent="0.3">
      <c r="C46" t="s">
        <v>175</v>
      </c>
      <c r="E46" s="39"/>
      <c r="F46" s="36"/>
      <c r="G46" s="36"/>
      <c r="H46" s="36"/>
      <c r="I46" s="36"/>
      <c r="J46" s="36"/>
    </row>
    <row r="47" spans="3:10" x14ac:dyDescent="0.3">
      <c r="C47" t="s">
        <v>176</v>
      </c>
      <c r="E47" s="39"/>
      <c r="F47" s="36"/>
      <c r="G47" s="36"/>
      <c r="H47" s="36"/>
      <c r="I47" s="36"/>
      <c r="J47" s="36"/>
    </row>
    <row r="48" spans="3:10" x14ac:dyDescent="0.3">
      <c r="C48" t="s">
        <v>177</v>
      </c>
      <c r="E48" s="39"/>
      <c r="F48" s="36"/>
      <c r="G48" s="36"/>
      <c r="H48" s="36"/>
      <c r="I48" s="36"/>
      <c r="J48" s="36"/>
    </row>
    <row r="49" spans="3:12" x14ac:dyDescent="0.3">
      <c r="C49" t="s">
        <v>178</v>
      </c>
      <c r="E49" s="39"/>
      <c r="F49" s="36"/>
      <c r="G49" s="36"/>
      <c r="H49" s="36"/>
      <c r="I49" s="36"/>
      <c r="J49" s="36"/>
    </row>
    <row r="50" spans="3:12" x14ac:dyDescent="0.3">
      <c r="C50" s="27" t="s">
        <v>57</v>
      </c>
      <c r="D50" s="28"/>
      <c r="E50" s="40"/>
      <c r="F50" s="33"/>
      <c r="G50" s="33"/>
      <c r="H50" s="33"/>
      <c r="I50" s="33"/>
      <c r="J50" s="33"/>
      <c r="K50" s="28">
        <f>SUM(K28:K49)</f>
        <v>0</v>
      </c>
      <c r="L50" s="28">
        <f>SUM(L28:L49)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C14B-2632-499D-AF67-BE6A7C66612E}">
  <dimension ref="B3:K32"/>
  <sheetViews>
    <sheetView tabSelected="1" workbookViewId="0">
      <selection activeCell="C9" sqref="C9"/>
    </sheetView>
  </sheetViews>
  <sheetFormatPr defaultRowHeight="14.4" x14ac:dyDescent="0.3"/>
  <cols>
    <col min="3" max="3" width="26.88671875" bestFit="1" customWidth="1"/>
    <col min="4" max="4" width="15.6640625" bestFit="1" customWidth="1"/>
    <col min="5" max="5" width="10.77734375" bestFit="1" customWidth="1"/>
    <col min="6" max="6" width="29.5546875" bestFit="1" customWidth="1"/>
    <col min="7" max="7" width="14.44140625" bestFit="1" customWidth="1"/>
    <col min="8" max="8" width="12.5546875" bestFit="1" customWidth="1"/>
    <col min="9" max="9" width="10.33203125" bestFit="1" customWidth="1"/>
    <col min="10" max="10" width="14.21875" bestFit="1" customWidth="1"/>
    <col min="11" max="11" width="13.44140625" bestFit="1" customWidth="1"/>
  </cols>
  <sheetData>
    <row r="3" spans="2:11" x14ac:dyDescent="0.3">
      <c r="C3" s="3" t="s">
        <v>49</v>
      </c>
      <c r="D3" s="4" t="s">
        <v>50</v>
      </c>
      <c r="E3" s="4" t="s">
        <v>51</v>
      </c>
      <c r="F3" s="41" t="s">
        <v>63</v>
      </c>
      <c r="G3" s="41" t="s">
        <v>37</v>
      </c>
      <c r="H3" s="42" t="s">
        <v>207</v>
      </c>
      <c r="I3" s="42" t="s">
        <v>208</v>
      </c>
      <c r="J3" s="43" t="s">
        <v>206</v>
      </c>
      <c r="K3" s="44" t="s">
        <v>209</v>
      </c>
    </row>
    <row r="4" spans="2:11" x14ac:dyDescent="0.3">
      <c r="B4" s="54" t="s">
        <v>46</v>
      </c>
      <c r="C4" s="5" t="s">
        <v>254</v>
      </c>
      <c r="D4" s="7" t="s">
        <v>52</v>
      </c>
      <c r="E4" s="7">
        <v>605.34</v>
      </c>
      <c r="F4" s="5">
        <v>186.18</v>
      </c>
      <c r="G4" s="5">
        <v>1</v>
      </c>
      <c r="H4" s="2">
        <f>G4*F4</f>
        <v>186.18</v>
      </c>
      <c r="I4" s="2">
        <f>H4/$H$12</f>
        <v>0.20762102305041652</v>
      </c>
      <c r="J4" s="2">
        <f>G4/$H$12*1000</f>
        <v>1.1151628695370959</v>
      </c>
      <c r="K4" s="2">
        <f>J4*Total!$D$8</f>
        <v>0.10036465825833862</v>
      </c>
    </row>
    <row r="5" spans="2:11" x14ac:dyDescent="0.3">
      <c r="B5" s="54"/>
      <c r="C5" s="5" t="s">
        <v>255</v>
      </c>
      <c r="D5" s="7" t="s">
        <v>54</v>
      </c>
      <c r="E5" s="7">
        <v>564.29</v>
      </c>
      <c r="F5" s="5">
        <v>436.29</v>
      </c>
      <c r="G5" s="5">
        <v>1</v>
      </c>
      <c r="H5" s="2">
        <f t="shared" ref="H5:H11" si="0">G5*F5</f>
        <v>436.29</v>
      </c>
      <c r="I5" s="2">
        <f>H5/$H$12</f>
        <v>0.48653440835033956</v>
      </c>
      <c r="J5" s="2">
        <f>G5/$H$12*1000</f>
        <v>1.1151628695370959</v>
      </c>
      <c r="K5" s="2">
        <f>J5*Total!$D$8</f>
        <v>0.10036465825833862</v>
      </c>
    </row>
    <row r="6" spans="2:11" x14ac:dyDescent="0.3">
      <c r="B6" s="54"/>
      <c r="C6" s="5" t="s">
        <v>259</v>
      </c>
      <c r="D6" s="7" t="s">
        <v>54</v>
      </c>
      <c r="E6" s="7">
        <v>564.29</v>
      </c>
      <c r="F6" s="5">
        <v>145.13</v>
      </c>
      <c r="G6" s="5">
        <v>1</v>
      </c>
      <c r="H6" s="2">
        <f t="shared" si="0"/>
        <v>145.13</v>
      </c>
      <c r="I6" s="2">
        <f>H6/$H$12</f>
        <v>0.16184358725591871</v>
      </c>
      <c r="J6" s="2">
        <f>G6/$H$12*1000</f>
        <v>1.1151628695370959</v>
      </c>
      <c r="K6" s="2">
        <f>J6*Total!$D$8</f>
        <v>0.10036465825833862</v>
      </c>
    </row>
    <row r="7" spans="2:11" x14ac:dyDescent="0.3">
      <c r="B7" s="54"/>
      <c r="C7" s="5" t="s">
        <v>256</v>
      </c>
      <c r="D7" s="7"/>
      <c r="E7" s="7"/>
      <c r="F7" s="5"/>
      <c r="G7" s="5">
        <v>1</v>
      </c>
      <c r="H7" s="2"/>
      <c r="I7" s="2"/>
      <c r="J7" s="2"/>
      <c r="K7" s="2"/>
    </row>
    <row r="8" spans="2:11" x14ac:dyDescent="0.3">
      <c r="B8" s="54"/>
      <c r="C8" s="5" t="s">
        <v>53</v>
      </c>
      <c r="D8" s="7"/>
      <c r="E8" s="7"/>
      <c r="F8" s="5"/>
      <c r="G8" s="5">
        <v>1</v>
      </c>
      <c r="H8" s="2"/>
      <c r="I8" s="2"/>
      <c r="J8" s="2"/>
      <c r="K8" s="2"/>
    </row>
    <row r="9" spans="2:11" x14ac:dyDescent="0.3">
      <c r="B9" s="54"/>
      <c r="C9" s="5" t="s">
        <v>257</v>
      </c>
      <c r="D9" s="7"/>
      <c r="E9" s="7"/>
      <c r="F9" s="5"/>
      <c r="G9" s="5">
        <v>1</v>
      </c>
      <c r="H9" s="2"/>
      <c r="I9" s="2"/>
      <c r="J9" s="2"/>
      <c r="K9" s="2"/>
    </row>
    <row r="10" spans="2:11" x14ac:dyDescent="0.3">
      <c r="B10" s="54"/>
      <c r="C10" s="53" t="s">
        <v>258</v>
      </c>
      <c r="D10" s="7"/>
      <c r="E10" s="7"/>
      <c r="F10" s="5"/>
      <c r="G10" s="5">
        <v>1</v>
      </c>
      <c r="H10" s="2"/>
      <c r="I10" s="2"/>
      <c r="J10" s="2"/>
      <c r="K10" s="2"/>
    </row>
    <row r="11" spans="2:11" x14ac:dyDescent="0.3">
      <c r="B11" s="54"/>
      <c r="C11" s="5" t="s">
        <v>55</v>
      </c>
      <c r="D11" s="7" t="s">
        <v>56</v>
      </c>
      <c r="E11" s="7">
        <v>546.30999999999995</v>
      </c>
      <c r="F11" s="5">
        <v>129.13</v>
      </c>
      <c r="G11" s="5">
        <v>1</v>
      </c>
      <c r="H11" s="2">
        <f t="shared" si="0"/>
        <v>129.13</v>
      </c>
      <c r="I11" s="2">
        <f>H11/$H$12</f>
        <v>0.14400098134332517</v>
      </c>
      <c r="J11" s="2">
        <f>G11/$H$12*1000</f>
        <v>1.1151628695370959</v>
      </c>
      <c r="K11" s="2">
        <f>J11*Total!$D$8</f>
        <v>0.10036465825833862</v>
      </c>
    </row>
    <row r="12" spans="2:11" x14ac:dyDescent="0.3">
      <c r="B12" s="54"/>
      <c r="C12" s="8" t="s">
        <v>57</v>
      </c>
      <c r="D12" s="10"/>
      <c r="E12" s="2">
        <f t="shared" ref="E12:G12" si="1">SUM(E4:E11)</f>
        <v>2280.23</v>
      </c>
      <c r="F12" s="2">
        <f t="shared" si="1"/>
        <v>896.73</v>
      </c>
      <c r="G12" s="2">
        <f t="shared" si="1"/>
        <v>8</v>
      </c>
      <c r="H12" s="2">
        <f>SUM(H4:H11)</f>
        <v>896.73</v>
      </c>
      <c r="I12" s="2">
        <f t="shared" ref="I12:K12" si="2">SUM(I4:I11)</f>
        <v>1</v>
      </c>
      <c r="J12" s="2">
        <f t="shared" si="2"/>
        <v>4.4606514781483835</v>
      </c>
      <c r="K12" s="2">
        <f t="shared" si="2"/>
        <v>0.4014586330333545</v>
      </c>
    </row>
    <row r="13" spans="2:11" x14ac:dyDescent="0.3">
      <c r="C13" s="5"/>
      <c r="D13" s="7"/>
      <c r="E13" s="7"/>
      <c r="F13" s="5"/>
      <c r="G13" s="5"/>
    </row>
    <row r="14" spans="2:11" x14ac:dyDescent="0.3">
      <c r="C14" s="5"/>
      <c r="D14" s="7"/>
      <c r="E14" s="7"/>
      <c r="F14" s="5"/>
      <c r="G14" s="5"/>
    </row>
    <row r="15" spans="2:11" x14ac:dyDescent="0.3">
      <c r="B15" s="54" t="s">
        <v>47</v>
      </c>
      <c r="C15" s="5" t="s">
        <v>58</v>
      </c>
      <c r="D15" s="12"/>
      <c r="E15" s="12"/>
      <c r="F15" s="13"/>
      <c r="G15" s="13"/>
      <c r="H15" s="13"/>
      <c r="I15" s="13"/>
      <c r="J15" s="2">
        <v>1</v>
      </c>
    </row>
    <row r="16" spans="2:11" x14ac:dyDescent="0.3">
      <c r="B16" s="54"/>
      <c r="C16" s="5" t="s">
        <v>59</v>
      </c>
      <c r="D16" s="7" t="s">
        <v>60</v>
      </c>
      <c r="E16" s="7">
        <v>399.16</v>
      </c>
      <c r="F16" s="13"/>
      <c r="G16" s="13"/>
      <c r="H16" s="13"/>
      <c r="I16" s="13"/>
      <c r="J16" s="2">
        <f>J11</f>
        <v>1.1151628695370959</v>
      </c>
    </row>
    <row r="17" spans="2:10" x14ac:dyDescent="0.3">
      <c r="B17" s="54"/>
      <c r="C17" s="5" t="s">
        <v>48</v>
      </c>
      <c r="D17" s="7" t="s">
        <v>61</v>
      </c>
      <c r="E17" s="7">
        <v>401.14</v>
      </c>
      <c r="F17" s="13"/>
      <c r="G17" s="13"/>
      <c r="H17" s="13"/>
      <c r="I17" s="13"/>
      <c r="J17" s="2">
        <f>SUM(J4:J6)</f>
        <v>3.3454886086112876</v>
      </c>
    </row>
    <row r="18" spans="2:10" x14ac:dyDescent="0.3">
      <c r="B18" s="54"/>
      <c r="C18" s="5" t="s">
        <v>62</v>
      </c>
      <c r="D18" s="7" t="s">
        <v>62</v>
      </c>
      <c r="E18" s="7">
        <v>18.02</v>
      </c>
      <c r="F18" s="13"/>
      <c r="G18" s="13"/>
      <c r="H18" s="13"/>
      <c r="I18" s="13"/>
      <c r="J18" s="2">
        <f>SUM(J4:J11)</f>
        <v>4.4606514781483835</v>
      </c>
    </row>
    <row r="19" spans="2:10" x14ac:dyDescent="0.3">
      <c r="B19" s="54"/>
      <c r="C19" s="8" t="s">
        <v>57</v>
      </c>
      <c r="D19" s="11"/>
      <c r="E19" s="11"/>
      <c r="F19" s="13"/>
      <c r="G19" s="11"/>
      <c r="H19" s="2"/>
      <c r="I19" s="2"/>
      <c r="J19" s="2"/>
    </row>
    <row r="25" spans="2:10" x14ac:dyDescent="0.3">
      <c r="D25" t="s">
        <v>247</v>
      </c>
    </row>
    <row r="26" spans="2:10" x14ac:dyDescent="0.3">
      <c r="D26" t="s">
        <v>246</v>
      </c>
      <c r="F26" t="s">
        <v>248</v>
      </c>
    </row>
    <row r="27" spans="2:10" x14ac:dyDescent="0.3">
      <c r="D27" t="s">
        <v>240</v>
      </c>
    </row>
    <row r="28" spans="2:10" x14ac:dyDescent="0.3">
      <c r="D28" t="s">
        <v>241</v>
      </c>
    </row>
    <row r="29" spans="2:10" x14ac:dyDescent="0.3">
      <c r="D29" t="s">
        <v>242</v>
      </c>
    </row>
    <row r="30" spans="2:10" x14ac:dyDescent="0.3">
      <c r="D30" t="s">
        <v>243</v>
      </c>
    </row>
    <row r="31" spans="2:10" x14ac:dyDescent="0.3">
      <c r="D31" t="s">
        <v>244</v>
      </c>
    </row>
    <row r="32" spans="2:10" x14ac:dyDescent="0.3">
      <c r="D32" t="s">
        <v>245</v>
      </c>
    </row>
  </sheetData>
  <mergeCells count="2">
    <mergeCell ref="B4:B12"/>
    <mergeCell ref="B15:B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D339-7CAE-4D2D-ABC4-6EDF23614974}">
  <dimension ref="C6:K45"/>
  <sheetViews>
    <sheetView topLeftCell="B19" workbookViewId="0">
      <selection activeCell="N37" sqref="N37"/>
    </sheetView>
  </sheetViews>
  <sheetFormatPr defaultRowHeight="14.4" x14ac:dyDescent="0.3"/>
  <cols>
    <col min="3" max="3" width="21" bestFit="1" customWidth="1"/>
    <col min="4" max="4" width="15.6640625" bestFit="1" customWidth="1"/>
    <col min="5" max="5" width="12.6640625" bestFit="1" customWidth="1"/>
    <col min="6" max="6" width="10.77734375" bestFit="1" customWidth="1"/>
    <col min="7" max="7" width="50.109375" bestFit="1" customWidth="1"/>
  </cols>
  <sheetData>
    <row r="6" spans="3:7" ht="21" customHeight="1" x14ac:dyDescent="0.35">
      <c r="C6" s="3" t="s">
        <v>49</v>
      </c>
      <c r="D6" s="4" t="s">
        <v>50</v>
      </c>
      <c r="E6" s="19" t="s">
        <v>104</v>
      </c>
      <c r="F6" s="4" t="s">
        <v>51</v>
      </c>
      <c r="G6" s="20" t="s">
        <v>105</v>
      </c>
    </row>
    <row r="7" spans="3:7" x14ac:dyDescent="0.3">
      <c r="C7" s="5" t="s">
        <v>106</v>
      </c>
      <c r="D7" s="5" t="s">
        <v>107</v>
      </c>
      <c r="E7" s="18">
        <v>7.0000000000000007E-2</v>
      </c>
      <c r="F7" s="7">
        <v>283.47000000000003</v>
      </c>
      <c r="G7" s="5">
        <f>F7*E7</f>
        <v>19.842900000000004</v>
      </c>
    </row>
    <row r="8" spans="3:7" x14ac:dyDescent="0.3">
      <c r="C8" s="5" t="s">
        <v>108</v>
      </c>
      <c r="D8" s="5" t="s">
        <v>109</v>
      </c>
      <c r="E8" s="18">
        <v>0.03</v>
      </c>
      <c r="F8" s="7">
        <v>213.34</v>
      </c>
      <c r="G8" s="5">
        <f t="shared" ref="G8:G13" si="0">F8*E8</f>
        <v>6.4001999999999999</v>
      </c>
    </row>
    <row r="9" spans="3:7" x14ac:dyDescent="0.3">
      <c r="C9" s="5" t="s">
        <v>110</v>
      </c>
      <c r="D9" s="5" t="s">
        <v>111</v>
      </c>
      <c r="E9" s="18">
        <v>0.36</v>
      </c>
      <c r="F9" s="7">
        <v>281.45</v>
      </c>
      <c r="G9" s="5">
        <f t="shared" si="0"/>
        <v>101.32199999999999</v>
      </c>
    </row>
    <row r="10" spans="3:7" x14ac:dyDescent="0.3">
      <c r="C10" s="5" t="s">
        <v>112</v>
      </c>
      <c r="D10" s="5" t="s">
        <v>113</v>
      </c>
      <c r="E10" s="18">
        <v>0.23</v>
      </c>
      <c r="F10" s="7">
        <v>255.41</v>
      </c>
      <c r="G10" s="5">
        <f t="shared" si="0"/>
        <v>58.744300000000003</v>
      </c>
    </row>
    <row r="11" spans="3:7" x14ac:dyDescent="0.3">
      <c r="C11" s="5" t="s">
        <v>114</v>
      </c>
      <c r="D11" s="5" t="s">
        <v>115</v>
      </c>
      <c r="E11" s="18">
        <v>0.09</v>
      </c>
      <c r="F11" s="7">
        <v>227.36</v>
      </c>
      <c r="G11" s="5">
        <f t="shared" si="0"/>
        <v>20.462399999999999</v>
      </c>
    </row>
    <row r="12" spans="3:7" x14ac:dyDescent="0.3">
      <c r="C12" s="5" t="s">
        <v>116</v>
      </c>
      <c r="D12" s="5" t="s">
        <v>117</v>
      </c>
      <c r="E12" s="18">
        <v>0.05</v>
      </c>
      <c r="F12" s="7">
        <v>253.4</v>
      </c>
      <c r="G12" s="5">
        <f t="shared" si="0"/>
        <v>12.670000000000002</v>
      </c>
    </row>
    <row r="13" spans="3:7" x14ac:dyDescent="0.3">
      <c r="C13" s="5" t="s">
        <v>118</v>
      </c>
      <c r="D13" s="5" t="s">
        <v>111</v>
      </c>
      <c r="E13" s="18">
        <v>0.17</v>
      </c>
      <c r="F13" s="7">
        <v>281.45</v>
      </c>
      <c r="G13" s="5">
        <f t="shared" si="0"/>
        <v>47.846499999999999</v>
      </c>
    </row>
    <row r="14" spans="3:7" x14ac:dyDescent="0.3">
      <c r="C14" s="26" t="s">
        <v>57</v>
      </c>
      <c r="D14" s="2"/>
      <c r="E14" s="2">
        <f>SUM(E7:E13)</f>
        <v>1</v>
      </c>
      <c r="F14" s="2"/>
      <c r="G14" s="2"/>
    </row>
    <row r="15" spans="3:7" ht="15" thickBot="1" x14ac:dyDescent="0.35"/>
    <row r="16" spans="3:7" ht="31.8" thickBot="1" x14ac:dyDescent="0.4">
      <c r="C16" s="21" t="s">
        <v>119</v>
      </c>
      <c r="D16" s="22"/>
      <c r="E16" s="22"/>
      <c r="F16" s="22"/>
      <c r="G16" s="23">
        <v>277.72355470000002</v>
      </c>
    </row>
    <row r="17" spans="3:11" ht="43.8" thickBot="1" x14ac:dyDescent="0.35">
      <c r="C17" s="24" t="s">
        <v>120</v>
      </c>
      <c r="D17" s="22"/>
      <c r="E17" s="22"/>
      <c r="F17" s="22"/>
      <c r="G17" s="25">
        <v>232.70355470000001</v>
      </c>
    </row>
    <row r="20" spans="3:11" x14ac:dyDescent="0.3">
      <c r="C20" s="55" t="s">
        <v>237</v>
      </c>
      <c r="D20" s="56"/>
      <c r="E20" s="56"/>
      <c r="F20" s="56"/>
      <c r="G20" s="57"/>
      <c r="K20" t="s">
        <v>250</v>
      </c>
    </row>
    <row r="21" spans="3:11" ht="15.6" x14ac:dyDescent="0.35">
      <c r="C21" s="3" t="s">
        <v>49</v>
      </c>
      <c r="D21" s="4" t="s">
        <v>50</v>
      </c>
      <c r="E21" s="19" t="s">
        <v>104</v>
      </c>
      <c r="F21" s="4" t="s">
        <v>51</v>
      </c>
      <c r="G21" s="20" t="s">
        <v>105</v>
      </c>
    </row>
    <row r="22" spans="3:11" x14ac:dyDescent="0.3">
      <c r="C22" s="48" t="s">
        <v>217</v>
      </c>
      <c r="D22" s="5"/>
      <c r="E22" s="18">
        <f>1/100</f>
        <v>0.01</v>
      </c>
      <c r="F22" s="7">
        <v>227.37</v>
      </c>
      <c r="G22" s="5">
        <f>F22*E22</f>
        <v>2.2737000000000003</v>
      </c>
    </row>
    <row r="23" spans="3:11" x14ac:dyDescent="0.3">
      <c r="C23" s="48" t="s">
        <v>218</v>
      </c>
      <c r="D23" s="5"/>
      <c r="E23" s="18">
        <f>0.4/100</f>
        <v>4.0000000000000001E-3</v>
      </c>
      <c r="F23" s="7">
        <v>241.4</v>
      </c>
      <c r="G23" s="5">
        <f t="shared" ref="G23:G41" si="1">F23*E23</f>
        <v>0.96560000000000001</v>
      </c>
    </row>
    <row r="24" spans="3:11" x14ac:dyDescent="0.3">
      <c r="C24" s="48" t="s">
        <v>219</v>
      </c>
      <c r="D24" s="5"/>
      <c r="E24" s="18">
        <f>16.4/100</f>
        <v>0.16399999999999998</v>
      </c>
      <c r="F24" s="7">
        <v>255.41</v>
      </c>
      <c r="G24" s="5">
        <f t="shared" si="1"/>
        <v>41.887239999999991</v>
      </c>
    </row>
    <row r="25" spans="3:11" x14ac:dyDescent="0.3">
      <c r="C25" s="48" t="s">
        <v>220</v>
      </c>
      <c r="D25" s="5"/>
      <c r="E25" s="18">
        <f>1.5/100</f>
        <v>1.4999999999999999E-2</v>
      </c>
      <c r="F25" s="7">
        <v>253.41</v>
      </c>
      <c r="G25" s="5">
        <f t="shared" si="1"/>
        <v>3.8011499999999998</v>
      </c>
    </row>
    <row r="26" spans="3:11" x14ac:dyDescent="0.3">
      <c r="C26" s="48" t="s">
        <v>221</v>
      </c>
      <c r="D26" s="5"/>
      <c r="E26" s="18">
        <f>1.2/100</f>
        <v>1.2E-2</v>
      </c>
      <c r="F26" s="7">
        <v>269.45</v>
      </c>
      <c r="G26" s="5">
        <f t="shared" si="1"/>
        <v>3.2334000000000001</v>
      </c>
    </row>
    <row r="27" spans="3:11" x14ac:dyDescent="0.3">
      <c r="C27" s="48" t="s">
        <v>224</v>
      </c>
      <c r="D27" s="5"/>
      <c r="E27" s="18">
        <f>4.2/100</f>
        <v>4.2000000000000003E-2</v>
      </c>
      <c r="F27" s="7">
        <v>281.47000000000003</v>
      </c>
      <c r="G27" s="5">
        <f t="shared" si="1"/>
        <v>11.821740000000002</v>
      </c>
    </row>
    <row r="28" spans="3:11" x14ac:dyDescent="0.3">
      <c r="C28" s="48" t="s">
        <v>225</v>
      </c>
      <c r="D28" s="5"/>
      <c r="E28" s="18">
        <f>0.3/100</f>
        <v>3.0000000000000001E-3</v>
      </c>
      <c r="F28" s="7">
        <v>281.5</v>
      </c>
      <c r="G28" s="5">
        <f t="shared" si="1"/>
        <v>0.84450000000000003</v>
      </c>
    </row>
    <row r="29" spans="3:11" x14ac:dyDescent="0.3">
      <c r="C29" s="48" t="s">
        <v>222</v>
      </c>
      <c r="D29" s="5"/>
      <c r="E29" s="18">
        <f>20.4/100</f>
        <v>0.20399999999999999</v>
      </c>
      <c r="F29" s="7">
        <v>251.4</v>
      </c>
      <c r="G29" s="5">
        <f t="shared" si="1"/>
        <v>51.285599999999995</v>
      </c>
    </row>
    <row r="30" spans="3:11" x14ac:dyDescent="0.3">
      <c r="C30" s="48" t="s">
        <v>226</v>
      </c>
      <c r="D30" s="5"/>
      <c r="E30" s="18">
        <f>2/100</f>
        <v>0.02</v>
      </c>
      <c r="F30" s="7">
        <v>281.45999999999998</v>
      </c>
      <c r="G30" s="5">
        <f t="shared" si="1"/>
        <v>5.6292</v>
      </c>
    </row>
    <row r="31" spans="3:11" x14ac:dyDescent="0.3">
      <c r="C31" s="48" t="s">
        <v>227</v>
      </c>
      <c r="D31" s="5"/>
      <c r="E31" s="18">
        <f>35.1/100</f>
        <v>0.35100000000000003</v>
      </c>
      <c r="F31" s="7">
        <v>279.45</v>
      </c>
      <c r="G31" s="5">
        <f t="shared" si="1"/>
        <v>98.086950000000002</v>
      </c>
    </row>
    <row r="32" spans="3:11" x14ac:dyDescent="0.3">
      <c r="C32" s="48" t="s">
        <v>223</v>
      </c>
      <c r="D32" s="5"/>
      <c r="E32" s="18">
        <f>2.8/100</f>
        <v>2.7999999999999997E-2</v>
      </c>
      <c r="F32" s="7">
        <v>283.48</v>
      </c>
      <c r="G32" s="5">
        <f t="shared" si="1"/>
        <v>7.9374399999999996</v>
      </c>
    </row>
    <row r="33" spans="3:7" x14ac:dyDescent="0.3">
      <c r="C33" s="48" t="s">
        <v>228</v>
      </c>
      <c r="D33" s="5"/>
      <c r="E33" s="18">
        <f>0.2/100</f>
        <v>2E-3</v>
      </c>
      <c r="F33" s="7">
        <v>297.5</v>
      </c>
      <c r="G33" s="5">
        <f t="shared" si="1"/>
        <v>0.59499999999999997</v>
      </c>
    </row>
    <row r="34" spans="3:7" x14ac:dyDescent="0.3">
      <c r="C34" s="48" t="s">
        <v>229</v>
      </c>
      <c r="D34" s="5"/>
      <c r="E34" s="18">
        <f>5.2/100</f>
        <v>5.2000000000000005E-2</v>
      </c>
      <c r="F34" s="7">
        <v>277.43</v>
      </c>
      <c r="G34" s="5">
        <f t="shared" si="1"/>
        <v>14.426360000000001</v>
      </c>
    </row>
    <row r="35" spans="3:7" x14ac:dyDescent="0.3">
      <c r="C35" s="48" t="s">
        <v>230</v>
      </c>
      <c r="D35" s="5"/>
      <c r="E35" s="18">
        <f>5.7/100</f>
        <v>5.7000000000000002E-2</v>
      </c>
      <c r="F35" s="7">
        <v>311.52999999999997</v>
      </c>
      <c r="G35" s="5">
        <f t="shared" si="1"/>
        <v>17.757210000000001</v>
      </c>
    </row>
    <row r="36" spans="3:7" x14ac:dyDescent="0.3">
      <c r="C36" s="48" t="s">
        <v>231</v>
      </c>
      <c r="D36" s="5"/>
      <c r="E36" s="18">
        <f>0.4/100</f>
        <v>4.0000000000000001E-3</v>
      </c>
      <c r="F36" s="7">
        <v>310.5</v>
      </c>
      <c r="G36" s="5">
        <f t="shared" si="1"/>
        <v>1.242</v>
      </c>
    </row>
    <row r="37" spans="3:7" x14ac:dyDescent="0.3">
      <c r="C37" s="48" t="s">
        <v>232</v>
      </c>
      <c r="D37" s="5"/>
      <c r="E37" s="18">
        <f>1.3/100</f>
        <v>1.3000000000000001E-2</v>
      </c>
      <c r="F37" s="7">
        <v>308.5</v>
      </c>
      <c r="G37" s="5">
        <f t="shared" si="1"/>
        <v>4.0105000000000004</v>
      </c>
    </row>
    <row r="38" spans="3:7" x14ac:dyDescent="0.3">
      <c r="C38" s="48" t="s">
        <v>233</v>
      </c>
      <c r="D38" s="5"/>
      <c r="E38" s="18">
        <f>0.4/100</f>
        <v>4.0000000000000001E-3</v>
      </c>
      <c r="F38" s="7">
        <v>306.48</v>
      </c>
      <c r="G38" s="5">
        <f t="shared" si="1"/>
        <v>1.2259200000000001</v>
      </c>
    </row>
    <row r="39" spans="3:7" x14ac:dyDescent="0.3">
      <c r="C39" s="48" t="s">
        <v>234</v>
      </c>
      <c r="D39" s="5"/>
      <c r="E39" s="18">
        <f>0.2/100</f>
        <v>2E-3</v>
      </c>
      <c r="F39" s="7">
        <v>325.56</v>
      </c>
      <c r="G39" s="5">
        <f t="shared" si="1"/>
        <v>0.65112000000000003</v>
      </c>
    </row>
    <row r="40" spans="3:7" x14ac:dyDescent="0.3">
      <c r="C40" s="52" t="s">
        <v>235</v>
      </c>
      <c r="D40" s="5"/>
      <c r="E40" s="18">
        <f>0.6/100</f>
        <v>6.0000000000000001E-3</v>
      </c>
      <c r="F40" s="7">
        <v>303.47000000000003</v>
      </c>
      <c r="G40" s="5">
        <f t="shared" si="1"/>
        <v>1.8208200000000001</v>
      </c>
    </row>
    <row r="41" spans="3:7" x14ac:dyDescent="0.3">
      <c r="C41" s="48" t="s">
        <v>236</v>
      </c>
      <c r="D41" s="5"/>
      <c r="E41" s="18">
        <f>0.9/100</f>
        <v>9.0000000000000011E-3</v>
      </c>
      <c r="F41" s="7">
        <v>339.58</v>
      </c>
      <c r="G41" s="5">
        <f t="shared" si="1"/>
        <v>3.0562200000000002</v>
      </c>
    </row>
    <row r="42" spans="3:7" x14ac:dyDescent="0.3">
      <c r="C42" s="26" t="s">
        <v>57</v>
      </c>
      <c r="D42" s="2"/>
      <c r="E42" s="2">
        <f>SUM(E22:E41)</f>
        <v>1.002</v>
      </c>
      <c r="F42" s="2"/>
      <c r="G42" s="2"/>
    </row>
    <row r="43" spans="3:7" ht="15" thickBot="1" x14ac:dyDescent="0.35"/>
    <row r="44" spans="3:7" ht="31.8" thickBot="1" x14ac:dyDescent="0.4">
      <c r="C44" s="21" t="s">
        <v>119</v>
      </c>
      <c r="D44" s="22"/>
      <c r="E44" s="22"/>
      <c r="F44" s="22"/>
      <c r="G44" s="23">
        <v>277.72355470000002</v>
      </c>
    </row>
    <row r="45" spans="3:7" ht="43.8" thickBot="1" x14ac:dyDescent="0.35">
      <c r="C45" s="24" t="s">
        <v>120</v>
      </c>
      <c r="D45" s="22"/>
      <c r="E45" s="22"/>
      <c r="F45" s="22"/>
      <c r="G45" s="25">
        <v>232.70355470000001</v>
      </c>
    </row>
  </sheetData>
  <mergeCells count="1">
    <mergeCell ref="C20:G20"/>
  </mergeCells>
  <pageMargins left="0.7" right="0.7" top="0.75" bottom="0.75" header="0.3" footer="0.3"/>
  <ignoredErrors>
    <ignoredError sqref="E37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EA76-E874-424E-9F56-2DBA20049E18}">
  <dimension ref="C3:N20"/>
  <sheetViews>
    <sheetView topLeftCell="B1" workbookViewId="0">
      <selection activeCell="N7" sqref="N7"/>
    </sheetView>
  </sheetViews>
  <sheetFormatPr defaultRowHeight="14.4" x14ac:dyDescent="0.3"/>
  <cols>
    <col min="3" max="3" width="31.21875" bestFit="1" customWidth="1"/>
    <col min="4" max="4" width="14.88671875" bestFit="1" customWidth="1"/>
    <col min="5" max="5" width="8" bestFit="1" customWidth="1"/>
    <col min="6" max="6" width="15.21875" customWidth="1"/>
    <col min="7" max="7" width="15" customWidth="1"/>
    <col min="8" max="11" width="12" bestFit="1" customWidth="1"/>
  </cols>
  <sheetData>
    <row r="3" spans="3:14" ht="45" x14ac:dyDescent="0.35">
      <c r="C3" s="17" t="s">
        <v>49</v>
      </c>
      <c r="D3" s="6" t="s">
        <v>50</v>
      </c>
      <c r="E3" s="6" t="s">
        <v>91</v>
      </c>
      <c r="F3" s="6" t="s">
        <v>45</v>
      </c>
      <c r="G3" s="6" t="s">
        <v>92</v>
      </c>
      <c r="H3" s="6" t="s">
        <v>93</v>
      </c>
      <c r="I3" s="6" t="s">
        <v>123</v>
      </c>
      <c r="J3" s="6" t="s">
        <v>122</v>
      </c>
      <c r="K3" s="14" t="s">
        <v>121</v>
      </c>
    </row>
    <row r="4" spans="3:14" x14ac:dyDescent="0.3">
      <c r="C4" s="5" t="s">
        <v>94</v>
      </c>
      <c r="D4" s="5" t="s">
        <v>95</v>
      </c>
      <c r="E4" s="5">
        <v>1</v>
      </c>
      <c r="F4" s="5"/>
      <c r="G4" s="7"/>
      <c r="H4" s="5">
        <f>G4+E4*FattyAcid!G17</f>
        <v>232.70355470000001</v>
      </c>
      <c r="I4" s="5">
        <f>F4*H4</f>
        <v>0</v>
      </c>
      <c r="J4" s="5" t="e">
        <f>I4/$I$9</f>
        <v>#VALUE!</v>
      </c>
      <c r="K4" s="18" t="e">
        <f>F4/$I$9</f>
        <v>#VALUE!</v>
      </c>
      <c r="N4" t="s">
        <v>252</v>
      </c>
    </row>
    <row r="5" spans="3:14" x14ac:dyDescent="0.3">
      <c r="C5" s="5" t="s">
        <v>96</v>
      </c>
      <c r="D5" s="5" t="s">
        <v>97</v>
      </c>
      <c r="E5" s="5">
        <v>2</v>
      </c>
      <c r="F5" s="5"/>
      <c r="G5" s="7"/>
      <c r="H5" s="5">
        <f>G5+E5*FattyAcid!G18</f>
        <v>0</v>
      </c>
      <c r="I5" s="5">
        <f t="shared" ref="I5:I8" si="0">F5*H5</f>
        <v>0</v>
      </c>
      <c r="J5" s="5" t="e">
        <f t="shared" ref="J5:J8" si="1">I5/$I$9</f>
        <v>#VALUE!</v>
      </c>
      <c r="K5" s="18" t="e">
        <f t="shared" ref="K5:K8" si="2">F5/$I$9</f>
        <v>#VALUE!</v>
      </c>
    </row>
    <row r="6" spans="3:14" x14ac:dyDescent="0.3">
      <c r="C6" s="5" t="s">
        <v>98</v>
      </c>
      <c r="D6" s="5" t="s">
        <v>99</v>
      </c>
      <c r="E6" s="5">
        <v>4</v>
      </c>
      <c r="F6" s="5"/>
      <c r="G6" s="7"/>
      <c r="H6" s="5">
        <f>G6+E6*FattyAcid!G19</f>
        <v>0</v>
      </c>
      <c r="I6" s="5">
        <f t="shared" si="0"/>
        <v>0</v>
      </c>
      <c r="J6" s="5" t="e">
        <f t="shared" si="1"/>
        <v>#VALUE!</v>
      </c>
      <c r="K6" s="18" t="e">
        <f t="shared" si="2"/>
        <v>#VALUE!</v>
      </c>
      <c r="N6" s="50"/>
    </row>
    <row r="7" spans="3:14" x14ac:dyDescent="0.3">
      <c r="C7" s="5" t="s">
        <v>100</v>
      </c>
      <c r="D7" s="5" t="s">
        <v>101</v>
      </c>
      <c r="E7" s="5">
        <v>2</v>
      </c>
      <c r="F7" s="5"/>
      <c r="G7" s="7"/>
      <c r="H7" s="5">
        <f>G7+E7*FattyAcid!G20</f>
        <v>0</v>
      </c>
      <c r="I7" s="5">
        <f t="shared" si="0"/>
        <v>0</v>
      </c>
      <c r="J7" s="5" t="e">
        <f t="shared" si="1"/>
        <v>#VALUE!</v>
      </c>
      <c r="K7" s="18" t="e">
        <f t="shared" si="2"/>
        <v>#VALUE!</v>
      </c>
      <c r="N7" t="s">
        <v>253</v>
      </c>
    </row>
    <row r="8" spans="3:14" x14ac:dyDescent="0.3">
      <c r="C8" s="5" t="s">
        <v>102</v>
      </c>
      <c r="D8" s="5" t="s">
        <v>103</v>
      </c>
      <c r="E8" s="5">
        <v>2</v>
      </c>
      <c r="F8" s="5"/>
      <c r="G8" s="7"/>
      <c r="H8" s="5" t="e">
        <f>G8+E8*FattyAcid!G21</f>
        <v>#VALUE!</v>
      </c>
      <c r="I8" s="5" t="e">
        <f t="shared" si="0"/>
        <v>#VALUE!</v>
      </c>
      <c r="J8" s="5" t="e">
        <f t="shared" si="1"/>
        <v>#VALUE!</v>
      </c>
      <c r="K8" s="18" t="e">
        <f t="shared" si="2"/>
        <v>#VALUE!</v>
      </c>
    </row>
    <row r="9" spans="3:14" x14ac:dyDescent="0.3">
      <c r="C9" s="8" t="s">
        <v>57</v>
      </c>
      <c r="D9" s="11"/>
      <c r="E9" s="11"/>
      <c r="F9" s="11"/>
      <c r="G9" s="11"/>
      <c r="H9" s="4"/>
      <c r="I9" s="11" t="e">
        <f>SUM(I4:I8)</f>
        <v>#VALUE!</v>
      </c>
      <c r="J9" s="11" t="e">
        <f t="shared" ref="J9:K9" si="3">SUM(J4:J8)</f>
        <v>#VALUE!</v>
      </c>
      <c r="K9" s="11" t="e">
        <f t="shared" si="3"/>
        <v>#VALUE!</v>
      </c>
    </row>
    <row r="10" spans="3:14" x14ac:dyDescent="0.3">
      <c r="C10" s="5"/>
      <c r="D10" s="5"/>
      <c r="E10" s="5"/>
      <c r="F10" s="5"/>
      <c r="G10" s="5"/>
      <c r="H10" s="5"/>
      <c r="I10" s="5"/>
      <c r="J10" s="5"/>
      <c r="K10" s="5"/>
    </row>
    <row r="14" spans="3:14" ht="45" x14ac:dyDescent="0.35">
      <c r="C14" s="17" t="s">
        <v>49</v>
      </c>
      <c r="D14" s="6" t="s">
        <v>50</v>
      </c>
      <c r="E14" s="6" t="s">
        <v>91</v>
      </c>
      <c r="F14" s="6" t="s">
        <v>45</v>
      </c>
      <c r="G14" s="6" t="s">
        <v>92</v>
      </c>
      <c r="H14" s="6" t="s">
        <v>93</v>
      </c>
      <c r="I14" s="6" t="s">
        <v>123</v>
      </c>
      <c r="J14" s="6" t="s">
        <v>122</v>
      </c>
      <c r="K14" s="14" t="s">
        <v>121</v>
      </c>
    </row>
    <row r="15" spans="3:14" x14ac:dyDescent="0.3">
      <c r="C15" s="5" t="s">
        <v>94</v>
      </c>
      <c r="D15" s="5" t="s">
        <v>95</v>
      </c>
      <c r="E15" s="5">
        <v>1</v>
      </c>
      <c r="F15" s="5">
        <v>4.2999999999999997E-2</v>
      </c>
      <c r="G15" s="7">
        <v>273.14999999999998</v>
      </c>
      <c r="H15" s="5">
        <f>G15+E15*FattyAcid!G28</f>
        <v>273.99449999999996</v>
      </c>
      <c r="I15" s="5">
        <f>F15*H15</f>
        <v>11.781763499999997</v>
      </c>
      <c r="J15" s="5" t="e">
        <f>I15/$I$9</f>
        <v>#VALUE!</v>
      </c>
      <c r="K15" s="18" t="e">
        <f>F15/$I$9</f>
        <v>#VALUE!</v>
      </c>
    </row>
    <row r="16" spans="3:14" x14ac:dyDescent="0.3">
      <c r="C16" s="5" t="s">
        <v>96</v>
      </c>
      <c r="D16" s="5" t="s">
        <v>97</v>
      </c>
      <c r="E16" s="5">
        <v>2</v>
      </c>
      <c r="F16" s="5">
        <v>0.04</v>
      </c>
      <c r="G16" s="7">
        <v>308.24</v>
      </c>
      <c r="H16" s="5">
        <f>G16+E16*FattyAcid!G29</f>
        <v>410.81119999999999</v>
      </c>
      <c r="I16" s="5">
        <f t="shared" ref="I16:I19" si="4">F16*H16</f>
        <v>16.432448000000001</v>
      </c>
      <c r="J16" s="5" t="e">
        <f t="shared" ref="J16:J19" si="5">I16/$I$9</f>
        <v>#VALUE!</v>
      </c>
      <c r="K16" s="18" t="e">
        <f t="shared" ref="K16:K19" si="6">F16/$I$9</f>
        <v>#VALUE!</v>
      </c>
    </row>
    <row r="17" spans="3:11" x14ac:dyDescent="0.3">
      <c r="C17" s="5" t="s">
        <v>98</v>
      </c>
      <c r="D17" s="5" t="s">
        <v>99</v>
      </c>
      <c r="E17" s="5">
        <v>4</v>
      </c>
      <c r="F17" s="5">
        <v>0.42499999999999999</v>
      </c>
      <c r="G17" s="7">
        <v>506.2</v>
      </c>
      <c r="H17" s="5">
        <f>G17+E17*FattyAcid!G30</f>
        <v>528.71680000000003</v>
      </c>
      <c r="I17" s="5">
        <f t="shared" si="4"/>
        <v>224.70464000000001</v>
      </c>
      <c r="J17" s="5" t="e">
        <f t="shared" si="5"/>
        <v>#VALUE!</v>
      </c>
      <c r="K17" s="18" t="e">
        <f t="shared" si="6"/>
        <v>#VALUE!</v>
      </c>
    </row>
    <row r="18" spans="3:11" x14ac:dyDescent="0.3">
      <c r="C18" s="5" t="s">
        <v>100</v>
      </c>
      <c r="D18" s="5" t="s">
        <v>101</v>
      </c>
      <c r="E18" s="5">
        <v>2</v>
      </c>
      <c r="F18" s="5">
        <v>0.30299999999999999</v>
      </c>
      <c r="G18" s="7">
        <v>470.38</v>
      </c>
      <c r="H18" s="5">
        <f>G18+E18*FattyAcid!G31</f>
        <v>666.5539</v>
      </c>
      <c r="I18" s="5">
        <f t="shared" si="4"/>
        <v>201.9658317</v>
      </c>
      <c r="J18" s="5" t="e">
        <f t="shared" si="5"/>
        <v>#VALUE!</v>
      </c>
      <c r="K18" s="18" t="e">
        <f t="shared" si="6"/>
        <v>#VALUE!</v>
      </c>
    </row>
    <row r="19" spans="3:11" x14ac:dyDescent="0.3">
      <c r="C19" s="5" t="s">
        <v>102</v>
      </c>
      <c r="D19" s="5" t="s">
        <v>103</v>
      </c>
      <c r="E19" s="5">
        <v>2</v>
      </c>
      <c r="F19" s="5">
        <v>0.189</v>
      </c>
      <c r="G19" s="7">
        <v>299.14999999999998</v>
      </c>
      <c r="H19" s="5">
        <f>G19+E19*FattyAcid!G32</f>
        <v>315.02488</v>
      </c>
      <c r="I19" s="5">
        <f t="shared" si="4"/>
        <v>59.539702319999996</v>
      </c>
      <c r="J19" s="5" t="e">
        <f t="shared" si="5"/>
        <v>#VALUE!</v>
      </c>
      <c r="K19" s="18" t="e">
        <f t="shared" si="6"/>
        <v>#VALUE!</v>
      </c>
    </row>
    <row r="20" spans="3:11" x14ac:dyDescent="0.3">
      <c r="C20" s="8" t="s">
        <v>57</v>
      </c>
      <c r="D20" s="11"/>
      <c r="E20" s="11"/>
      <c r="F20" s="11"/>
      <c r="G20" s="11"/>
      <c r="H20" s="4"/>
      <c r="I20" s="11">
        <f>SUM(I15:I19)</f>
        <v>514.42438551999999</v>
      </c>
      <c r="J20" s="11" t="e">
        <f t="shared" ref="J20:K20" si="7">SUM(J15:J19)</f>
        <v>#VALUE!</v>
      </c>
      <c r="K20" s="11" t="e">
        <f t="shared" si="7"/>
        <v>#VALUE!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0950-D289-4EA7-91EB-1B1B634E8168}">
  <dimension ref="D3:I25"/>
  <sheetViews>
    <sheetView topLeftCell="A4" workbookViewId="0">
      <selection activeCell="E24" sqref="E24"/>
    </sheetView>
  </sheetViews>
  <sheetFormatPr defaultRowHeight="14.4" x14ac:dyDescent="0.3"/>
  <cols>
    <col min="4" max="4" width="21.6640625" bestFit="1" customWidth="1"/>
    <col min="5" max="5" width="16" bestFit="1" customWidth="1"/>
    <col min="6" max="6" width="21" bestFit="1" customWidth="1"/>
    <col min="7" max="7" width="10.77734375" bestFit="1" customWidth="1"/>
    <col min="8" max="8" width="15.33203125" customWidth="1"/>
    <col min="9" max="9" width="19.44140625" bestFit="1" customWidth="1"/>
  </cols>
  <sheetData>
    <row r="3" spans="4:9" x14ac:dyDescent="0.3">
      <c r="H3" t="s">
        <v>211</v>
      </c>
    </row>
    <row r="4" spans="4:9" ht="15.6" x14ac:dyDescent="0.35">
      <c r="D4" s="3" t="s">
        <v>49</v>
      </c>
      <c r="E4" s="4" t="s">
        <v>50</v>
      </c>
      <c r="F4" s="4" t="s">
        <v>157</v>
      </c>
      <c r="G4" s="4" t="s">
        <v>51</v>
      </c>
      <c r="H4" s="6" t="s">
        <v>208</v>
      </c>
      <c r="I4" s="19" t="s">
        <v>124</v>
      </c>
    </row>
    <row r="5" spans="4:9" x14ac:dyDescent="0.3">
      <c r="D5" s="5" t="s">
        <v>125</v>
      </c>
      <c r="E5" s="5" t="s">
        <v>126</v>
      </c>
      <c r="F5" s="5">
        <v>1</v>
      </c>
      <c r="G5" s="5">
        <v>265.35000000000002</v>
      </c>
      <c r="H5" s="5">
        <f>F5/$F$21</f>
        <v>6.25E-2</v>
      </c>
      <c r="I5" s="5">
        <f>H5/G5</f>
        <v>2.3553796872055773E-4</v>
      </c>
    </row>
    <row r="6" spans="4:9" x14ac:dyDescent="0.3">
      <c r="D6" s="5" t="s">
        <v>127</v>
      </c>
      <c r="E6" s="5" t="s">
        <v>128</v>
      </c>
      <c r="F6" s="5">
        <v>1</v>
      </c>
      <c r="G6" s="5">
        <v>443.41</v>
      </c>
      <c r="H6" s="5">
        <f t="shared" ref="H6:H20" si="0">F6/$F$21</f>
        <v>6.25E-2</v>
      </c>
      <c r="I6" s="5">
        <f t="shared" ref="I6:I20" si="1">H6/G6</f>
        <v>1.4095306826639002E-4</v>
      </c>
    </row>
    <row r="7" spans="4:9" x14ac:dyDescent="0.3">
      <c r="D7" s="5" t="s">
        <v>129</v>
      </c>
      <c r="E7" s="5" t="s">
        <v>130</v>
      </c>
      <c r="F7" s="5">
        <v>1</v>
      </c>
      <c r="G7" s="5">
        <v>148.27000000000001</v>
      </c>
      <c r="H7" s="5">
        <f t="shared" si="0"/>
        <v>6.25E-2</v>
      </c>
      <c r="I7" s="5">
        <f t="shared" si="1"/>
        <v>4.2152829297902473E-4</v>
      </c>
    </row>
    <row r="8" spans="4:9" x14ac:dyDescent="0.3">
      <c r="D8" s="5" t="s">
        <v>131</v>
      </c>
      <c r="E8" s="5" t="s">
        <v>132</v>
      </c>
      <c r="F8" s="5">
        <v>1</v>
      </c>
      <c r="G8" s="5">
        <v>399.44</v>
      </c>
      <c r="H8" s="5">
        <f t="shared" si="0"/>
        <v>6.25E-2</v>
      </c>
      <c r="I8" s="5">
        <f t="shared" si="1"/>
        <v>1.5646905667935108E-4</v>
      </c>
    </row>
    <row r="9" spans="4:9" x14ac:dyDescent="0.3">
      <c r="D9" s="5" t="s">
        <v>133</v>
      </c>
      <c r="E9" s="5" t="s">
        <v>134</v>
      </c>
      <c r="F9" s="5">
        <v>1</v>
      </c>
      <c r="G9" s="5">
        <v>376.36</v>
      </c>
      <c r="H9" s="5">
        <f t="shared" si="0"/>
        <v>6.25E-2</v>
      </c>
      <c r="I9" s="5">
        <f t="shared" si="1"/>
        <v>1.660644064193857E-4</v>
      </c>
    </row>
    <row r="10" spans="4:9" x14ac:dyDescent="0.3">
      <c r="D10" s="5" t="s">
        <v>135</v>
      </c>
      <c r="E10" s="5" t="s">
        <v>136</v>
      </c>
      <c r="F10" s="5">
        <v>1</v>
      </c>
      <c r="G10" s="5">
        <v>167.16</v>
      </c>
      <c r="H10" s="5">
        <f t="shared" si="0"/>
        <v>6.25E-2</v>
      </c>
      <c r="I10" s="5">
        <f t="shared" si="1"/>
        <v>3.7389327590332615E-4</v>
      </c>
    </row>
    <row r="11" spans="4:9" x14ac:dyDescent="0.3">
      <c r="D11" s="5" t="s">
        <v>137</v>
      </c>
      <c r="E11" s="5" t="s">
        <v>138</v>
      </c>
      <c r="F11" s="5">
        <v>1</v>
      </c>
      <c r="G11" s="5">
        <v>90.17</v>
      </c>
      <c r="H11" s="5">
        <f t="shared" si="0"/>
        <v>6.25E-2</v>
      </c>
      <c r="I11" s="5">
        <f t="shared" si="1"/>
        <v>6.9313518908727958E-4</v>
      </c>
    </row>
    <row r="12" spans="4:9" x14ac:dyDescent="0.3">
      <c r="D12" s="5" t="s">
        <v>139</v>
      </c>
      <c r="E12" s="5" t="s">
        <v>140</v>
      </c>
      <c r="F12" s="5">
        <v>1</v>
      </c>
      <c r="G12" s="5">
        <v>218.23</v>
      </c>
      <c r="H12" s="5">
        <f t="shared" si="0"/>
        <v>6.25E-2</v>
      </c>
      <c r="I12" s="5">
        <f t="shared" si="1"/>
        <v>2.8639508775145492E-4</v>
      </c>
    </row>
    <row r="13" spans="4:9" x14ac:dyDescent="0.3">
      <c r="D13" s="5" t="s">
        <v>141</v>
      </c>
      <c r="E13" s="5" t="s">
        <v>142</v>
      </c>
      <c r="F13" s="5">
        <v>1</v>
      </c>
      <c r="G13" s="5">
        <v>740.38</v>
      </c>
      <c r="H13" s="5">
        <f t="shared" si="0"/>
        <v>6.25E-2</v>
      </c>
      <c r="I13" s="5">
        <f t="shared" si="1"/>
        <v>8.4416110645884544E-5</v>
      </c>
    </row>
    <row r="14" spans="4:9" x14ac:dyDescent="0.3">
      <c r="D14" s="5" t="s">
        <v>143</v>
      </c>
      <c r="E14" s="5" t="s">
        <v>144</v>
      </c>
      <c r="F14" s="5">
        <v>1</v>
      </c>
      <c r="G14" s="5">
        <v>662.42</v>
      </c>
      <c r="H14" s="5">
        <f t="shared" si="0"/>
        <v>6.25E-2</v>
      </c>
      <c r="I14" s="5">
        <f t="shared" si="1"/>
        <v>9.4351015971739995E-5</v>
      </c>
    </row>
    <row r="15" spans="4:9" x14ac:dyDescent="0.3">
      <c r="D15" s="5" t="s">
        <v>145</v>
      </c>
      <c r="E15" s="5" t="s">
        <v>146</v>
      </c>
      <c r="F15" s="5">
        <v>1</v>
      </c>
      <c r="G15" s="5">
        <v>306.31</v>
      </c>
      <c r="H15" s="5">
        <f t="shared" si="0"/>
        <v>6.25E-2</v>
      </c>
      <c r="I15" s="5">
        <f t="shared" si="1"/>
        <v>2.0404165714472266E-4</v>
      </c>
    </row>
    <row r="16" spans="4:9" x14ac:dyDescent="0.3">
      <c r="D16" s="5" t="s">
        <v>147</v>
      </c>
      <c r="E16" s="5" t="s">
        <v>148</v>
      </c>
      <c r="F16" s="5">
        <v>1</v>
      </c>
      <c r="G16" s="5">
        <v>454.33</v>
      </c>
      <c r="H16" s="5">
        <f t="shared" si="0"/>
        <v>6.25E-2</v>
      </c>
      <c r="I16" s="5">
        <f t="shared" si="1"/>
        <v>1.3756520590760022E-4</v>
      </c>
    </row>
    <row r="17" spans="4:9" x14ac:dyDescent="0.3">
      <c r="D17" s="5" t="s">
        <v>149</v>
      </c>
      <c r="E17" s="5" t="s">
        <v>150</v>
      </c>
      <c r="F17" s="5">
        <v>1</v>
      </c>
      <c r="G17" s="5">
        <v>783.53</v>
      </c>
      <c r="H17" s="5">
        <f t="shared" si="0"/>
        <v>6.25E-2</v>
      </c>
      <c r="I17" s="5">
        <f t="shared" si="1"/>
        <v>7.9767207381976443E-5</v>
      </c>
    </row>
    <row r="18" spans="4:9" x14ac:dyDescent="0.3">
      <c r="D18" s="5" t="s">
        <v>151</v>
      </c>
      <c r="E18" s="5" t="s">
        <v>152</v>
      </c>
      <c r="F18" s="5">
        <v>1</v>
      </c>
      <c r="G18" s="5">
        <v>763.5</v>
      </c>
      <c r="H18" s="5">
        <f t="shared" si="0"/>
        <v>6.25E-2</v>
      </c>
      <c r="I18" s="5">
        <f t="shared" si="1"/>
        <v>8.1859855926653572E-5</v>
      </c>
    </row>
    <row r="19" spans="4:9" x14ac:dyDescent="0.3">
      <c r="D19" s="5" t="s">
        <v>153</v>
      </c>
      <c r="E19" s="5" t="s">
        <v>154</v>
      </c>
      <c r="F19" s="5">
        <v>1</v>
      </c>
      <c r="G19" s="5">
        <v>243.3</v>
      </c>
      <c r="H19" s="5">
        <f t="shared" si="0"/>
        <v>6.25E-2</v>
      </c>
      <c r="I19" s="5">
        <f t="shared" si="1"/>
        <v>2.5688450472667487E-4</v>
      </c>
    </row>
    <row r="20" spans="4:9" x14ac:dyDescent="0.3">
      <c r="D20" s="5" t="s">
        <v>155</v>
      </c>
      <c r="E20" s="5" t="s">
        <v>156</v>
      </c>
      <c r="F20" s="5">
        <v>1</v>
      </c>
      <c r="G20" s="5">
        <v>136.13</v>
      </c>
      <c r="H20" s="5">
        <f t="shared" si="0"/>
        <v>6.25E-2</v>
      </c>
      <c r="I20" s="5">
        <f t="shared" si="1"/>
        <v>4.5911995886285171E-4</v>
      </c>
    </row>
    <row r="21" spans="4:9" x14ac:dyDescent="0.3">
      <c r="D21" s="8" t="s">
        <v>57</v>
      </c>
      <c r="E21" s="11"/>
      <c r="F21" s="11">
        <f>SUM(F5:F20)</f>
        <v>16</v>
      </c>
      <c r="G21" s="11">
        <f>SUM(G5:G20)</f>
        <v>6198.29</v>
      </c>
      <c r="H21" s="11">
        <f t="shared" ref="H21" si="2">SUM(H5:H20)</f>
        <v>1</v>
      </c>
      <c r="I21" s="11">
        <f>SUM(I5:I20)</f>
        <v>3.8719818623748734E-3</v>
      </c>
    </row>
    <row r="25" spans="4:9" x14ac:dyDescent="0.3">
      <c r="D25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Total</vt:lpstr>
      <vt:lpstr>DNA</vt:lpstr>
      <vt:lpstr>RNA</vt:lpstr>
      <vt:lpstr>Protein</vt:lpstr>
      <vt:lpstr>Exopolysaccharide</vt:lpstr>
      <vt:lpstr>FattyAcid</vt:lpstr>
      <vt:lpstr>Lipid</vt:lpstr>
      <vt:lpstr>Cofactor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Cunha</dc:creator>
  <cp:lastModifiedBy>goncalo apoli</cp:lastModifiedBy>
  <dcterms:created xsi:type="dcterms:W3CDTF">2022-06-16T18:48:51Z</dcterms:created>
  <dcterms:modified xsi:type="dcterms:W3CDTF">2023-05-16T11:18:25Z</dcterms:modified>
</cp:coreProperties>
</file>