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cuments\GitHub\UC_projeto\"/>
    </mc:Choice>
  </mc:AlternateContent>
  <xr:revisionPtr revIDLastSave="0" documentId="13_ncr:1_{36B892EE-D775-4693-96C1-58B75F65B390}" xr6:coauthVersionLast="47" xr6:coauthVersionMax="47" xr10:uidLastSave="{00000000-0000-0000-0000-000000000000}"/>
  <bookViews>
    <workbookView xWindow="-98" yWindow="-98" windowWidth="21795" windowHeight="12975" activeTab="2" xr2:uid="{C94ABC85-F8B5-4533-8961-D8998B419AEF}"/>
  </bookViews>
  <sheets>
    <sheet name="Total" sheetId="2" r:id="rId1"/>
    <sheet name="RNA" sheetId="4" r:id="rId2"/>
    <sheet name="Carbohydrates" sheetId="3" r:id="rId3"/>
    <sheet name="FattyAcid" sheetId="8" r:id="rId4"/>
    <sheet name="Lipid" sheetId="6" r:id="rId5"/>
    <sheet name="Cofactor" sheetId="9" r:id="rId6"/>
    <sheet name="Pigments" sheetId="10" r:id="rId7"/>
    <sheet name="Folha1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0" l="1"/>
  <c r="H26" i="10"/>
  <c r="H27" i="10"/>
  <c r="H28" i="10"/>
  <c r="H29" i="10"/>
  <c r="H30" i="10"/>
  <c r="H31" i="10"/>
  <c r="H32" i="10"/>
  <c r="H24" i="10"/>
  <c r="H12" i="10"/>
  <c r="D23" i="3"/>
  <c r="C23" i="3"/>
  <c r="C22" i="3"/>
  <c r="B23" i="3"/>
  <c r="B22" i="3"/>
  <c r="D22" i="3"/>
  <c r="M6" i="4"/>
  <c r="M7" i="4"/>
  <c r="M8" i="4"/>
  <c r="M9" i="4"/>
  <c r="M5" i="4"/>
  <c r="K12" i="11"/>
  <c r="K11" i="11"/>
  <c r="D5" i="11"/>
  <c r="O12" i="10"/>
  <c r="O13" i="10"/>
  <c r="O14" i="10"/>
  <c r="O11" i="10"/>
  <c r="H20" i="10"/>
  <c r="G27" i="3"/>
  <c r="G28" i="3"/>
  <c r="G29" i="3"/>
  <c r="G30" i="3"/>
  <c r="G26" i="3"/>
  <c r="F17" i="6"/>
  <c r="H13" i="10"/>
  <c r="H14" i="10"/>
  <c r="H15" i="10"/>
  <c r="H16" i="10"/>
  <c r="H17" i="10"/>
  <c r="H18" i="10"/>
  <c r="H19" i="10"/>
  <c r="F18" i="6"/>
  <c r="J5" i="4"/>
  <c r="E114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60" i="6"/>
  <c r="D114" i="6"/>
  <c r="N55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39" i="6"/>
  <c r="M55" i="6"/>
  <c r="I56" i="6"/>
  <c r="J40" i="6" s="1"/>
  <c r="E57" i="6"/>
  <c r="E49" i="6"/>
  <c r="E50" i="6"/>
  <c r="E51" i="6"/>
  <c r="E52" i="6"/>
  <c r="E53" i="6"/>
  <c r="E54" i="6"/>
  <c r="E55" i="6"/>
  <c r="E56" i="6"/>
  <c r="E48" i="6"/>
  <c r="D57" i="6"/>
  <c r="E45" i="6"/>
  <c r="E39" i="6"/>
  <c r="E40" i="6"/>
  <c r="E41" i="6"/>
  <c r="E42" i="6"/>
  <c r="E43" i="6"/>
  <c r="E44" i="6"/>
  <c r="E38" i="6"/>
  <c r="D45" i="6"/>
  <c r="M37" i="6"/>
  <c r="M30" i="6"/>
  <c r="M31" i="6"/>
  <c r="M32" i="6"/>
  <c r="M33" i="6"/>
  <c r="M34" i="6"/>
  <c r="M35" i="6"/>
  <c r="M36" i="6"/>
  <c r="M29" i="6"/>
  <c r="L37" i="6"/>
  <c r="I31" i="6"/>
  <c r="I30" i="6"/>
  <c r="I29" i="6"/>
  <c r="H31" i="6"/>
  <c r="E34" i="6"/>
  <c r="E30" i="6"/>
  <c r="E31" i="6"/>
  <c r="E32" i="6"/>
  <c r="E33" i="6"/>
  <c r="E29" i="6"/>
  <c r="D34" i="6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J4" i="9"/>
  <c r="F21" i="9"/>
  <c r="F22" i="9"/>
  <c r="F23" i="9"/>
  <c r="F24" i="9"/>
  <c r="F25" i="9"/>
  <c r="D28" i="9"/>
  <c r="F6" i="9" s="1"/>
  <c r="E28" i="9"/>
  <c r="F19" i="6"/>
  <c r="F20" i="6"/>
  <c r="F21" i="6"/>
  <c r="F22" i="6"/>
  <c r="F23" i="6"/>
  <c r="F24" i="6"/>
  <c r="J39" i="6" l="1"/>
  <c r="J54" i="6"/>
  <c r="J55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F26" i="9"/>
  <c r="F19" i="9"/>
  <c r="F27" i="9"/>
  <c r="F20" i="9"/>
  <c r="F18" i="9"/>
  <c r="F17" i="9"/>
  <c r="F16" i="9"/>
  <c r="F4" i="9"/>
  <c r="G4" i="9" s="1"/>
  <c r="F5" i="9"/>
  <c r="F8" i="9"/>
  <c r="F7" i="9"/>
  <c r="F15" i="9"/>
  <c r="F14" i="9"/>
  <c r="F13" i="9"/>
  <c r="F12" i="9"/>
  <c r="F11" i="9"/>
  <c r="F10" i="9"/>
  <c r="F9" i="9"/>
  <c r="M11" i="2"/>
  <c r="L11" i="2"/>
  <c r="J56" i="6" l="1"/>
  <c r="F28" i="9"/>
  <c r="F8" i="3"/>
  <c r="F7" i="3"/>
  <c r="M5" i="3"/>
  <c r="M6" i="3"/>
  <c r="M7" i="3"/>
  <c r="M9" i="3"/>
  <c r="M4" i="3"/>
  <c r="L8" i="3"/>
  <c r="L10" i="3" s="1"/>
  <c r="J13" i="4"/>
  <c r="J14" i="4" s="1"/>
  <c r="J6" i="4"/>
  <c r="J7" i="4"/>
  <c r="J8" i="4"/>
  <c r="K8" i="4"/>
  <c r="K11" i="2"/>
  <c r="K5" i="2"/>
  <c r="K6" i="2"/>
  <c r="K7" i="2"/>
  <c r="K8" i="2"/>
  <c r="K9" i="2"/>
  <c r="K10" i="2"/>
  <c r="K4" i="2"/>
  <c r="J11" i="2"/>
  <c r="J5" i="2"/>
  <c r="J6" i="2"/>
  <c r="J7" i="2"/>
  <c r="J8" i="2"/>
  <c r="J9" i="2"/>
  <c r="J10" i="2"/>
  <c r="J4" i="2"/>
  <c r="I11" i="2"/>
  <c r="F9" i="3"/>
  <c r="G10" i="3"/>
  <c r="G41" i="8"/>
  <c r="G40" i="8"/>
  <c r="G39" i="8"/>
  <c r="G38" i="8"/>
  <c r="G37" i="8"/>
  <c r="G36" i="8"/>
  <c r="G35" i="8"/>
  <c r="G34" i="8"/>
  <c r="G33" i="8"/>
  <c r="G31" i="8"/>
  <c r="G30" i="8"/>
  <c r="G28" i="8"/>
  <c r="G27" i="8"/>
  <c r="E28" i="8"/>
  <c r="E41" i="8"/>
  <c r="E40" i="8"/>
  <c r="E39" i="8"/>
  <c r="E38" i="8"/>
  <c r="E37" i="8"/>
  <c r="E36" i="8"/>
  <c r="E35" i="8"/>
  <c r="E34" i="8"/>
  <c r="E33" i="8"/>
  <c r="E32" i="8"/>
  <c r="G32" i="8" s="1"/>
  <c r="E31" i="8"/>
  <c r="E30" i="8"/>
  <c r="E29" i="8"/>
  <c r="E27" i="8"/>
  <c r="E26" i="8"/>
  <c r="E25" i="8"/>
  <c r="G25" i="8" s="1"/>
  <c r="E24" i="8"/>
  <c r="E23" i="8"/>
  <c r="G26" i="8"/>
  <c r="E22" i="8"/>
  <c r="G29" i="8"/>
  <c r="G24" i="8"/>
  <c r="G23" i="8"/>
  <c r="G22" i="8"/>
  <c r="H4" i="3"/>
  <c r="E10" i="3"/>
  <c r="H5" i="3"/>
  <c r="H6" i="3"/>
  <c r="G8" i="8"/>
  <c r="G9" i="8"/>
  <c r="G10" i="8"/>
  <c r="G11" i="8"/>
  <c r="G12" i="8"/>
  <c r="G13" i="8"/>
  <c r="G7" i="8"/>
  <c r="M8" i="3" l="1"/>
  <c r="F10" i="3"/>
  <c r="H10" i="3"/>
  <c r="E42" i="8"/>
  <c r="E14" i="8"/>
  <c r="M10" i="3" l="1"/>
  <c r="I6" i="3"/>
  <c r="I5" i="3"/>
  <c r="I4" i="3"/>
  <c r="N7" i="3" l="1"/>
  <c r="K7" i="3" s="1"/>
  <c r="N9" i="3"/>
  <c r="K9" i="3" s="1"/>
  <c r="N6" i="3"/>
  <c r="K6" i="3" s="1"/>
  <c r="N5" i="3"/>
  <c r="K5" i="3" s="1"/>
  <c r="N4" i="3"/>
  <c r="N8" i="3"/>
  <c r="K8" i="3" s="1"/>
  <c r="I10" i="3"/>
  <c r="K4" i="3" l="1"/>
  <c r="N10" i="3"/>
  <c r="J5" i="3" s="1"/>
  <c r="J6" i="3" l="1"/>
  <c r="J4" i="3"/>
  <c r="K10" i="3"/>
  <c r="J8" i="3"/>
  <c r="J7" i="3"/>
  <c r="J14" i="3" s="1"/>
  <c r="J9" i="3"/>
  <c r="J15" i="3" l="1"/>
  <c r="J16" i="3"/>
  <c r="J10" i="3"/>
</calcChain>
</file>

<file path=xl/sharedStrings.xml><?xml version="1.0" encoding="utf-8"?>
<sst xmlns="http://schemas.openxmlformats.org/spreadsheetml/2006/main" count="309" uniqueCount="246">
  <si>
    <t>Protein</t>
  </si>
  <si>
    <t>Macromolecule</t>
  </si>
  <si>
    <t>mol M /mol MM</t>
  </si>
  <si>
    <t>Cofactors</t>
  </si>
  <si>
    <t>e-RNA</t>
  </si>
  <si>
    <t>Lipid</t>
  </si>
  <si>
    <t>DNA</t>
  </si>
  <si>
    <t>RNA</t>
  </si>
  <si>
    <t>Reactants</t>
  </si>
  <si>
    <t>Products</t>
  </si>
  <si>
    <t>UDP</t>
  </si>
  <si>
    <t>Metabolite</t>
  </si>
  <si>
    <t>Chemical Formula</t>
  </si>
  <si>
    <t>MW (g/mol)</t>
  </si>
  <si>
    <t>C17H25N3O17P2</t>
  </si>
  <si>
    <t>UDP-glucose</t>
  </si>
  <si>
    <t>C15H22N2O17P2</t>
  </si>
  <si>
    <t>Total</t>
  </si>
  <si>
    <t>e-Exopolysaccharide</t>
  </si>
  <si>
    <t>C10H13N2O11P2</t>
  </si>
  <si>
    <t>C9H11N2O12P2</t>
  </si>
  <si>
    <t>H2O</t>
  </si>
  <si>
    <t>MW - dTDP or UDP or H2O (g/mol)</t>
  </si>
  <si>
    <r>
      <t>mol/mol</t>
    </r>
    <r>
      <rPr>
        <vertAlign val="subscript"/>
        <sz val="11"/>
        <color rgb="FF000000"/>
        <rFont val="Calibri"/>
        <family val="2"/>
        <scheme val="minor"/>
      </rPr>
      <t>e-RNA</t>
    </r>
  </si>
  <si>
    <t>MW - Diphosphate (g/mol)</t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</si>
  <si>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</si>
  <si>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</si>
  <si>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</si>
  <si>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DW</t>
    </r>
  </si>
  <si>
    <t>UTP</t>
  </si>
  <si>
    <t>C9H11N2O15P3</t>
  </si>
  <si>
    <t>GTP</t>
  </si>
  <si>
    <t>C10H12N5O14P3</t>
  </si>
  <si>
    <t>CTP</t>
  </si>
  <si>
    <t>C9H12N3O14P3</t>
  </si>
  <si>
    <t>ATP</t>
  </si>
  <si>
    <t>C10H12N5O13P3</t>
  </si>
  <si>
    <t>Diphosphate</t>
  </si>
  <si>
    <t>H1O7P2</t>
  </si>
  <si>
    <t>molar fraction</t>
  </si>
  <si>
    <r>
      <t>MW of Each Fatty Acid in the final Fatty Acid (g/mol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</si>
  <si>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Octadecanoic acid</t>
  </si>
  <si>
    <t>C18H35O2</t>
  </si>
  <si>
    <t>Tridecanoic acid</t>
  </si>
  <si>
    <t>C13H25O2</t>
  </si>
  <si>
    <t>(9Z)-Octadecenoic acid</t>
  </si>
  <si>
    <t>C18H33O2</t>
  </si>
  <si>
    <t>Hexadecanoic acid</t>
  </si>
  <si>
    <t>C16H31O2</t>
  </si>
  <si>
    <t>Tetradecanoic acid</t>
  </si>
  <si>
    <t>C14H27O2</t>
  </si>
  <si>
    <t>(9Z)-Hexadecenoic acid</t>
  </si>
  <si>
    <t>C16H29O2</t>
  </si>
  <si>
    <t>(11E)-Octadecenoic acid</t>
  </si>
  <si>
    <r>
      <t>Average Fatty Acid (g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 xml:space="preserve"> 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</si>
  <si>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Average Fatty Acid without CHO2 (gFatty Acid /molFatty Acid)</t>
  </si>
  <si>
    <t>mmol M / g MM</t>
  </si>
  <si>
    <t>g M / mol MM</t>
  </si>
  <si>
    <t>g M / g MM</t>
  </si>
  <si>
    <t>mmol M / gDW</t>
  </si>
  <si>
    <t>Carbohydrates</t>
  </si>
  <si>
    <t>Pigments</t>
  </si>
  <si>
    <r>
      <t>Insights into cell wall disintegration of </t>
    </r>
    <r>
      <rPr>
        <i/>
        <sz val="9"/>
        <color rgb="FF000000"/>
        <rFont val="Cambria"/>
        <family val="1"/>
      </rPr>
      <t>Chlorella vulgaris</t>
    </r>
  </si>
  <si>
    <t>Extraction lipids from chlorella vulgaris by supercritical CO2 for</t>
  </si>
  <si>
    <t>Myristic acid</t>
  </si>
  <si>
    <t>Pentadecanoic acid</t>
  </si>
  <si>
    <t>Palmitic acid</t>
  </si>
  <si>
    <t>Palmitoleic acid</t>
  </si>
  <si>
    <t>Margaric acid</t>
  </si>
  <si>
    <t>7,10-Hexadecadienoic acid</t>
  </si>
  <si>
    <t>Stearic acid</t>
  </si>
  <si>
    <t>Oleic acid</t>
  </si>
  <si>
    <t>5-Octadecenoic acid</t>
  </si>
  <si>
    <t>11-Octadecenoic acid</t>
  </si>
  <si>
    <t>Linoleic acid</t>
  </si>
  <si>
    <t>Nonadecylic acid</t>
  </si>
  <si>
    <t>Linolenic acid</t>
  </si>
  <si>
    <t>Arachidic acid</t>
  </si>
  <si>
    <t>9-Eicosenoic acid</t>
  </si>
  <si>
    <t>Eicosadienoic acid</t>
  </si>
  <si>
    <t>Homolinolenic acid</t>
  </si>
  <si>
    <t>Heneicosylic acid</t>
  </si>
  <si>
    <t>Arachidonic acid</t>
  </si>
  <si>
    <t>Behenic acid</t>
  </si>
  <si>
    <t>Comprehensive GCMS and LC-MS/MS Metabolite Profiling of Chlorella vulgaris</t>
  </si>
  <si>
    <t>Biomass and lipid productivities of Chlorella vulgaris under autotrophic, heterotrophic and mixotrophic growth conditions</t>
  </si>
  <si>
    <t>aminoacidos/pigmentos: https://onlinelibrary.wiley.com/doi/10.1111/raq.12320; Morphology, composition, production, processing and applications of chlorella vulgaris, a review</t>
  </si>
  <si>
    <t>Chlorella vulgaris, a microalgae important to be used in Biotechnology: a review</t>
  </si>
  <si>
    <t>mais % de AG: Lipid and fatty acid composition microalgae Chlorella vulgaris using photobioreactor and open pond; Comparison between several methods of total lipid extraction from Chlorella vulgaris biomass; Chlorella vulgaris, a microalgae important to be used in Biotechnology: a review</t>
  </si>
  <si>
    <t>Flux balance analysis of Chlorella sp. FC2 IITG
under photoautotrophic and heterotrophic growth conditions</t>
  </si>
  <si>
    <t xml:space="preserve">Flux balance analysis of Chlorella sp. FC2 IITG under photoautotrophic and heterotrophic growth conditions: </t>
  </si>
  <si>
    <t>50% mono-galactosildiacilglicerol, 20 % Di-galactosyl diacylglycerol, 10 % Sulfoquinovosyl diacylglycerol, 10 % Phosphatidyl glycerol, 5 % Phosphatidyl ethanolamine, and 5 % Phosphatidylinositol (clamidomonas)</t>
  </si>
  <si>
    <t>UDP-L-arabinose</t>
  </si>
  <si>
    <t>UDP-D-Xylose</t>
  </si>
  <si>
    <t>GDP-mannose</t>
  </si>
  <si>
    <t>Starch</t>
  </si>
  <si>
    <t>g M/ gDW</t>
  </si>
  <si>
    <t>C1800H3002O1501</t>
  </si>
  <si>
    <t>mass % (g MM/gDW) normalized</t>
  </si>
  <si>
    <t>-</t>
  </si>
  <si>
    <t>g M/ gDW (%)</t>
  </si>
  <si>
    <t>g M/ gDW (normalized)</t>
  </si>
  <si>
    <t>GDP</t>
  </si>
  <si>
    <t>UDP-alpha-D-galactose</t>
  </si>
  <si>
    <t>clam</t>
  </si>
  <si>
    <t>clorela</t>
  </si>
  <si>
    <t>Meu modelo</t>
  </si>
  <si>
    <t>Chlamydomonas</t>
  </si>
  <si>
    <t>Chlorella</t>
  </si>
  <si>
    <t>Lipids</t>
  </si>
  <si>
    <r>
      <t>Impact of Cultivation Condition and Media Content on</t>
    </r>
    <r>
      <rPr>
        <i/>
        <sz val="9"/>
        <color rgb="FF000000"/>
        <rFont val="Cambria"/>
        <family val="1"/>
      </rPr>
      <t>Chlorella vulgaris</t>
    </r>
    <r>
      <rPr>
        <sz val="9"/>
        <color rgb="FF000000"/>
        <rFont val="Cambria"/>
        <family val="1"/>
      </rPr>
      <t> Composition</t>
    </r>
  </si>
  <si>
    <t>bcaroteno</t>
  </si>
  <si>
    <t>lutein</t>
  </si>
  <si>
    <t>clorofilaA</t>
  </si>
  <si>
    <t>clorofilaB</t>
  </si>
  <si>
    <t>violoxantina</t>
  </si>
  <si>
    <t>orphology, composition, production, processing and applications of Chlorella vulgar</t>
  </si>
  <si>
    <t>Interrelationships between Fatty Acid Biosynthesis and Acyl-Lipid Synthesis in Chlorella vulgaris</t>
  </si>
  <si>
    <r>
      <t> triacylglycerol (</t>
    </r>
    <r>
      <rPr>
        <sz val="9"/>
        <color rgb="FF006FB7"/>
        <rFont val="Merriweather"/>
      </rPr>
      <t>TAG</t>
    </r>
    <r>
      <rPr>
        <sz val="9"/>
        <color rgb="FF2A2A2A"/>
        <rFont val="Merriweather"/>
      </rPr>
      <t>), phosphatidylglycerol (</t>
    </r>
    <r>
      <rPr>
        <sz val="9"/>
        <color rgb="FF006FB7"/>
        <rFont val="Merriweather"/>
      </rPr>
      <t>PG</t>
    </r>
    <r>
      <rPr>
        <sz val="9"/>
        <color rgb="FF2A2A2A"/>
        <rFont val="Merriweather"/>
      </rPr>
      <t>), phosphatidylinositol (</t>
    </r>
    <r>
      <rPr>
        <sz val="9"/>
        <color rgb="FF006FB7"/>
        <rFont val="Merriweather"/>
      </rPr>
      <t>PI</t>
    </r>
    <r>
      <rPr>
        <sz val="9"/>
        <color rgb="FF2A2A2A"/>
        <rFont val="Merriweather"/>
      </rPr>
      <t>), phosphatidylethanolamine (</t>
    </r>
    <r>
      <rPr>
        <sz val="9"/>
        <color rgb="FF006FB7"/>
        <rFont val="Merriweather"/>
      </rPr>
      <t>PE</t>
    </r>
    <r>
      <rPr>
        <sz val="9"/>
        <color rgb="FF2A2A2A"/>
        <rFont val="Merriweather"/>
      </rPr>
      <t>), sulfoquinovosyldiglycerol, monogalactosyldiglycerol (</t>
    </r>
    <r>
      <rPr>
        <sz val="9"/>
        <color rgb="FF006FB7"/>
        <rFont val="Merriweather"/>
      </rPr>
      <t>MGDG</t>
    </r>
    <r>
      <rPr>
        <sz val="9"/>
        <color rgb="FF2A2A2A"/>
        <rFont val="Merriweather"/>
      </rPr>
      <t>), digalactosyldiglycerol, and phosphatidylcholine</t>
    </r>
  </si>
  <si>
    <t>Total lipids are composed of three major fractions phospholipids (PL), glycolipids (GL) and neutral lipids (NL)</t>
  </si>
  <si>
    <t>α- and β-carotenes as well as the xanthophylls lutein, zeaxanthin, violaxanthin, and neoxanthin</t>
  </si>
  <si>
    <t>acaroteno</t>
  </si>
  <si>
    <t>zeaxantina</t>
  </si>
  <si>
    <t>neoxantina</t>
  </si>
  <si>
    <t># of Acyl Group</t>
  </si>
  <si>
    <t>mol M/mol MM</t>
  </si>
  <si>
    <t>MW of Core Structure (g/mol)</t>
  </si>
  <si>
    <r>
      <t>MW + Acyl group -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H (g/mol)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</si>
  <si>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</si>
  <si>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</si>
  <si>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</si>
  <si>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t>1-Acyl-sn-glycero-3-phosphoglycerol</t>
  </si>
  <si>
    <t>C7H14O9PR</t>
  </si>
  <si>
    <t>3-D-Glucosyl-1,2-diacylglycerol</t>
  </si>
  <si>
    <t>C11H16O10R2</t>
  </si>
  <si>
    <t>Cardiolipin</t>
  </si>
  <si>
    <t>C13H16O17P2R4</t>
  </si>
  <si>
    <t>Diglucosyldiacylglycerol</t>
  </si>
  <si>
    <t>C17H26O15R2</t>
  </si>
  <si>
    <t>Phosphatidylglycerol</t>
  </si>
  <si>
    <t>C8H12O10PR2</t>
  </si>
  <si>
    <t>triacylglycerol </t>
  </si>
  <si>
    <t>phosphatidylglycerol </t>
  </si>
  <si>
    <t>phosphatidylinositol </t>
  </si>
  <si>
    <t>phosphatidylethanolamine </t>
  </si>
  <si>
    <t>sulfoquinovosyldiglycerol</t>
  </si>
  <si>
    <t>monogalactosyldiglycerol </t>
  </si>
  <si>
    <t>digalactosyldiglycerol</t>
  </si>
  <si>
    <t>phosphatidylcholine</t>
  </si>
  <si>
    <t>nº</t>
  </si>
  <si>
    <t>mmol M/gDW</t>
  </si>
  <si>
    <t>mmol M/g-Lipid</t>
  </si>
  <si>
    <t># of mol into Cofactor</t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</si>
  <si>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e-Cofactor</t>
    </r>
  </si>
  <si>
    <t>Thiamine</t>
  </si>
  <si>
    <t>C12H17N4OS</t>
  </si>
  <si>
    <t>Tetrahydrofolate</t>
  </si>
  <si>
    <t>C19H21N7O6</t>
  </si>
  <si>
    <t>S-Adenosyl-L-methionine</t>
  </si>
  <si>
    <t>C15H23N6O5S</t>
  </si>
  <si>
    <t>Riboflavin</t>
  </si>
  <si>
    <t>C17H20N4O6</t>
  </si>
  <si>
    <t>NAD+</t>
  </si>
  <si>
    <t>C21H26N7O14P2</t>
  </si>
  <si>
    <t>Glutathione</t>
  </si>
  <si>
    <t>C10H16N3O6S</t>
  </si>
  <si>
    <t>FMN</t>
  </si>
  <si>
    <t>C17H19N4O9P</t>
  </si>
  <si>
    <t>FAD</t>
  </si>
  <si>
    <t>C27H31N9O15P2</t>
  </si>
  <si>
    <t>CoA</t>
  </si>
  <si>
    <t>C21H32N7O16P3S</t>
  </si>
  <si>
    <t>Biotin</t>
  </si>
  <si>
    <t>C10H15N2O3S</t>
  </si>
  <si>
    <t>g M/g mm</t>
  </si>
  <si>
    <t>C8H10NO6P</t>
  </si>
  <si>
    <t>Pyridoxal phosphate</t>
  </si>
  <si>
    <t>NADPH</t>
  </si>
  <si>
    <t>C21H30N7O17P3</t>
  </si>
  <si>
    <t>Ubiquinol</t>
  </si>
  <si>
    <t>C54H84O4</t>
  </si>
  <si>
    <t>Ascorbate</t>
  </si>
  <si>
    <t>C6H8O6</t>
  </si>
  <si>
    <t>Heme</t>
  </si>
  <si>
    <t>C34H32FeN4O4</t>
  </si>
  <si>
    <t>Alpha-tocopherol</t>
  </si>
  <si>
    <t>C29H50O2</t>
  </si>
  <si>
    <t>Cobamide coenzyme</t>
  </si>
  <si>
    <t>C72H100CoN18O17P</t>
  </si>
  <si>
    <t>10-Formyltetrahydrofolate</t>
  </si>
  <si>
    <t>C20H23N7O7</t>
  </si>
  <si>
    <t>Thiamine diphosphate</t>
  </si>
  <si>
    <t>C12H19N4O7P2S</t>
  </si>
  <si>
    <t>Phylloquinol</t>
  </si>
  <si>
    <t>Plastoquinol-9</t>
  </si>
  <si>
    <t>R-Lipoate</t>
  </si>
  <si>
    <t>2fe2s</t>
  </si>
  <si>
    <t>soma</t>
  </si>
  <si>
    <t>sqdg</t>
  </si>
  <si>
    <t>PI</t>
  </si>
  <si>
    <t>PG</t>
  </si>
  <si>
    <t>PE</t>
  </si>
  <si>
    <t>PC</t>
  </si>
  <si>
    <t>SOMA</t>
  </si>
  <si>
    <t>MGDG</t>
  </si>
  <si>
    <t>DGDG</t>
  </si>
  <si>
    <t>TAG</t>
  </si>
  <si>
    <t>Soma</t>
  </si>
  <si>
    <t>from utex395</t>
  </si>
  <si>
    <t>mmol M/g-pigment</t>
  </si>
  <si>
    <t>L-ARABINOSE</t>
  </si>
  <si>
    <t>D-GALACTOSE</t>
  </si>
  <si>
    <t>ALPHA-D-GLUCOSE</t>
  </si>
  <si>
    <t>D-Mannose</t>
  </si>
  <si>
    <t>STARCH</t>
  </si>
  <si>
    <t>loroxanthin</t>
  </si>
  <si>
    <t>dCTP</t>
  </si>
  <si>
    <t>dTTP</t>
  </si>
  <si>
    <t>dGTP</t>
  </si>
  <si>
    <t>Datp</t>
  </si>
  <si>
    <t>UTEX395</t>
  </si>
  <si>
    <t>mmol_per_gDW_per_hr</t>
  </si>
  <si>
    <t>cyt</t>
  </si>
  <si>
    <t>his</t>
  </si>
  <si>
    <t>glut</t>
  </si>
  <si>
    <t>aspa</t>
  </si>
  <si>
    <t>val</t>
  </si>
  <si>
    <t>ser</t>
  </si>
  <si>
    <t>tyrosi</t>
  </si>
  <si>
    <t>threon</t>
  </si>
  <si>
    <t>glutaminyl</t>
  </si>
  <si>
    <t>phenina</t>
  </si>
  <si>
    <t>thrypto</t>
  </si>
  <si>
    <t>prol</t>
  </si>
  <si>
    <t>met</t>
  </si>
  <si>
    <t>glycil</t>
  </si>
  <si>
    <t>arginyl</t>
  </si>
  <si>
    <t>asparagynil</t>
  </si>
  <si>
    <t>leucyl</t>
  </si>
  <si>
    <t>cysteinyl</t>
  </si>
  <si>
    <t>isoleucyl</t>
  </si>
  <si>
    <t>alanyl</t>
  </si>
  <si>
    <t>lysisl</t>
  </si>
  <si>
    <t>valor de starch do outro modelo</t>
  </si>
  <si>
    <t>auto</t>
  </si>
  <si>
    <t>hetero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</si>
</sst>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mbria"/>
      <family val="1"/>
    </font>
    <font>
      <i/>
      <sz val="9"/>
      <color rgb="FF000000"/>
      <name val="Cambria"/>
      <family val="1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rgb="FF222222"/>
      <name val="Arial"/>
      <family val="2"/>
    </font>
    <font>
      <b/>
      <sz val="11"/>
      <color theme="3"/>
      <name val="Calibri"/>
      <family val="2"/>
      <scheme val="minor"/>
    </font>
    <font>
      <sz val="8"/>
      <color rgb="FFD4D4D4"/>
      <name val="Consolas"/>
      <family val="3"/>
    </font>
    <font>
      <sz val="8"/>
      <name val="Calibri"/>
      <family val="2"/>
      <scheme val="minor"/>
    </font>
    <font>
      <sz val="8"/>
      <color rgb="FFFFFFFF"/>
      <name val="Roboto"/>
    </font>
    <font>
      <sz val="8"/>
      <color rgb="FFFF0000"/>
      <name val="Roboto"/>
    </font>
    <font>
      <sz val="9"/>
      <color rgb="FF2A2A2A"/>
      <name val="Merriweather"/>
    </font>
    <font>
      <sz val="9"/>
      <color rgb="FF006FB7"/>
      <name val="Merriweather"/>
    </font>
    <font>
      <sz val="5"/>
      <color rgb="FF000000"/>
      <name val="Consolas"/>
      <family val="3"/>
    </font>
    <font>
      <sz val="5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2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3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3" fillId="3" borderId="0" xfId="0" applyFont="1" applyFill="1"/>
    <xf numFmtId="0" fontId="3" fillId="3" borderId="6" xfId="0" applyFont="1" applyFill="1" applyBorder="1"/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5" fillId="0" borderId="8" xfId="0" applyFont="1" applyBorder="1" applyAlignment="1">
      <alignment wrapText="1"/>
    </xf>
    <xf numFmtId="0" fontId="5" fillId="0" borderId="4" xfId="0" applyFont="1" applyBorder="1"/>
    <xf numFmtId="0" fontId="3" fillId="0" borderId="2" xfId="0" applyFont="1" applyBorder="1"/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5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3" fillId="4" borderId="0" xfId="0" applyFont="1" applyFill="1"/>
    <xf numFmtId="0" fontId="5" fillId="4" borderId="6" xfId="0" applyFont="1" applyFill="1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12" fillId="0" borderId="0" xfId="0" applyFont="1"/>
    <xf numFmtId="0" fontId="0" fillId="0" borderId="9" xfId="0" applyBorder="1"/>
    <xf numFmtId="0" fontId="0" fillId="0" borderId="10" xfId="0" applyBorder="1"/>
    <xf numFmtId="0" fontId="11" fillId="0" borderId="5" xfId="4" applyBorder="1" applyAlignment="1">
      <alignment horizontal="center"/>
    </xf>
    <xf numFmtId="0" fontId="11" fillId="0" borderId="12" xfId="4" applyBorder="1" applyAlignment="1">
      <alignment horizontal="center"/>
    </xf>
    <xf numFmtId="0" fontId="11" fillId="0" borderId="14" xfId="4" applyBorder="1" applyAlignment="1">
      <alignment horizontal="center"/>
    </xf>
    <xf numFmtId="0" fontId="11" fillId="0" borderId="11" xfId="4" applyBorder="1" applyAlignment="1">
      <alignment horizontal="center"/>
    </xf>
    <xf numFmtId="0" fontId="11" fillId="0" borderId="13" xfId="4" applyBorder="1" applyAlignment="1">
      <alignment horizontal="center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/>
    <xf numFmtId="0" fontId="5" fillId="7" borderId="0" xfId="0" applyFont="1" applyFill="1"/>
    <xf numFmtId="0" fontId="0" fillId="7" borderId="0" xfId="0" applyFill="1"/>
    <xf numFmtId="0" fontId="14" fillId="0" borderId="0" xfId="0" applyFont="1"/>
    <xf numFmtId="0" fontId="15" fillId="8" borderId="0" xfId="0" applyFont="1" applyFill="1"/>
    <xf numFmtId="0" fontId="16" fillId="0" borderId="0" xfId="0" applyFont="1"/>
    <xf numFmtId="0" fontId="3" fillId="0" borderId="3" xfId="0" applyFont="1" applyBorder="1" applyAlignment="1">
      <alignment wrapText="1"/>
    </xf>
    <xf numFmtId="11" fontId="3" fillId="3" borderId="0" xfId="0" applyNumberFormat="1" applyFont="1" applyFill="1"/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8" fillId="0" borderId="0" xfId="0" applyFont="1"/>
    <xf numFmtId="165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19" fillId="0" borderId="0" xfId="0" applyFont="1" applyAlignment="1">
      <alignment vertical="center"/>
    </xf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5">
    <cellStyle name="Cabeçalho 4" xfId="4" builtinId="19"/>
    <cellStyle name="Normal" xfId="0" builtinId="0"/>
    <cellStyle name="Normal 2" xfId="2" xr:uid="{F665BA16-CB41-4BC3-86CF-16352D63B265}"/>
    <cellStyle name="Normal 2 2" xfId="3" xr:uid="{79D5EF3A-0454-4736-833D-21475C8FDCA4}"/>
    <cellStyle name="Total" xfId="1" builtinId="25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326D9-549C-4FE0-A743-4C2C6F18F866}" name="Tabela1" displayName="Tabela1" ref="C3:C10" totalsRowShown="0" headerRowBorderDxfId="11" tableBorderDxfId="10" totalsRowBorderDxfId="9">
  <autoFilter ref="C3:C10" xr:uid="{C0A326D9-549C-4FE0-A743-4C2C6F18F866}"/>
  <tableColumns count="1">
    <tableColumn id="1" xr3:uid="{429CE688-BA34-448A-AB5D-F078DCB8AF1C}" name="Macromolecul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3F385-4F02-40EC-A3F3-360ADD22E6F6}" name="Tabela13" displayName="Tabela13" ref="C22:F29" totalsRowShown="0" headerRowDxfId="7" headerRowBorderDxfId="6" tableBorderDxfId="5" totalsRowBorderDxfId="4" headerRowCellStyle="Cabeçalho 4">
  <tableColumns count="4">
    <tableColumn id="1" xr3:uid="{6ED0F374-CCAF-4A96-9540-A7DEFDA72FA7}" name="Macromolecule" dataDxfId="3" dataCellStyle="Cabeçalho 4"/>
    <tableColumn id="2" xr3:uid="{181E4C3A-F414-4FA5-AADB-ECFA39C769B4}" name="Meu modelo" dataDxfId="2" dataCellStyle="Normal">
      <calculatedColumnFormula>C23/$J$11</calculatedColumnFormula>
    </tableColumn>
    <tableColumn id="3" xr3:uid="{7280E299-5A9A-4088-B942-DD0FFF2BF63E}" name="Chlamydomonas" dataDxfId="1" dataCellStyle="Normal"/>
    <tableColumn id="4" xr3:uid="{C9EFF8A5-F9F4-45A2-942D-6E6B4A69360A}" name="Chlorella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pubchem.ncbi.nlm.nih.gov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4426-0E01-4794-B053-81038EC004DE}">
  <dimension ref="C1:M29"/>
  <sheetViews>
    <sheetView topLeftCell="B1" workbookViewId="0">
      <selection activeCell="K8" sqref="K8"/>
    </sheetView>
  </sheetViews>
  <sheetFormatPr defaultRowHeight="14.25" x14ac:dyDescent="0.45"/>
  <cols>
    <col min="3" max="3" width="16.33203125" bestFit="1" customWidth="1"/>
    <col min="4" max="4" width="17.19921875" customWidth="1"/>
    <col min="5" max="5" width="15.33203125" customWidth="1"/>
    <col min="6" max="6" width="13.33203125" customWidth="1"/>
    <col min="11" max="11" width="30.33203125" bestFit="1" customWidth="1"/>
  </cols>
  <sheetData>
    <row r="1" spans="3:13" ht="117" x14ac:dyDescent="0.45">
      <c r="D1" s="31" t="s">
        <v>62</v>
      </c>
      <c r="E1" s="31" t="s">
        <v>110</v>
      </c>
      <c r="F1" s="33" t="s">
        <v>63</v>
      </c>
      <c r="G1" s="32" t="s">
        <v>85</v>
      </c>
      <c r="H1" s="33" t="s">
        <v>87</v>
      </c>
      <c r="I1" s="37" t="s">
        <v>89</v>
      </c>
    </row>
    <row r="3" spans="3:13" x14ac:dyDescent="0.45">
      <c r="C3" s="46" t="s">
        <v>1</v>
      </c>
      <c r="D3" s="1"/>
      <c r="E3" s="2"/>
      <c r="F3" s="2"/>
      <c r="G3" s="2"/>
      <c r="H3" s="2"/>
      <c r="I3" s="2"/>
      <c r="K3" s="2" t="s">
        <v>98</v>
      </c>
      <c r="L3" t="s">
        <v>104</v>
      </c>
      <c r="M3" t="s">
        <v>105</v>
      </c>
    </row>
    <row r="4" spans="3:13" x14ac:dyDescent="0.45">
      <c r="C4" s="26" t="s">
        <v>0</v>
      </c>
      <c r="D4" s="35">
        <v>0.52</v>
      </c>
      <c r="E4" s="35">
        <v>0.54</v>
      </c>
      <c r="F4" s="35">
        <v>0.18</v>
      </c>
      <c r="G4" s="35">
        <v>0.37</v>
      </c>
      <c r="H4" s="35">
        <v>0.51</v>
      </c>
      <c r="I4" s="35">
        <v>0.28999999999999998</v>
      </c>
      <c r="J4">
        <f>AVERAGE(D4:I4)</f>
        <v>0.40166666666666667</v>
      </c>
      <c r="K4" s="40">
        <f>J4/$J$11</f>
        <v>0.45669888194049646</v>
      </c>
      <c r="L4" s="44">
        <v>0.46</v>
      </c>
      <c r="M4" s="44">
        <v>0.48</v>
      </c>
    </row>
    <row r="5" spans="3:13" x14ac:dyDescent="0.45">
      <c r="C5" s="26" t="s">
        <v>6</v>
      </c>
      <c r="D5" s="35"/>
      <c r="E5" s="35"/>
      <c r="F5" s="35"/>
      <c r="G5" s="35"/>
      <c r="H5" s="35"/>
      <c r="I5" s="35">
        <v>1E-3</v>
      </c>
      <c r="J5">
        <f t="shared" ref="J5:J10" si="0">AVERAGE(D5:I5)</f>
        <v>1E-3</v>
      </c>
      <c r="K5" s="40">
        <f t="shared" ref="K5:K10" si="1">J5/$J$11</f>
        <v>1.1370096645821489E-3</v>
      </c>
      <c r="L5" s="44">
        <v>3.0000000000000001E-3</v>
      </c>
      <c r="M5" s="44">
        <v>6.0000000000000001E-3</v>
      </c>
    </row>
    <row r="6" spans="3:13" x14ac:dyDescent="0.45">
      <c r="C6" s="26" t="s">
        <v>7</v>
      </c>
      <c r="D6" s="35"/>
      <c r="E6" s="35"/>
      <c r="F6" s="35"/>
      <c r="G6" s="35"/>
      <c r="H6" s="35"/>
      <c r="I6" s="35">
        <v>2.8000000000000001E-2</v>
      </c>
      <c r="J6">
        <f t="shared" si="0"/>
        <v>2.8000000000000001E-2</v>
      </c>
      <c r="K6" s="40">
        <f t="shared" si="1"/>
        <v>3.1836270608300167E-2</v>
      </c>
      <c r="L6" s="44">
        <v>8.6999999999999994E-2</v>
      </c>
      <c r="M6" s="44">
        <v>0.08</v>
      </c>
    </row>
    <row r="7" spans="3:13" x14ac:dyDescent="0.45">
      <c r="C7" s="26" t="s">
        <v>5</v>
      </c>
      <c r="D7" s="35">
        <v>0.09</v>
      </c>
      <c r="E7" s="35">
        <v>1.7999999999999999E-2</v>
      </c>
      <c r="F7" s="35">
        <v>0.35</v>
      </c>
      <c r="G7" s="35">
        <v>0.26</v>
      </c>
      <c r="H7" s="35">
        <v>0.12</v>
      </c>
      <c r="I7" s="35">
        <v>0.11</v>
      </c>
      <c r="J7">
        <f t="shared" si="0"/>
        <v>0.158</v>
      </c>
      <c r="K7" s="40">
        <f t="shared" si="1"/>
        <v>0.17964752700397951</v>
      </c>
      <c r="L7" s="44">
        <v>0.126</v>
      </c>
      <c r="M7" s="44">
        <v>0.16300000000000001</v>
      </c>
    </row>
    <row r="8" spans="3:13" x14ac:dyDescent="0.45">
      <c r="C8" s="26" t="s">
        <v>60</v>
      </c>
      <c r="D8" s="35">
        <v>0.09</v>
      </c>
      <c r="E8" s="35">
        <v>1.4999999999999999E-2</v>
      </c>
      <c r="F8" s="35">
        <v>0.39</v>
      </c>
      <c r="G8" s="35">
        <v>0.3</v>
      </c>
      <c r="H8" s="35">
        <v>0.12</v>
      </c>
      <c r="I8" s="35">
        <v>0.53</v>
      </c>
      <c r="J8">
        <f t="shared" si="0"/>
        <v>0.24083333333333332</v>
      </c>
      <c r="K8" s="40">
        <f t="shared" si="1"/>
        <v>0.27382982755353419</v>
      </c>
      <c r="L8" s="44">
        <v>0.29499999999999998</v>
      </c>
      <c r="M8" s="44">
        <v>0.248</v>
      </c>
    </row>
    <row r="9" spans="3:13" x14ac:dyDescent="0.45">
      <c r="C9" s="26" t="s">
        <v>61</v>
      </c>
      <c r="D9" s="35"/>
      <c r="E9" s="35"/>
      <c r="F9" s="35"/>
      <c r="G9" s="35"/>
      <c r="H9" s="35"/>
      <c r="I9" s="35">
        <v>0.04</v>
      </c>
      <c r="J9">
        <f t="shared" si="0"/>
        <v>0.04</v>
      </c>
      <c r="K9" s="40">
        <f t="shared" si="1"/>
        <v>4.5480386583285959E-2</v>
      </c>
      <c r="L9" s="44">
        <v>2.7E-2</v>
      </c>
      <c r="M9" s="44">
        <v>2.5999999999999999E-2</v>
      </c>
    </row>
    <row r="10" spans="3:13" x14ac:dyDescent="0.45">
      <c r="C10" s="47" t="s">
        <v>3</v>
      </c>
      <c r="D10" s="35"/>
      <c r="E10" s="35"/>
      <c r="F10" s="35"/>
      <c r="G10" s="35"/>
      <c r="H10" s="35"/>
      <c r="I10" s="35">
        <v>0.01</v>
      </c>
      <c r="J10">
        <f t="shared" si="0"/>
        <v>0.01</v>
      </c>
      <c r="K10" s="40">
        <f t="shared" si="1"/>
        <v>1.137009664582149E-2</v>
      </c>
      <c r="L10" s="44">
        <v>2E-3</v>
      </c>
      <c r="M10" s="44"/>
    </row>
    <row r="11" spans="3:13" x14ac:dyDescent="0.45">
      <c r="I11">
        <f>SUM(I4:I10)</f>
        <v>1.0090000000000001</v>
      </c>
      <c r="J11">
        <f>SUM(J4:J10)</f>
        <v>0.87950000000000006</v>
      </c>
      <c r="K11" s="72">
        <f>SUM(K4:K10)</f>
        <v>1</v>
      </c>
      <c r="L11" s="72">
        <f>SUM(L4:L10)</f>
        <v>1</v>
      </c>
      <c r="M11" s="72">
        <f>SUM(M4:M10)</f>
        <v>1.0029999999999999</v>
      </c>
    </row>
    <row r="15" spans="3:13" x14ac:dyDescent="0.45">
      <c r="C15" t="s">
        <v>86</v>
      </c>
    </row>
    <row r="19" spans="3:6" x14ac:dyDescent="0.45">
      <c r="F19" s="45"/>
    </row>
    <row r="21" spans="3:6" ht="9" customHeight="1" x14ac:dyDescent="0.45"/>
    <row r="22" spans="3:6" x14ac:dyDescent="0.45">
      <c r="C22" s="50" t="s">
        <v>1</v>
      </c>
      <c r="D22" s="51" t="s">
        <v>106</v>
      </c>
      <c r="E22" s="51" t="s">
        <v>107</v>
      </c>
      <c r="F22" s="52" t="s">
        <v>108</v>
      </c>
    </row>
    <row r="23" spans="3:6" x14ac:dyDescent="0.45">
      <c r="C23" s="48" t="s">
        <v>0</v>
      </c>
      <c r="D23" s="44">
        <v>0.45700000000000002</v>
      </c>
      <c r="E23" s="44">
        <v>0.46</v>
      </c>
      <c r="F23" s="44">
        <v>0.48</v>
      </c>
    </row>
    <row r="24" spans="3:6" x14ac:dyDescent="0.45">
      <c r="C24" s="48" t="s">
        <v>6</v>
      </c>
      <c r="D24" s="44">
        <v>1E-3</v>
      </c>
      <c r="E24" s="44">
        <v>3.0000000000000001E-3</v>
      </c>
      <c r="F24" s="44">
        <v>6.0000000000000001E-3</v>
      </c>
    </row>
    <row r="25" spans="3:6" x14ac:dyDescent="0.45">
      <c r="C25" s="48" t="s">
        <v>7</v>
      </c>
      <c r="D25" s="44">
        <v>3.2000000000000001E-2</v>
      </c>
      <c r="E25" s="44">
        <v>8.6999999999999994E-2</v>
      </c>
      <c r="F25" s="44">
        <v>0.08</v>
      </c>
    </row>
    <row r="26" spans="3:6" x14ac:dyDescent="0.45">
      <c r="C26" s="48" t="s">
        <v>109</v>
      </c>
      <c r="D26" s="44">
        <v>0.18</v>
      </c>
      <c r="E26" s="44">
        <v>0.126</v>
      </c>
      <c r="F26" s="44">
        <v>0.16300000000000001</v>
      </c>
    </row>
    <row r="27" spans="3:6" x14ac:dyDescent="0.45">
      <c r="C27" s="48" t="s">
        <v>60</v>
      </c>
      <c r="D27" s="44">
        <v>0.27400000000000002</v>
      </c>
      <c r="E27" s="44">
        <v>0.29499999999999998</v>
      </c>
      <c r="F27" s="44">
        <v>0.248</v>
      </c>
    </row>
    <row r="28" spans="3:6" x14ac:dyDescent="0.45">
      <c r="C28" s="48" t="s">
        <v>61</v>
      </c>
      <c r="D28" s="44">
        <v>4.4999999999999998E-2</v>
      </c>
      <c r="E28" s="44">
        <v>2.7E-2</v>
      </c>
      <c r="F28" s="44">
        <v>2.5999999999999999E-2</v>
      </c>
    </row>
    <row r="29" spans="3:6" x14ac:dyDescent="0.45">
      <c r="C29" s="49" t="s">
        <v>3</v>
      </c>
      <c r="D29" s="44">
        <v>1.0999999999999999E-2</v>
      </c>
      <c r="E29" s="44">
        <v>2E-3</v>
      </c>
      <c r="F29" s="44" t="s">
        <v>99</v>
      </c>
    </row>
  </sheetData>
  <phoneticPr fontId="1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7B6-A1EF-4773-B731-129917550A7D}">
  <dimension ref="C4:O14"/>
  <sheetViews>
    <sheetView workbookViewId="0">
      <selection activeCell="K18" sqref="K18"/>
    </sheetView>
  </sheetViews>
  <sheetFormatPr defaultRowHeight="14.25" x14ac:dyDescent="0.45"/>
  <cols>
    <col min="3" max="3" width="11.33203125" bestFit="1" customWidth="1"/>
    <col min="4" max="4" width="15.6640625" bestFit="1" customWidth="1"/>
    <col min="5" max="5" width="12" bestFit="1" customWidth="1"/>
    <col min="6" max="6" width="10.6640625" bestFit="1" customWidth="1"/>
    <col min="7" max="7" width="8.53125" bestFit="1" customWidth="1"/>
    <col min="8" max="9" width="12" bestFit="1" customWidth="1"/>
    <col min="10" max="10" width="9" bestFit="1" customWidth="1"/>
    <col min="11" max="11" width="12" bestFit="1" customWidth="1"/>
  </cols>
  <sheetData>
    <row r="4" spans="3:15" ht="57.75" x14ac:dyDescent="0.55000000000000004">
      <c r="C4" s="3" t="s">
        <v>11</v>
      </c>
      <c r="D4" s="4" t="s">
        <v>12</v>
      </c>
      <c r="E4" s="4" t="s">
        <v>23</v>
      </c>
      <c r="F4" s="4" t="s">
        <v>13</v>
      </c>
      <c r="G4" s="6" t="s">
        <v>24</v>
      </c>
      <c r="H4" s="6" t="s">
        <v>25</v>
      </c>
      <c r="I4" s="6" t="s">
        <v>26</v>
      </c>
      <c r="J4" s="14" t="s">
        <v>27</v>
      </c>
      <c r="K4" s="15" t="s">
        <v>28</v>
      </c>
      <c r="L4" s="53"/>
      <c r="M4" s="14" t="s">
        <v>27</v>
      </c>
      <c r="O4" s="70" t="s">
        <v>221</v>
      </c>
    </row>
    <row r="5" spans="3:15" x14ac:dyDescent="0.45">
      <c r="C5" s="5" t="s">
        <v>29</v>
      </c>
      <c r="D5" s="5" t="s">
        <v>30</v>
      </c>
      <c r="E5" s="5">
        <v>0.208572954</v>
      </c>
      <c r="F5" s="5">
        <v>480.11</v>
      </c>
      <c r="G5" s="5">
        <v>305.16000000000003</v>
      </c>
      <c r="H5" s="5"/>
      <c r="I5" s="5"/>
      <c r="J5" s="41">
        <f>K5/Total!$K$6</f>
        <v>1.841158362329405</v>
      </c>
      <c r="K5" s="5">
        <v>5.8615615855853703E-2</v>
      </c>
      <c r="L5" s="70"/>
      <c r="M5" s="41">
        <f>(E5/$H$9)*1000</f>
        <v>0.64383114805694219</v>
      </c>
    </row>
    <row r="6" spans="3:15" x14ac:dyDescent="0.45">
      <c r="C6" s="5" t="s">
        <v>31</v>
      </c>
      <c r="D6" s="5" t="s">
        <v>32</v>
      </c>
      <c r="E6" s="5">
        <v>0.30812833499999998</v>
      </c>
      <c r="F6" s="5">
        <v>519.15</v>
      </c>
      <c r="G6" s="5">
        <v>344.2</v>
      </c>
      <c r="H6" s="5"/>
      <c r="I6" s="5"/>
      <c r="J6" s="41">
        <f>K6/Total!$K$6</f>
        <v>3.2731704219189588</v>
      </c>
      <c r="K6" s="5">
        <v>0.104205539299296</v>
      </c>
      <c r="L6" s="70"/>
      <c r="M6" s="41">
        <f t="shared" ref="M6:M9" si="0">(E6/$H$9)*1000</f>
        <v>0.9511425900019812</v>
      </c>
    </row>
    <row r="7" spans="3:15" x14ac:dyDescent="0.45">
      <c r="C7" s="5" t="s">
        <v>33</v>
      </c>
      <c r="D7" s="5" t="s">
        <v>34</v>
      </c>
      <c r="E7" s="5">
        <v>0.22450176899999999</v>
      </c>
      <c r="F7" s="5">
        <v>479.12</v>
      </c>
      <c r="G7" s="5">
        <v>304.17</v>
      </c>
      <c r="H7" s="5"/>
      <c r="I7" s="5"/>
      <c r="J7" s="41">
        <f>K7/Total!$K$6</f>
        <v>3.2731704219189588</v>
      </c>
      <c r="K7" s="5">
        <v>0.104205539299296</v>
      </c>
      <c r="L7" s="70"/>
      <c r="M7" s="41">
        <f t="shared" si="0"/>
        <v>0.69300083689702374</v>
      </c>
    </row>
    <row r="8" spans="3:15" x14ac:dyDescent="0.45">
      <c r="C8" s="5" t="s">
        <v>35</v>
      </c>
      <c r="D8" s="5" t="s">
        <v>36</v>
      </c>
      <c r="E8" s="5">
        <v>0.26192378599999999</v>
      </c>
      <c r="F8" s="5">
        <v>503.15</v>
      </c>
      <c r="G8" s="5">
        <v>328.2</v>
      </c>
      <c r="H8" s="5"/>
      <c r="I8" s="5"/>
      <c r="J8" s="41">
        <f>K8/Total!$K$6</f>
        <v>1.841158362329405</v>
      </c>
      <c r="K8" s="5">
        <f>K5</f>
        <v>5.8615615855853703E-2</v>
      </c>
      <c r="L8" s="70"/>
      <c r="M8" s="41">
        <f t="shared" si="0"/>
        <v>0.8085165818948935</v>
      </c>
    </row>
    <row r="9" spans="3:15" x14ac:dyDescent="0.45">
      <c r="C9" s="8" t="s">
        <v>17</v>
      </c>
      <c r="D9" s="4"/>
      <c r="E9" s="11">
        <v>1</v>
      </c>
      <c r="F9" s="11">
        <v>1981.53</v>
      </c>
      <c r="G9" s="11">
        <v>1281.73</v>
      </c>
      <c r="H9" s="11">
        <v>323.95598539999997</v>
      </c>
      <c r="I9" s="11">
        <v>1</v>
      </c>
      <c r="J9" s="42">
        <v>3.0992860000000002</v>
      </c>
      <c r="K9" s="16">
        <v>0.33162360200000002</v>
      </c>
      <c r="M9" s="41">
        <f t="shared" si="0"/>
        <v>3.0868390925553184</v>
      </c>
    </row>
    <row r="10" spans="3:15" x14ac:dyDescent="0.45">
      <c r="C10" s="9"/>
      <c r="D10" s="5"/>
      <c r="E10" s="9"/>
      <c r="F10" s="9"/>
      <c r="G10" s="9"/>
      <c r="H10" s="9"/>
      <c r="I10" s="9"/>
      <c r="J10" s="9"/>
      <c r="K10" s="9"/>
    </row>
    <row r="11" spans="3:15" x14ac:dyDescent="0.45">
      <c r="C11" s="5"/>
      <c r="D11" s="5"/>
      <c r="E11" s="5"/>
      <c r="F11" s="5"/>
      <c r="G11" s="5"/>
      <c r="H11" s="5"/>
      <c r="I11" s="5"/>
      <c r="J11" s="5"/>
      <c r="K11" s="5"/>
    </row>
    <row r="12" spans="3:15" x14ac:dyDescent="0.45">
      <c r="C12" s="5" t="s">
        <v>4</v>
      </c>
      <c r="D12" s="13"/>
      <c r="E12" s="13"/>
      <c r="F12" s="13"/>
      <c r="G12" s="13"/>
      <c r="H12" s="13"/>
      <c r="I12" s="13"/>
      <c r="J12" s="5">
        <v>1</v>
      </c>
      <c r="K12" s="5">
        <v>0.107</v>
      </c>
    </row>
    <row r="13" spans="3:15" x14ac:dyDescent="0.45">
      <c r="C13" s="5" t="s">
        <v>37</v>
      </c>
      <c r="D13" s="5" t="s">
        <v>38</v>
      </c>
      <c r="E13" s="13"/>
      <c r="F13" s="5">
        <v>174.95</v>
      </c>
      <c r="G13" s="13"/>
      <c r="H13" s="5">
        <v>177.98</v>
      </c>
      <c r="I13" s="5">
        <v>0.54939562200000003</v>
      </c>
      <c r="J13" s="5">
        <f>J9</f>
        <v>3.0992860000000002</v>
      </c>
      <c r="K13" s="5">
        <v>0.33162403000000001</v>
      </c>
    </row>
    <row r="14" spans="3:15" x14ac:dyDescent="0.45">
      <c r="C14" s="8" t="s">
        <v>17</v>
      </c>
      <c r="D14" s="4"/>
      <c r="E14" s="11"/>
      <c r="F14" s="11">
        <v>174.95</v>
      </c>
      <c r="G14" s="11"/>
      <c r="H14" s="11"/>
      <c r="I14" s="11"/>
      <c r="J14" s="11">
        <f>SUM(J12:J13)</f>
        <v>4.0992860000000002</v>
      </c>
      <c r="K14" s="16">
        <v>0.43862403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C14B-2632-499D-AF67-BE6A7C66612E}">
  <dimension ref="A3:N30"/>
  <sheetViews>
    <sheetView tabSelected="1" topLeftCell="B10" workbookViewId="0">
      <selection activeCell="B22" sqref="B22"/>
    </sheetView>
  </sheetViews>
  <sheetFormatPr defaultRowHeight="14.25" x14ac:dyDescent="0.45"/>
  <cols>
    <col min="1" max="1" width="14.86328125" customWidth="1"/>
    <col min="3" max="3" width="26.86328125" bestFit="1" customWidth="1"/>
    <col min="4" max="4" width="13.33203125" customWidth="1"/>
    <col min="5" max="5" width="15.6640625" customWidth="1"/>
    <col min="6" max="6" width="29.53125" bestFit="1" customWidth="1"/>
    <col min="7" max="7" width="14.46484375" bestFit="1" customWidth="1"/>
    <col min="8" max="8" width="12.53125" bestFit="1" customWidth="1"/>
    <col min="9" max="9" width="10.33203125" bestFit="1" customWidth="1"/>
    <col min="10" max="10" width="14.33203125" bestFit="1" customWidth="1"/>
    <col min="11" max="11" width="13.46484375" bestFit="1" customWidth="1"/>
    <col min="12" max="12" width="13.1328125" bestFit="1" customWidth="1"/>
    <col min="13" max="13" width="9.53125" bestFit="1" customWidth="1"/>
    <col min="14" max="14" width="21.86328125" bestFit="1" customWidth="1"/>
  </cols>
  <sheetData>
    <row r="3" spans="2:14" x14ac:dyDescent="0.45">
      <c r="C3" s="3" t="s">
        <v>11</v>
      </c>
      <c r="D3" s="4" t="s">
        <v>12</v>
      </c>
      <c r="E3" s="4" t="s">
        <v>13</v>
      </c>
      <c r="F3" s="27" t="s">
        <v>22</v>
      </c>
      <c r="G3" s="27" t="s">
        <v>2</v>
      </c>
      <c r="H3" s="28" t="s">
        <v>57</v>
      </c>
      <c r="I3" s="28" t="s">
        <v>58</v>
      </c>
      <c r="J3" s="29" t="s">
        <v>56</v>
      </c>
      <c r="K3" s="30" t="s">
        <v>59</v>
      </c>
      <c r="L3" s="39" t="s">
        <v>100</v>
      </c>
      <c r="M3" s="39" t="s">
        <v>96</v>
      </c>
      <c r="N3" s="39" t="s">
        <v>101</v>
      </c>
    </row>
    <row r="4" spans="2:14" x14ac:dyDescent="0.45">
      <c r="B4" s="73" t="s">
        <v>8</v>
      </c>
      <c r="C4" s="5" t="s">
        <v>92</v>
      </c>
      <c r="D4" s="7" t="s">
        <v>14</v>
      </c>
      <c r="E4" s="7">
        <v>605.34</v>
      </c>
      <c r="F4" s="5">
        <v>186.18</v>
      </c>
      <c r="G4" s="5">
        <v>1</v>
      </c>
      <c r="H4" s="2">
        <f>G4*F4</f>
        <v>186.18</v>
      </c>
      <c r="I4" s="2">
        <f>H4/$H$10</f>
        <v>0.24254820218863993</v>
      </c>
      <c r="J4" s="43">
        <f t="shared" ref="J4:J9" si="0">K4/$N$10</f>
        <v>0.20526673385731087</v>
      </c>
      <c r="K4" s="2">
        <f t="shared" ref="K4:K9" si="1">N4/F4*1000</f>
        <v>5.6208154334624644E-2</v>
      </c>
      <c r="L4">
        <v>0.72</v>
      </c>
      <c r="M4">
        <f>L4/100</f>
        <v>7.1999999999999998E-3</v>
      </c>
      <c r="N4">
        <f>M4*Total!$K$8/Carbohydrates!$M$10</f>
        <v>1.0464834174020417E-2</v>
      </c>
    </row>
    <row r="5" spans="2:14" x14ac:dyDescent="0.45">
      <c r="B5" s="73"/>
      <c r="C5" s="5" t="s">
        <v>93</v>
      </c>
      <c r="D5" s="7" t="s">
        <v>16</v>
      </c>
      <c r="E5" s="7">
        <v>564.29</v>
      </c>
      <c r="F5" s="5">
        <v>436.29</v>
      </c>
      <c r="G5" s="5">
        <v>1</v>
      </c>
      <c r="H5" s="2">
        <f t="shared" ref="H5:H6" si="2">G5*F5</f>
        <v>436.29</v>
      </c>
      <c r="I5" s="2">
        <f>H5/$H$10</f>
        <v>0.56838196977592492</v>
      </c>
      <c r="J5" s="43">
        <f t="shared" si="0"/>
        <v>6.934556618318935E-2</v>
      </c>
      <c r="K5" s="2">
        <f t="shared" si="1"/>
        <v>1.8988884429544935E-2</v>
      </c>
      <c r="L5">
        <v>0.56999999999999995</v>
      </c>
      <c r="M5">
        <f t="shared" ref="M5:M9" si="3">L5/100</f>
        <v>5.6999999999999993E-3</v>
      </c>
      <c r="N5">
        <f>M5*Total!$K$8/Carbohydrates!$M$10</f>
        <v>8.2846603877661604E-3</v>
      </c>
    </row>
    <row r="6" spans="2:14" x14ac:dyDescent="0.45">
      <c r="B6" s="73"/>
      <c r="C6" s="5" t="s">
        <v>103</v>
      </c>
      <c r="D6" s="7" t="s">
        <v>16</v>
      </c>
      <c r="E6" s="7">
        <v>564.29</v>
      </c>
      <c r="F6" s="5">
        <v>145.13</v>
      </c>
      <c r="G6" s="5">
        <v>1</v>
      </c>
      <c r="H6" s="2">
        <f t="shared" si="2"/>
        <v>145.13</v>
      </c>
      <c r="I6" s="2">
        <f>H6/$H$10</f>
        <v>0.18906982803543512</v>
      </c>
      <c r="J6" s="43">
        <f t="shared" si="0"/>
        <v>1.594587647680394</v>
      </c>
      <c r="K6" s="2">
        <f t="shared" si="1"/>
        <v>0.43664566058331811</v>
      </c>
      <c r="L6">
        <v>4.3600000000000003</v>
      </c>
      <c r="M6">
        <f t="shared" si="3"/>
        <v>4.36E-2</v>
      </c>
      <c r="N6">
        <f>M6*Total!$K$8/Carbohydrates!$M$10</f>
        <v>6.337038472045696E-2</v>
      </c>
    </row>
    <row r="7" spans="2:14" x14ac:dyDescent="0.45">
      <c r="B7" s="73"/>
      <c r="C7" s="5" t="s">
        <v>94</v>
      </c>
      <c r="D7" s="7"/>
      <c r="E7" s="7">
        <v>605.34109999999998</v>
      </c>
      <c r="F7" s="5">
        <f>E7-E14-E16</f>
        <v>144.12109999999998</v>
      </c>
      <c r="G7" s="5">
        <v>1</v>
      </c>
      <c r="H7" s="2"/>
      <c r="I7" s="2"/>
      <c r="J7" s="43">
        <f t="shared" si="0"/>
        <v>0.25043812640219482</v>
      </c>
      <c r="K7" s="2">
        <f t="shared" si="1"/>
        <v>6.8577428965543211E-2</v>
      </c>
      <c r="L7">
        <v>0.68</v>
      </c>
      <c r="M7">
        <f t="shared" si="3"/>
        <v>6.8000000000000005E-3</v>
      </c>
      <c r="N7">
        <f>M7*Total!$K$8/Carbohydrates!$M$10</f>
        <v>9.8834544976859496E-3</v>
      </c>
    </row>
    <row r="8" spans="2:14" x14ac:dyDescent="0.45">
      <c r="B8" s="73"/>
      <c r="C8" s="5" t="s">
        <v>15</v>
      </c>
      <c r="D8" s="7"/>
      <c r="E8" s="7">
        <v>566.30179999999996</v>
      </c>
      <c r="F8" s="5">
        <f>E8-E15-E16</f>
        <v>147.14179999999996</v>
      </c>
      <c r="G8" s="5">
        <v>1</v>
      </c>
      <c r="H8" s="2"/>
      <c r="I8" s="2"/>
      <c r="J8" s="43">
        <f t="shared" si="0"/>
        <v>3.5748406813631628</v>
      </c>
      <c r="K8" s="2">
        <f t="shared" si="1"/>
        <v>0.97889800730903376</v>
      </c>
      <c r="L8">
        <f>12.51-L9</f>
        <v>9.91</v>
      </c>
      <c r="M8">
        <f t="shared" si="3"/>
        <v>9.9100000000000008E-2</v>
      </c>
      <c r="N8">
        <f>M8*Total!$K$8/Carbohydrates!$M$10</f>
        <v>0.14403681481186434</v>
      </c>
    </row>
    <row r="9" spans="2:14" x14ac:dyDescent="0.45">
      <c r="B9" s="73"/>
      <c r="C9" s="5" t="s">
        <v>95</v>
      </c>
      <c r="D9" s="7" t="s">
        <v>97</v>
      </c>
      <c r="E9" s="7">
        <v>48660.2</v>
      </c>
      <c r="F9" s="5">
        <f>E9</f>
        <v>48660.2</v>
      </c>
      <c r="G9" s="5">
        <v>1</v>
      </c>
      <c r="H9" s="2"/>
      <c r="I9" s="2"/>
      <c r="J9" s="43">
        <f t="shared" si="0"/>
        <v>2.8360805398354523E-3</v>
      </c>
      <c r="K9" s="2">
        <f t="shared" si="1"/>
        <v>7.7660344515107622E-4</v>
      </c>
      <c r="L9">
        <v>2.6</v>
      </c>
      <c r="M9">
        <f t="shared" si="3"/>
        <v>2.6000000000000002E-2</v>
      </c>
      <c r="N9">
        <f>M9*Total!$K$8/Carbohydrates!$M$10</f>
        <v>3.7789678961740396E-2</v>
      </c>
    </row>
    <row r="10" spans="2:14" x14ac:dyDescent="0.45">
      <c r="B10" s="73"/>
      <c r="C10" s="8" t="s">
        <v>17</v>
      </c>
      <c r="D10" s="10"/>
      <c r="E10" s="2">
        <f t="shared" ref="E10:N10" si="4">SUM(E4:E9)</f>
        <v>51565.762899999994</v>
      </c>
      <c r="F10" s="2">
        <f t="shared" si="4"/>
        <v>49719.062899999997</v>
      </c>
      <c r="G10" s="2">
        <f t="shared" si="4"/>
        <v>6</v>
      </c>
      <c r="H10" s="2">
        <f t="shared" si="4"/>
        <v>767.6</v>
      </c>
      <c r="I10" s="2">
        <f t="shared" si="4"/>
        <v>1</v>
      </c>
      <c r="J10" s="2">
        <f t="shared" si="4"/>
        <v>5.697314836026087</v>
      </c>
      <c r="K10" s="2">
        <f t="shared" si="4"/>
        <v>1.5600947390672157</v>
      </c>
      <c r="L10" s="2">
        <f t="shared" si="4"/>
        <v>18.840000000000003</v>
      </c>
      <c r="M10" s="2">
        <f t="shared" si="4"/>
        <v>0.18839999999999998</v>
      </c>
      <c r="N10" s="2">
        <f t="shared" si="4"/>
        <v>0.27382982755353424</v>
      </c>
    </row>
    <row r="11" spans="2:14" x14ac:dyDescent="0.45">
      <c r="C11" s="5"/>
      <c r="D11" s="7"/>
      <c r="E11" s="7"/>
      <c r="F11" s="5"/>
      <c r="G11" s="5"/>
    </row>
    <row r="12" spans="2:14" x14ac:dyDescent="0.45">
      <c r="C12" s="5"/>
      <c r="D12" s="7"/>
      <c r="E12" s="7"/>
      <c r="F12" s="5"/>
      <c r="G12" s="5"/>
    </row>
    <row r="13" spans="2:14" x14ac:dyDescent="0.45">
      <c r="B13" s="73" t="s">
        <v>9</v>
      </c>
      <c r="C13" s="5" t="s">
        <v>18</v>
      </c>
      <c r="D13" s="12"/>
      <c r="E13" s="12"/>
      <c r="F13" s="13"/>
      <c r="G13" s="13"/>
      <c r="H13" s="13"/>
      <c r="I13" s="13"/>
      <c r="J13" s="2">
        <v>1</v>
      </c>
    </row>
    <row r="14" spans="2:14" x14ac:dyDescent="0.45">
      <c r="B14" s="73"/>
      <c r="C14" s="5" t="s">
        <v>102</v>
      </c>
      <c r="D14" s="7" t="s">
        <v>19</v>
      </c>
      <c r="E14" s="7">
        <v>443.2</v>
      </c>
      <c r="F14" s="13"/>
      <c r="G14" s="13"/>
      <c r="H14" s="13"/>
      <c r="I14" s="13"/>
      <c r="J14" s="2">
        <f>J7</f>
        <v>0.25043812640219482</v>
      </c>
    </row>
    <row r="15" spans="2:14" x14ac:dyDescent="0.45">
      <c r="B15" s="73"/>
      <c r="C15" s="5" t="s">
        <v>10</v>
      </c>
      <c r="D15" s="7" t="s">
        <v>20</v>
      </c>
      <c r="E15" s="7">
        <v>401.14</v>
      </c>
      <c r="F15" s="13"/>
      <c r="G15" s="13"/>
      <c r="H15" s="13"/>
      <c r="I15" s="13"/>
      <c r="J15" s="2">
        <f>SUM(J4:J6,J8)</f>
        <v>5.4440406290840571</v>
      </c>
    </row>
    <row r="16" spans="2:14" x14ac:dyDescent="0.45">
      <c r="B16" s="73"/>
      <c r="C16" s="5" t="s">
        <v>21</v>
      </c>
      <c r="D16" s="7" t="s">
        <v>21</v>
      </c>
      <c r="E16" s="7">
        <v>18.02</v>
      </c>
      <c r="F16" s="13"/>
      <c r="G16" s="13"/>
      <c r="H16" s="13"/>
      <c r="I16" s="13"/>
      <c r="J16" s="2">
        <f>SUM(J4:J9)</f>
        <v>5.697314836026087</v>
      </c>
    </row>
    <row r="17" spans="1:10" x14ac:dyDescent="0.45">
      <c r="B17" s="73"/>
      <c r="C17" s="8" t="s">
        <v>17</v>
      </c>
      <c r="D17" s="11"/>
      <c r="E17" s="11"/>
      <c r="F17" s="13"/>
      <c r="G17" s="11"/>
      <c r="H17" s="2"/>
      <c r="I17" s="2"/>
      <c r="J17" s="2"/>
    </row>
    <row r="22" spans="1:10" x14ac:dyDescent="0.45">
      <c r="A22" t="s">
        <v>243</v>
      </c>
      <c r="B22" s="70">
        <f>0.146003758/0.274</f>
        <v>0.53286043065693434</v>
      </c>
      <c r="C22" s="70">
        <f>0.53286-0.00283</f>
        <v>0.53003</v>
      </c>
      <c r="D22">
        <f>5.6973+0.52003</f>
        <v>6.2173300000000005</v>
      </c>
      <c r="E22" t="s">
        <v>244</v>
      </c>
    </row>
    <row r="23" spans="1:10" x14ac:dyDescent="0.45">
      <c r="B23">
        <f>0.103297455/0.274</f>
        <v>0.37699801094890506</v>
      </c>
      <c r="C23">
        <f>0.376998-0.00283</f>
        <v>0.374168</v>
      </c>
      <c r="D23">
        <f>5.6973+0.374168</f>
        <v>6.0714680000000003</v>
      </c>
      <c r="E23" t="s">
        <v>245</v>
      </c>
    </row>
    <row r="26" spans="1:10" x14ac:dyDescent="0.45">
      <c r="E26" s="7" t="s">
        <v>210</v>
      </c>
      <c r="F26" s="7">
        <v>1.008363478733E-4</v>
      </c>
      <c r="G26">
        <f>F26/Total!$K$8</f>
        <v>3.6824457282173297E-4</v>
      </c>
    </row>
    <row r="27" spans="1:10" x14ac:dyDescent="0.45">
      <c r="E27" s="7" t="s">
        <v>211</v>
      </c>
      <c r="F27" s="7">
        <v>0.16083127799999999</v>
      </c>
      <c r="G27">
        <f>F27/Total!$K$8</f>
        <v>0.58734024498685122</v>
      </c>
    </row>
    <row r="28" spans="1:10" x14ac:dyDescent="0.45">
      <c r="E28" s="7" t="s">
        <v>212</v>
      </c>
      <c r="F28" s="7">
        <v>1.427343244</v>
      </c>
      <c r="G28">
        <f>F28/Total!$K$8</f>
        <v>5.2125192377771628</v>
      </c>
    </row>
    <row r="29" spans="1:10" x14ac:dyDescent="0.45">
      <c r="E29" s="7" t="s">
        <v>213</v>
      </c>
      <c r="F29" s="7">
        <v>0.109064596</v>
      </c>
      <c r="G29">
        <f>F29/Total!$K$8</f>
        <v>0.39829333777993081</v>
      </c>
    </row>
    <row r="30" spans="1:10" x14ac:dyDescent="0.45">
      <c r="E30" s="7" t="s">
        <v>214</v>
      </c>
      <c r="F30" s="7">
        <v>0.14600375800000001</v>
      </c>
      <c r="G30">
        <f>F30/Total!$K$8</f>
        <v>0.53319157852318344</v>
      </c>
    </row>
  </sheetData>
  <mergeCells count="2">
    <mergeCell ref="B4:B10"/>
    <mergeCell ref="B13:B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D339-7CAE-4D2D-ABC4-6EDF23614974}">
  <dimension ref="C6:K45"/>
  <sheetViews>
    <sheetView topLeftCell="B38" workbookViewId="0">
      <selection activeCell="E40" sqref="E40"/>
    </sheetView>
  </sheetViews>
  <sheetFormatPr defaultRowHeight="14.25" x14ac:dyDescent="0.45"/>
  <cols>
    <col min="3" max="3" width="21" bestFit="1" customWidth="1"/>
    <col min="4" max="4" width="15.6640625" bestFit="1" customWidth="1"/>
    <col min="5" max="5" width="12.6640625" bestFit="1" customWidth="1"/>
    <col min="6" max="6" width="10.6640625" bestFit="1" customWidth="1"/>
    <col min="7" max="7" width="50.1328125" bestFit="1" customWidth="1"/>
  </cols>
  <sheetData>
    <row r="6" spans="3:7" ht="21" customHeight="1" x14ac:dyDescent="0.55000000000000004">
      <c r="C6" s="3" t="s">
        <v>11</v>
      </c>
      <c r="D6" s="4" t="s">
        <v>12</v>
      </c>
      <c r="E6" s="18" t="s">
        <v>39</v>
      </c>
      <c r="F6" s="4" t="s">
        <v>13</v>
      </c>
      <c r="G6" s="19" t="s">
        <v>40</v>
      </c>
    </row>
    <row r="7" spans="3:7" x14ac:dyDescent="0.45">
      <c r="C7" s="5" t="s">
        <v>41</v>
      </c>
      <c r="D7" s="5" t="s">
        <v>42</v>
      </c>
      <c r="E7" s="17">
        <v>7.0000000000000007E-2</v>
      </c>
      <c r="F7" s="7">
        <v>283.47000000000003</v>
      </c>
      <c r="G7" s="5">
        <f>F7*E7</f>
        <v>19.842900000000004</v>
      </c>
    </row>
    <row r="8" spans="3:7" x14ac:dyDescent="0.45">
      <c r="C8" s="5" t="s">
        <v>43</v>
      </c>
      <c r="D8" s="5" t="s">
        <v>44</v>
      </c>
      <c r="E8" s="17">
        <v>0.03</v>
      </c>
      <c r="F8" s="7">
        <v>213.34</v>
      </c>
      <c r="G8" s="5">
        <f t="shared" ref="G8:G13" si="0">F8*E8</f>
        <v>6.4001999999999999</v>
      </c>
    </row>
    <row r="9" spans="3:7" x14ac:dyDescent="0.45">
      <c r="C9" s="5" t="s">
        <v>45</v>
      </c>
      <c r="D9" s="5" t="s">
        <v>46</v>
      </c>
      <c r="E9" s="17">
        <v>0.36</v>
      </c>
      <c r="F9" s="7">
        <v>281.45</v>
      </c>
      <c r="G9" s="5">
        <f t="shared" si="0"/>
        <v>101.32199999999999</v>
      </c>
    </row>
    <row r="10" spans="3:7" x14ac:dyDescent="0.45">
      <c r="C10" s="5" t="s">
        <v>47</v>
      </c>
      <c r="D10" s="5" t="s">
        <v>48</v>
      </c>
      <c r="E10" s="17">
        <v>0.23</v>
      </c>
      <c r="F10" s="7">
        <v>255.41</v>
      </c>
      <c r="G10" s="5">
        <f t="shared" si="0"/>
        <v>58.744300000000003</v>
      </c>
    </row>
    <row r="11" spans="3:7" x14ac:dyDescent="0.45">
      <c r="C11" s="5" t="s">
        <v>49</v>
      </c>
      <c r="D11" s="5" t="s">
        <v>50</v>
      </c>
      <c r="E11" s="17">
        <v>0.09</v>
      </c>
      <c r="F11" s="7">
        <v>227.36</v>
      </c>
      <c r="G11" s="5">
        <f t="shared" si="0"/>
        <v>20.462399999999999</v>
      </c>
    </row>
    <row r="12" spans="3:7" x14ac:dyDescent="0.45">
      <c r="C12" s="5" t="s">
        <v>51</v>
      </c>
      <c r="D12" s="5" t="s">
        <v>52</v>
      </c>
      <c r="E12" s="17">
        <v>0.05</v>
      </c>
      <c r="F12" s="7">
        <v>253.4</v>
      </c>
      <c r="G12" s="5">
        <f t="shared" si="0"/>
        <v>12.670000000000002</v>
      </c>
    </row>
    <row r="13" spans="3:7" x14ac:dyDescent="0.45">
      <c r="C13" s="5" t="s">
        <v>53</v>
      </c>
      <c r="D13" s="5" t="s">
        <v>46</v>
      </c>
      <c r="E13" s="17">
        <v>0.17</v>
      </c>
      <c r="F13" s="7">
        <v>281.45</v>
      </c>
      <c r="G13" s="5">
        <f t="shared" si="0"/>
        <v>47.846499999999999</v>
      </c>
    </row>
    <row r="14" spans="3:7" x14ac:dyDescent="0.45">
      <c r="C14" s="25" t="s">
        <v>17</v>
      </c>
      <c r="D14" s="2"/>
      <c r="E14" s="2">
        <f>SUM(E7:E13)</f>
        <v>1</v>
      </c>
      <c r="F14" s="2"/>
      <c r="G14" s="2"/>
    </row>
    <row r="15" spans="3:7" ht="14.65" thickBot="1" x14ac:dyDescent="0.5"/>
    <row r="16" spans="3:7" ht="31.9" thickBot="1" x14ac:dyDescent="0.6">
      <c r="C16" s="20" t="s">
        <v>54</v>
      </c>
      <c r="D16" s="21"/>
      <c r="E16" s="21"/>
      <c r="F16" s="21"/>
      <c r="G16" s="22">
        <v>277.72355470000002</v>
      </c>
    </row>
    <row r="17" spans="3:11" ht="43.15" thickBot="1" x14ac:dyDescent="0.5">
      <c r="C17" s="23" t="s">
        <v>55</v>
      </c>
      <c r="D17" s="21"/>
      <c r="E17" s="21"/>
      <c r="F17" s="21"/>
      <c r="G17" s="24">
        <v>232.70355470000001</v>
      </c>
    </row>
    <row r="20" spans="3:11" x14ac:dyDescent="0.45">
      <c r="C20" s="74" t="s">
        <v>84</v>
      </c>
      <c r="D20" s="75"/>
      <c r="E20" s="75"/>
      <c r="F20" s="75"/>
      <c r="G20" s="76"/>
      <c r="K20" t="s">
        <v>88</v>
      </c>
    </row>
    <row r="21" spans="3:11" ht="15.75" x14ac:dyDescent="0.55000000000000004">
      <c r="C21" s="3" t="s">
        <v>11</v>
      </c>
      <c r="D21" s="4" t="s">
        <v>12</v>
      </c>
      <c r="E21" s="18" t="s">
        <v>39</v>
      </c>
      <c r="F21" s="4" t="s">
        <v>13</v>
      </c>
      <c r="G21" s="19" t="s">
        <v>40</v>
      </c>
    </row>
    <row r="22" spans="3:11" x14ac:dyDescent="0.45">
      <c r="C22" s="34" t="s">
        <v>64</v>
      </c>
      <c r="D22" s="5"/>
      <c r="E22" s="17">
        <f>1/100</f>
        <v>0.01</v>
      </c>
      <c r="F22" s="7">
        <v>227.37</v>
      </c>
      <c r="G22" s="5">
        <f>F22*E22</f>
        <v>2.2737000000000003</v>
      </c>
    </row>
    <row r="23" spans="3:11" x14ac:dyDescent="0.45">
      <c r="C23" s="34" t="s">
        <v>65</v>
      </c>
      <c r="D23" s="5"/>
      <c r="E23" s="17">
        <f>0.4/100</f>
        <v>4.0000000000000001E-3</v>
      </c>
      <c r="F23" s="7">
        <v>241.4</v>
      </c>
      <c r="G23" s="5">
        <f t="shared" ref="G23:G41" si="1">F23*E23</f>
        <v>0.96560000000000001</v>
      </c>
    </row>
    <row r="24" spans="3:11" x14ac:dyDescent="0.45">
      <c r="C24" s="34" t="s">
        <v>66</v>
      </c>
      <c r="D24" s="5"/>
      <c r="E24" s="17">
        <f>16.4/100</f>
        <v>0.16399999999999998</v>
      </c>
      <c r="F24" s="7">
        <v>255.41</v>
      </c>
      <c r="G24" s="5">
        <f t="shared" si="1"/>
        <v>41.887239999999991</v>
      </c>
    </row>
    <row r="25" spans="3:11" x14ac:dyDescent="0.45">
      <c r="C25" s="34" t="s">
        <v>67</v>
      </c>
      <c r="D25" s="5"/>
      <c r="E25" s="17">
        <f>1.5/100</f>
        <v>1.4999999999999999E-2</v>
      </c>
      <c r="F25" s="7">
        <v>253.41</v>
      </c>
      <c r="G25" s="5">
        <f t="shared" si="1"/>
        <v>3.8011499999999998</v>
      </c>
    </row>
    <row r="26" spans="3:11" x14ac:dyDescent="0.45">
      <c r="C26" s="34" t="s">
        <v>68</v>
      </c>
      <c r="D26" s="5"/>
      <c r="E26" s="17">
        <f>1.2/100</f>
        <v>1.2E-2</v>
      </c>
      <c r="F26" s="7">
        <v>269.45</v>
      </c>
      <c r="G26" s="5">
        <f t="shared" si="1"/>
        <v>3.2334000000000001</v>
      </c>
    </row>
    <row r="27" spans="3:11" x14ac:dyDescent="0.45">
      <c r="C27" s="34" t="s">
        <v>71</v>
      </c>
      <c r="D27" s="5"/>
      <c r="E27" s="17">
        <f>4.2/100</f>
        <v>4.2000000000000003E-2</v>
      </c>
      <c r="F27" s="7">
        <v>281.47000000000003</v>
      </c>
      <c r="G27" s="5">
        <f t="shared" si="1"/>
        <v>11.821740000000002</v>
      </c>
    </row>
    <row r="28" spans="3:11" x14ac:dyDescent="0.45">
      <c r="C28" s="34" t="s">
        <v>72</v>
      </c>
      <c r="D28" s="5"/>
      <c r="E28" s="17">
        <f>0.3/100</f>
        <v>3.0000000000000001E-3</v>
      </c>
      <c r="F28" s="7">
        <v>281.5</v>
      </c>
      <c r="G28" s="5">
        <f t="shared" si="1"/>
        <v>0.84450000000000003</v>
      </c>
    </row>
    <row r="29" spans="3:11" x14ac:dyDescent="0.45">
      <c r="C29" s="34" t="s">
        <v>69</v>
      </c>
      <c r="D29" s="5"/>
      <c r="E29" s="17">
        <f>20.4/100</f>
        <v>0.20399999999999999</v>
      </c>
      <c r="F29" s="7">
        <v>251.4</v>
      </c>
      <c r="G29" s="5">
        <f t="shared" si="1"/>
        <v>51.285599999999995</v>
      </c>
    </row>
    <row r="30" spans="3:11" x14ac:dyDescent="0.45">
      <c r="C30" s="34" t="s">
        <v>73</v>
      </c>
      <c r="D30" s="5"/>
      <c r="E30" s="17">
        <f>2/100</f>
        <v>0.02</v>
      </c>
      <c r="F30" s="7">
        <v>281.45999999999998</v>
      </c>
      <c r="G30" s="5">
        <f t="shared" si="1"/>
        <v>5.6292</v>
      </c>
    </row>
    <row r="31" spans="3:11" x14ac:dyDescent="0.45">
      <c r="C31" s="34" t="s">
        <v>74</v>
      </c>
      <c r="D31" s="5"/>
      <c r="E31" s="17">
        <f>35.1/100</f>
        <v>0.35100000000000003</v>
      </c>
      <c r="F31" s="7">
        <v>279.45</v>
      </c>
      <c r="G31" s="5">
        <f t="shared" si="1"/>
        <v>98.086950000000002</v>
      </c>
    </row>
    <row r="32" spans="3:11" x14ac:dyDescent="0.45">
      <c r="C32" s="34" t="s">
        <v>70</v>
      </c>
      <c r="D32" s="5"/>
      <c r="E32" s="17">
        <f>2.8/100</f>
        <v>2.7999999999999997E-2</v>
      </c>
      <c r="F32" s="7">
        <v>283.48</v>
      </c>
      <c r="G32" s="5">
        <f t="shared" si="1"/>
        <v>7.9374399999999996</v>
      </c>
    </row>
    <row r="33" spans="3:7" x14ac:dyDescent="0.45">
      <c r="C33" s="34" t="s">
        <v>75</v>
      </c>
      <c r="D33" s="5"/>
      <c r="E33" s="17">
        <f>0.2/100</f>
        <v>2E-3</v>
      </c>
      <c r="F33" s="7">
        <v>297.5</v>
      </c>
      <c r="G33" s="5">
        <f t="shared" si="1"/>
        <v>0.59499999999999997</v>
      </c>
    </row>
    <row r="34" spans="3:7" x14ac:dyDescent="0.45">
      <c r="C34" s="34" t="s">
        <v>76</v>
      </c>
      <c r="D34" s="5"/>
      <c r="E34" s="17">
        <f>5.2/100</f>
        <v>5.2000000000000005E-2</v>
      </c>
      <c r="F34" s="7">
        <v>277.43</v>
      </c>
      <c r="G34" s="5">
        <f t="shared" si="1"/>
        <v>14.426360000000001</v>
      </c>
    </row>
    <row r="35" spans="3:7" x14ac:dyDescent="0.45">
      <c r="C35" s="34" t="s">
        <v>77</v>
      </c>
      <c r="D35" s="5"/>
      <c r="E35" s="17">
        <f>5.7/100</f>
        <v>5.7000000000000002E-2</v>
      </c>
      <c r="F35" s="7">
        <v>311.52999999999997</v>
      </c>
      <c r="G35" s="5">
        <f t="shared" si="1"/>
        <v>17.757210000000001</v>
      </c>
    </row>
    <row r="36" spans="3:7" x14ac:dyDescent="0.45">
      <c r="C36" s="34" t="s">
        <v>78</v>
      </c>
      <c r="D36" s="5"/>
      <c r="E36" s="17">
        <f>0.4/100</f>
        <v>4.0000000000000001E-3</v>
      </c>
      <c r="F36" s="7">
        <v>310.5</v>
      </c>
      <c r="G36" s="5">
        <f t="shared" si="1"/>
        <v>1.242</v>
      </c>
    </row>
    <row r="37" spans="3:7" x14ac:dyDescent="0.45">
      <c r="C37" s="34" t="s">
        <v>79</v>
      </c>
      <c r="D37" s="5"/>
      <c r="E37" s="17">
        <f>1.3/100</f>
        <v>1.3000000000000001E-2</v>
      </c>
      <c r="F37" s="7">
        <v>308.5</v>
      </c>
      <c r="G37" s="5">
        <f t="shared" si="1"/>
        <v>4.0105000000000004</v>
      </c>
    </row>
    <row r="38" spans="3:7" x14ac:dyDescent="0.45">
      <c r="C38" s="34" t="s">
        <v>80</v>
      </c>
      <c r="D38" s="5"/>
      <c r="E38" s="17">
        <f>0.4/100</f>
        <v>4.0000000000000001E-3</v>
      </c>
      <c r="F38" s="7">
        <v>306.48</v>
      </c>
      <c r="G38" s="5">
        <f t="shared" si="1"/>
        <v>1.2259200000000001</v>
      </c>
    </row>
    <row r="39" spans="3:7" x14ac:dyDescent="0.45">
      <c r="C39" s="34" t="s">
        <v>81</v>
      </c>
      <c r="D39" s="5"/>
      <c r="E39" s="17">
        <f>0.2/100</f>
        <v>2E-3</v>
      </c>
      <c r="F39" s="7">
        <v>325.56</v>
      </c>
      <c r="G39" s="5">
        <f t="shared" si="1"/>
        <v>0.65112000000000003</v>
      </c>
    </row>
    <row r="40" spans="3:7" x14ac:dyDescent="0.45">
      <c r="C40" s="38" t="s">
        <v>82</v>
      </c>
      <c r="D40" s="5"/>
      <c r="E40" s="17">
        <f>0.6/100</f>
        <v>6.0000000000000001E-3</v>
      </c>
      <c r="F40" s="7">
        <v>303.47000000000003</v>
      </c>
      <c r="G40" s="5">
        <f t="shared" si="1"/>
        <v>1.8208200000000001</v>
      </c>
    </row>
    <row r="41" spans="3:7" x14ac:dyDescent="0.45">
      <c r="C41" s="34" t="s">
        <v>83</v>
      </c>
      <c r="D41" s="5"/>
      <c r="E41" s="17">
        <f>0.9/100</f>
        <v>9.0000000000000011E-3</v>
      </c>
      <c r="F41" s="7">
        <v>339.58</v>
      </c>
      <c r="G41" s="5">
        <f t="shared" si="1"/>
        <v>3.0562200000000002</v>
      </c>
    </row>
    <row r="42" spans="3:7" x14ac:dyDescent="0.45">
      <c r="C42" s="25" t="s">
        <v>17</v>
      </c>
      <c r="D42" s="2"/>
      <c r="E42" s="2">
        <f>SUM(E22:E41)</f>
        <v>1.002</v>
      </c>
      <c r="F42" s="2"/>
      <c r="G42" s="2"/>
    </row>
    <row r="43" spans="3:7" ht="14.65" thickBot="1" x14ac:dyDescent="0.5"/>
    <row r="44" spans="3:7" ht="31.9" thickBot="1" x14ac:dyDescent="0.6">
      <c r="C44" s="20" t="s">
        <v>54</v>
      </c>
      <c r="D44" s="21"/>
      <c r="E44" s="21"/>
      <c r="F44" s="21"/>
      <c r="G44" s="22">
        <v>277.72355470000002</v>
      </c>
    </row>
    <row r="45" spans="3:7" ht="43.15" thickBot="1" x14ac:dyDescent="0.5">
      <c r="C45" s="23" t="s">
        <v>55</v>
      </c>
      <c r="D45" s="21"/>
      <c r="E45" s="21"/>
      <c r="F45" s="21"/>
      <c r="G45" s="24">
        <v>232.70355470000001</v>
      </c>
    </row>
  </sheetData>
  <mergeCells count="1">
    <mergeCell ref="C20:G20"/>
  </mergeCells>
  <pageMargins left="0.7" right="0.7" top="0.75" bottom="0.75" header="0.3" footer="0.3"/>
  <ignoredErrors>
    <ignoredError sqref="E3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EA76-E874-424E-9F56-2DBA20049E18}">
  <dimension ref="C3:N114"/>
  <sheetViews>
    <sheetView topLeftCell="B15" workbookViewId="0">
      <selection activeCell="E29" sqref="E29"/>
    </sheetView>
  </sheetViews>
  <sheetFormatPr defaultRowHeight="14.25" x14ac:dyDescent="0.45"/>
  <cols>
    <col min="3" max="3" width="31.33203125" bestFit="1" customWidth="1"/>
    <col min="4" max="4" width="20.06640625" customWidth="1"/>
    <col min="5" max="5" width="13.86328125" customWidth="1"/>
    <col min="6" max="6" width="15.33203125" customWidth="1"/>
    <col min="7" max="7" width="15" customWidth="1"/>
    <col min="8" max="8" width="19.9296875" customWidth="1"/>
    <col min="9" max="11" width="12" bestFit="1" customWidth="1"/>
    <col min="12" max="13" width="18.1328125" customWidth="1"/>
  </cols>
  <sheetData>
    <row r="3" spans="3:14" x14ac:dyDescent="0.45">
      <c r="C3" s="53"/>
      <c r="D3" s="53"/>
      <c r="E3" s="53"/>
      <c r="F3" s="53"/>
      <c r="G3" s="53"/>
      <c r="H3" s="53"/>
      <c r="I3" s="53"/>
      <c r="J3" s="53"/>
      <c r="K3" s="54"/>
    </row>
    <row r="4" spans="3:14" ht="45" x14ac:dyDescent="0.55000000000000004">
      <c r="C4" s="61" t="s">
        <v>11</v>
      </c>
      <c r="D4" s="6" t="s">
        <v>12</v>
      </c>
      <c r="E4" s="6" t="s">
        <v>124</v>
      </c>
      <c r="F4" s="6" t="s">
        <v>125</v>
      </c>
      <c r="G4" s="6" t="s">
        <v>126</v>
      </c>
      <c r="H4" s="6" t="s">
        <v>127</v>
      </c>
      <c r="I4" s="6" t="s">
        <v>128</v>
      </c>
      <c r="J4" s="6" t="s">
        <v>129</v>
      </c>
      <c r="K4" s="14" t="s">
        <v>130</v>
      </c>
      <c r="L4" s="5"/>
      <c r="N4" t="s">
        <v>90</v>
      </c>
    </row>
    <row r="5" spans="3:14" x14ac:dyDescent="0.45">
      <c r="C5" s="5" t="s">
        <v>131</v>
      </c>
      <c r="D5" s="5" t="s">
        <v>132</v>
      </c>
      <c r="E5" s="5">
        <v>1</v>
      </c>
      <c r="F5" s="5">
        <v>4.2999999999999997E-2</v>
      </c>
      <c r="G5" s="7">
        <v>273.14999999999998</v>
      </c>
      <c r="H5" s="5">
        <v>505.85355470000002</v>
      </c>
      <c r="I5" s="5">
        <v>21.751702850000001</v>
      </c>
      <c r="J5" s="5">
        <v>4.8522495999999998E-2</v>
      </c>
      <c r="K5" s="62">
        <v>9.5921999999999994E-5</v>
      </c>
      <c r="L5" s="5"/>
    </row>
    <row r="6" spans="3:14" x14ac:dyDescent="0.45">
      <c r="C6" s="5" t="s">
        <v>133</v>
      </c>
      <c r="D6" s="5" t="s">
        <v>134</v>
      </c>
      <c r="E6" s="5">
        <v>2</v>
      </c>
      <c r="F6" s="5">
        <v>0.04</v>
      </c>
      <c r="G6" s="7">
        <v>308.24</v>
      </c>
      <c r="H6" s="5">
        <v>308.24</v>
      </c>
      <c r="I6" s="5">
        <v>12.329599999999999</v>
      </c>
      <c r="J6" s="5">
        <v>2.7504190000000001E-2</v>
      </c>
      <c r="K6" s="62">
        <v>8.9229799999999997E-5</v>
      </c>
      <c r="L6" s="5"/>
      <c r="N6" s="36"/>
    </row>
    <row r="7" spans="3:14" x14ac:dyDescent="0.45">
      <c r="C7" s="5" t="s">
        <v>135</v>
      </c>
      <c r="D7" s="5" t="s">
        <v>136</v>
      </c>
      <c r="E7" s="5">
        <v>4</v>
      </c>
      <c r="F7" s="5">
        <v>0.42499999999999999</v>
      </c>
      <c r="G7" s="7">
        <v>506.2</v>
      </c>
      <c r="H7" s="5">
        <v>506.2</v>
      </c>
      <c r="I7" s="5">
        <v>215.13499999999999</v>
      </c>
      <c r="J7" s="5">
        <v>0.47991126000000001</v>
      </c>
      <c r="K7" s="17">
        <v>9.4806600000000001E-4</v>
      </c>
      <c r="L7" s="5"/>
      <c r="N7" t="s">
        <v>91</v>
      </c>
    </row>
    <row r="8" spans="3:14" x14ac:dyDescent="0.45">
      <c r="C8" s="5" t="s">
        <v>137</v>
      </c>
      <c r="D8" s="5" t="s">
        <v>138</v>
      </c>
      <c r="E8" s="5">
        <v>2</v>
      </c>
      <c r="F8" s="5">
        <v>0.30299999999999999</v>
      </c>
      <c r="G8" s="7">
        <v>470.38</v>
      </c>
      <c r="H8" s="5">
        <v>470.38</v>
      </c>
      <c r="I8" s="5">
        <v>142.52513999999999</v>
      </c>
      <c r="J8" s="5">
        <v>0.31793719999999998</v>
      </c>
      <c r="K8" s="17">
        <v>6.7591600000000004E-4</v>
      </c>
      <c r="L8" s="5"/>
    </row>
    <row r="9" spans="3:14" x14ac:dyDescent="0.45">
      <c r="C9" s="5" t="s">
        <v>139</v>
      </c>
      <c r="D9" s="5" t="s">
        <v>140</v>
      </c>
      <c r="E9" s="5">
        <v>2</v>
      </c>
      <c r="F9" s="5">
        <v>0.189</v>
      </c>
      <c r="G9" s="7">
        <v>299.14999999999998</v>
      </c>
      <c r="H9" s="5">
        <v>299.14999999999998</v>
      </c>
      <c r="I9" s="5">
        <v>56.539349999999999</v>
      </c>
      <c r="J9" s="5">
        <v>0.12612485500000001</v>
      </c>
      <c r="K9" s="17">
        <v>4.2161100000000001E-4</v>
      </c>
      <c r="L9" s="5"/>
      <c r="N9" t="s">
        <v>117</v>
      </c>
    </row>
    <row r="10" spans="3:14" x14ac:dyDescent="0.45">
      <c r="C10" s="8" t="s">
        <v>17</v>
      </c>
      <c r="D10" s="11"/>
      <c r="E10" s="11"/>
      <c r="F10" s="11"/>
      <c r="G10" s="11"/>
      <c r="H10" s="4"/>
      <c r="I10" s="11">
        <v>448.28079289999999</v>
      </c>
      <c r="J10" s="11">
        <v>1</v>
      </c>
      <c r="K10" s="11">
        <v>2.2307450000000001E-3</v>
      </c>
      <c r="L10" s="5"/>
    </row>
    <row r="11" spans="3:14" ht="14.65" x14ac:dyDescent="0.5">
      <c r="K11" s="57"/>
      <c r="N11" s="60" t="s">
        <v>118</v>
      </c>
    </row>
    <row r="12" spans="3:14" x14ac:dyDescent="0.45">
      <c r="K12" s="57"/>
    </row>
    <row r="13" spans="3:14" x14ac:dyDescent="0.45">
      <c r="K13" s="57"/>
    </row>
    <row r="14" spans="3:14" x14ac:dyDescent="0.45">
      <c r="C14" s="53"/>
      <c r="D14" s="53"/>
      <c r="E14" s="53" t="s">
        <v>208</v>
      </c>
      <c r="F14" s="53"/>
      <c r="G14" s="53"/>
      <c r="H14" s="53"/>
      <c r="I14" s="53"/>
      <c r="J14" s="53"/>
      <c r="K14" s="54"/>
      <c r="N14" t="s">
        <v>119</v>
      </c>
    </row>
    <row r="15" spans="3:14" x14ac:dyDescent="0.45">
      <c r="C15" s="5"/>
      <c r="D15" s="5"/>
      <c r="E15" s="5" t="s">
        <v>150</v>
      </c>
      <c r="F15" s="41" t="s">
        <v>151</v>
      </c>
      <c r="G15" s="7"/>
      <c r="H15" s="5"/>
      <c r="I15" s="5"/>
      <c r="J15" s="5"/>
      <c r="K15" s="55"/>
    </row>
    <row r="16" spans="3:14" x14ac:dyDescent="0.45">
      <c r="C16" s="5" t="s">
        <v>11</v>
      </c>
      <c r="D16" s="64" t="s">
        <v>149</v>
      </c>
      <c r="E16" s="64"/>
      <c r="F16" s="66"/>
      <c r="G16" s="64"/>
      <c r="H16" s="64"/>
      <c r="I16" s="64"/>
      <c r="J16" s="5"/>
      <c r="K16" s="55"/>
    </row>
    <row r="17" spans="3:13" ht="14.65" x14ac:dyDescent="0.5">
      <c r="C17" s="63" t="s">
        <v>141</v>
      </c>
      <c r="D17" s="64">
        <v>35</v>
      </c>
      <c r="E17" s="64">
        <v>0.106018</v>
      </c>
      <c r="F17" s="66">
        <f>E17/Total!$K$7</f>
        <v>0.59014450000000007</v>
      </c>
      <c r="G17" s="64"/>
      <c r="H17" s="64"/>
      <c r="I17" s="64"/>
      <c r="J17" s="5"/>
      <c r="K17" s="55"/>
    </row>
    <row r="18" spans="3:13" ht="14.65" x14ac:dyDescent="0.5">
      <c r="C18" s="63" t="s">
        <v>142</v>
      </c>
      <c r="D18" s="64">
        <v>8</v>
      </c>
      <c r="E18" s="64">
        <v>6.9150000000000003E-2</v>
      </c>
      <c r="F18" s="66">
        <f>E18/Total!$K$7</f>
        <v>0.38492041139240513</v>
      </c>
      <c r="G18" s="64"/>
      <c r="H18" s="64"/>
      <c r="I18" s="64"/>
      <c r="J18" s="5"/>
      <c r="K18" s="55"/>
    </row>
    <row r="19" spans="3:13" ht="14.65" x14ac:dyDescent="0.5">
      <c r="C19" s="63" t="s">
        <v>143</v>
      </c>
      <c r="D19" s="64">
        <v>4</v>
      </c>
      <c r="E19" s="64">
        <v>2.1777899990000002E-3</v>
      </c>
      <c r="F19" s="66">
        <f>E19/Total!$K$7</f>
        <v>1.2122571545066458E-2</v>
      </c>
      <c r="G19" s="64"/>
      <c r="H19" s="64"/>
      <c r="I19" s="64"/>
      <c r="J19" s="5"/>
      <c r="K19" s="55"/>
    </row>
    <row r="20" spans="3:13" ht="14.65" x14ac:dyDescent="0.5">
      <c r="C20" s="63" t="s">
        <v>144</v>
      </c>
      <c r="D20" s="64">
        <v>4</v>
      </c>
      <c r="E20" s="64">
        <v>5.45455399999E-2</v>
      </c>
      <c r="F20" s="66">
        <f>E20/Total!$K$7</f>
        <v>0.30362533183488644</v>
      </c>
      <c r="G20" s="65"/>
      <c r="H20" s="64"/>
      <c r="I20" s="65"/>
      <c r="J20" s="9"/>
      <c r="K20" s="56"/>
    </row>
    <row r="21" spans="3:13" ht="14.65" x14ac:dyDescent="0.5">
      <c r="C21" s="63" t="s">
        <v>145</v>
      </c>
      <c r="D21" s="64">
        <v>10</v>
      </c>
      <c r="E21" s="44">
        <v>2.8007799999999999E-2</v>
      </c>
      <c r="F21" s="66">
        <f>E21/Total!$K$7</f>
        <v>0.15590417784810129</v>
      </c>
      <c r="G21" s="44"/>
      <c r="H21" s="44"/>
      <c r="I21" s="44"/>
      <c r="K21" s="57"/>
    </row>
    <row r="22" spans="3:13" ht="14.65" x14ac:dyDescent="0.5">
      <c r="C22" s="63" t="s">
        <v>146</v>
      </c>
      <c r="D22" s="64">
        <v>15</v>
      </c>
      <c r="E22" s="44">
        <v>0.13128949500000001</v>
      </c>
      <c r="F22" s="66">
        <f>E22/Total!$K$7</f>
        <v>0.73081715729430397</v>
      </c>
      <c r="G22" s="44"/>
      <c r="H22" s="44"/>
      <c r="I22" s="44"/>
    </row>
    <row r="23" spans="3:13" ht="14.65" x14ac:dyDescent="0.5">
      <c r="C23" s="63" t="s">
        <v>147</v>
      </c>
      <c r="D23" s="64">
        <v>16</v>
      </c>
      <c r="E23" s="44">
        <v>6.5350000000000005E-2</v>
      </c>
      <c r="F23" s="66">
        <f>E23/Total!$K$7</f>
        <v>0.3637678797468355</v>
      </c>
      <c r="G23" s="44"/>
      <c r="H23" s="44"/>
      <c r="I23" s="44"/>
    </row>
    <row r="24" spans="3:13" ht="14.65" x14ac:dyDescent="0.5">
      <c r="C24" s="63" t="s">
        <v>148</v>
      </c>
      <c r="D24" s="64">
        <v>9</v>
      </c>
      <c r="E24" s="44">
        <v>4.8204721999999998E-2</v>
      </c>
      <c r="F24" s="66">
        <f>E24/Total!$K$7</f>
        <v>0.26832944936075953</v>
      </c>
      <c r="G24" s="44"/>
      <c r="H24" s="44"/>
      <c r="I24" s="44"/>
    </row>
    <row r="29" spans="3:13" x14ac:dyDescent="0.45">
      <c r="C29" s="35" t="s">
        <v>198</v>
      </c>
      <c r="D29" s="35">
        <v>8.3870000000000004E-3</v>
      </c>
      <c r="E29" s="35">
        <f>D29/$D$34</f>
        <v>0.29946619534750862</v>
      </c>
      <c r="G29" s="35" t="s">
        <v>199</v>
      </c>
      <c r="H29" s="35">
        <v>1.9194441934880799E-3</v>
      </c>
      <c r="I29" s="35">
        <f>H29/$H$31</f>
        <v>0.88135593220339004</v>
      </c>
      <c r="K29" s="2" t="s">
        <v>200</v>
      </c>
      <c r="L29" s="35">
        <v>1.4160842E-2</v>
      </c>
      <c r="M29" s="2">
        <f>L29/$L$37</f>
        <v>0.2047634280021573</v>
      </c>
    </row>
    <row r="30" spans="3:13" x14ac:dyDescent="0.45">
      <c r="C30" s="35"/>
      <c r="D30" s="35">
        <v>8.3870000000000004E-3</v>
      </c>
      <c r="E30" s="35">
        <f t="shared" ref="E30:E33" si="0">D30/$D$34</f>
        <v>0.29946619534750862</v>
      </c>
      <c r="G30" s="35"/>
      <c r="H30" s="35">
        <v>2.5838671835416401E-4</v>
      </c>
      <c r="I30" s="35">
        <f>H30/$H$31</f>
        <v>0.11864406779660992</v>
      </c>
      <c r="K30" s="2"/>
      <c r="L30" s="35">
        <v>7.1891500000000001E-3</v>
      </c>
      <c r="M30" s="2">
        <f t="shared" ref="M30:M36" si="1">L30/$L$37</f>
        <v>0.10395391731803161</v>
      </c>
    </row>
    <row r="31" spans="3:13" x14ac:dyDescent="0.45">
      <c r="C31" s="35"/>
      <c r="D31" s="35">
        <v>2.4450000000000001E-3</v>
      </c>
      <c r="E31" s="35">
        <f t="shared" si="0"/>
        <v>8.7301162230196572E-2</v>
      </c>
      <c r="G31" s="35" t="s">
        <v>197</v>
      </c>
      <c r="H31" s="35">
        <f>SUM(H29:H30)</f>
        <v>2.177830911842244E-3</v>
      </c>
      <c r="I31" s="35">
        <f>SUM(I29:I30)</f>
        <v>1</v>
      </c>
      <c r="K31" s="2"/>
      <c r="L31" s="35">
        <v>1.4160842E-2</v>
      </c>
      <c r="M31" s="2">
        <f t="shared" si="1"/>
        <v>0.2047634280021573</v>
      </c>
    </row>
    <row r="32" spans="3:13" x14ac:dyDescent="0.45">
      <c r="C32" s="35"/>
      <c r="D32" s="35">
        <v>4.5345000000000003E-3</v>
      </c>
      <c r="E32" s="35">
        <f t="shared" si="0"/>
        <v>0.16190884259011301</v>
      </c>
      <c r="K32" s="2"/>
      <c r="L32" s="35">
        <v>7.1891500000000001E-3</v>
      </c>
      <c r="M32" s="2">
        <f t="shared" si="1"/>
        <v>0.10395391731803161</v>
      </c>
    </row>
    <row r="33" spans="3:14" x14ac:dyDescent="0.45">
      <c r="C33" s="35"/>
      <c r="D33" s="35">
        <v>4.2529999999999998E-3</v>
      </c>
      <c r="E33" s="35">
        <f t="shared" si="0"/>
        <v>0.1518576044846732</v>
      </c>
      <c r="K33" s="2"/>
      <c r="L33" s="35">
        <v>1.0119863999999999E-2</v>
      </c>
      <c r="M33" s="2">
        <f t="shared" si="1"/>
        <v>0.14633155595942837</v>
      </c>
    </row>
    <row r="34" spans="3:14" x14ac:dyDescent="0.45">
      <c r="C34" s="35" t="s">
        <v>197</v>
      </c>
      <c r="D34" s="68">
        <f>SUM(D29:D33)</f>
        <v>2.80065E-2</v>
      </c>
      <c r="E34" s="35">
        <f>SUM(E29:E33)</f>
        <v>1</v>
      </c>
      <c r="K34" s="2"/>
      <c r="L34" s="35">
        <v>3.1481719999999999E-3</v>
      </c>
      <c r="M34" s="2">
        <f t="shared" si="1"/>
        <v>4.5522045275302667E-2</v>
      </c>
    </row>
    <row r="35" spans="3:14" x14ac:dyDescent="0.45">
      <c r="K35" s="2"/>
      <c r="L35" s="35">
        <v>1.0080379E-2</v>
      </c>
      <c r="M35" s="2">
        <f t="shared" si="1"/>
        <v>0.14576060940450847</v>
      </c>
    </row>
    <row r="36" spans="3:14" x14ac:dyDescent="0.45">
      <c r="K36" s="2"/>
      <c r="L36" s="35">
        <v>3.1086870000000002E-3</v>
      </c>
      <c r="M36" s="2">
        <f t="shared" si="1"/>
        <v>4.4951098720382762E-2</v>
      </c>
    </row>
    <row r="37" spans="3:14" x14ac:dyDescent="0.45">
      <c r="K37" s="2" t="s">
        <v>197</v>
      </c>
      <c r="L37" s="2">
        <f>SUM(L29:L36)</f>
        <v>6.9157085999999993E-2</v>
      </c>
      <c r="M37" s="2">
        <f>SUM(M29:M36)</f>
        <v>1</v>
      </c>
    </row>
    <row r="38" spans="3:14" x14ac:dyDescent="0.45">
      <c r="C38" s="2" t="s">
        <v>201</v>
      </c>
      <c r="D38" s="35">
        <v>1.1434908000000001E-2</v>
      </c>
      <c r="E38" s="2">
        <f>D38/$D$45</f>
        <v>0.20962167872361073</v>
      </c>
    </row>
    <row r="39" spans="3:14" x14ac:dyDescent="0.45">
      <c r="C39" s="2"/>
      <c r="D39" s="35">
        <v>6.5335669496782798E-4</v>
      </c>
      <c r="E39" s="2">
        <f t="shared" ref="E39:E44" si="2">D39/$D$45</f>
        <v>1.1977160393810441E-2</v>
      </c>
      <c r="H39" s="2" t="s">
        <v>204</v>
      </c>
      <c r="I39" s="2">
        <v>3.9903969999999997E-3</v>
      </c>
      <c r="J39" s="2">
        <f>I39/$I$56</f>
        <v>3.039387875882121E-2</v>
      </c>
      <c r="L39" s="2" t="s">
        <v>205</v>
      </c>
      <c r="M39" s="2">
        <v>5.3245369999999998E-3</v>
      </c>
      <c r="N39" s="2">
        <f>M39/$M$55</f>
        <v>8.1468629654537314E-2</v>
      </c>
    </row>
    <row r="40" spans="3:14" x14ac:dyDescent="0.45">
      <c r="C40" s="2"/>
      <c r="D40" s="35">
        <v>1.1933226999999999E-2</v>
      </c>
      <c r="E40" s="2">
        <f t="shared" si="2"/>
        <v>0.21875672951019079</v>
      </c>
      <c r="H40" s="2"/>
      <c r="I40" s="2">
        <v>3.9903969999999997E-3</v>
      </c>
      <c r="J40" s="2">
        <f t="shared" ref="J40:J55" si="3">I40/$I$56</f>
        <v>3.039387875882121E-2</v>
      </c>
      <c r="L40" s="2"/>
      <c r="M40" s="2">
        <v>3.3135180000000001E-3</v>
      </c>
      <c r="N40" s="2">
        <f t="shared" ref="N40:N54" si="4">M40/$M$55</f>
        <v>5.0698825230370864E-2</v>
      </c>
    </row>
    <row r="41" spans="3:14" x14ac:dyDescent="0.45">
      <c r="C41" s="2"/>
      <c r="D41" s="35">
        <v>1.27175213587492E-4</v>
      </c>
      <c r="E41" s="2">
        <f t="shared" si="2"/>
        <v>2.3313420417762714E-3</v>
      </c>
      <c r="H41" s="2"/>
      <c r="I41" s="2">
        <v>5.8781240000000002E-3</v>
      </c>
      <c r="J41" s="2">
        <f t="shared" si="3"/>
        <v>4.4772233987073765E-2</v>
      </c>
      <c r="L41" s="2"/>
      <c r="M41" s="2">
        <v>3.3135180000000001E-3</v>
      </c>
      <c r="N41" s="2">
        <f t="shared" si="4"/>
        <v>5.0698825230370864E-2</v>
      </c>
    </row>
    <row r="42" spans="3:14" x14ac:dyDescent="0.45">
      <c r="C42" s="2"/>
      <c r="D42" s="35">
        <v>1.1933226999999999E-2</v>
      </c>
      <c r="E42" s="2">
        <f t="shared" si="2"/>
        <v>0.21875672951019079</v>
      </c>
      <c r="H42" s="2"/>
      <c r="I42" s="2">
        <v>5.8781240000000002E-3</v>
      </c>
      <c r="J42" s="2">
        <f t="shared" si="3"/>
        <v>4.4772233987073765E-2</v>
      </c>
      <c r="L42" s="2"/>
      <c r="M42" s="2">
        <v>5.4218080000000002E-3</v>
      </c>
      <c r="N42" s="2">
        <f t="shared" si="4"/>
        <v>8.2956934661174792E-2</v>
      </c>
    </row>
    <row r="43" spans="3:14" x14ac:dyDescent="0.45">
      <c r="C43" s="2"/>
      <c r="D43" s="69">
        <v>3.85379435113614E-6</v>
      </c>
      <c r="E43" s="2">
        <f t="shared" si="2"/>
        <v>7.0646728538675244E-5</v>
      </c>
      <c r="H43" s="2"/>
      <c r="I43" s="2">
        <v>7.0359840000000003E-3</v>
      </c>
      <c r="J43" s="2">
        <f t="shared" si="3"/>
        <v>5.3591370644325849E-2</v>
      </c>
      <c r="L43" s="2"/>
      <c r="M43" s="2">
        <v>3.0214410000000001E-3</v>
      </c>
      <c r="N43" s="2">
        <f t="shared" si="4"/>
        <v>4.6229870851124691E-2</v>
      </c>
    </row>
    <row r="44" spans="3:14" x14ac:dyDescent="0.45">
      <c r="C44" s="2"/>
      <c r="D44" s="35">
        <v>1.8464469000000001E-2</v>
      </c>
      <c r="E44" s="2">
        <f t="shared" si="2"/>
        <v>0.3384857130918823</v>
      </c>
      <c r="H44" s="2"/>
      <c r="I44" s="2">
        <v>6.6877320000000001E-3</v>
      </c>
      <c r="J44" s="2">
        <f t="shared" si="3"/>
        <v>5.0938820267629741E-2</v>
      </c>
      <c r="L44" s="2"/>
      <c r="M44" s="2">
        <v>3.0214410000000001E-3</v>
      </c>
      <c r="N44" s="2">
        <f t="shared" si="4"/>
        <v>4.6229870851124691E-2</v>
      </c>
    </row>
    <row r="45" spans="3:14" x14ac:dyDescent="0.45">
      <c r="C45" s="2"/>
      <c r="D45" s="2">
        <f>SUM(D38:D44)</f>
        <v>5.4550216702906454E-2</v>
      </c>
      <c r="E45" s="2">
        <f>SUM(E38:E44)</f>
        <v>1</v>
      </c>
      <c r="H45" s="2"/>
      <c r="I45" s="2">
        <v>6.6877320000000001E-3</v>
      </c>
      <c r="J45" s="2">
        <f t="shared" si="3"/>
        <v>5.0938820267629741E-2</v>
      </c>
      <c r="L45" s="2"/>
      <c r="M45" s="2">
        <v>5.0863260000000004E-3</v>
      </c>
      <c r="N45" s="2">
        <f t="shared" si="4"/>
        <v>7.782385758540962E-2</v>
      </c>
    </row>
    <row r="46" spans="3:14" x14ac:dyDescent="0.45">
      <c r="H46" s="2"/>
      <c r="I46" s="2">
        <v>1.3381308E-2</v>
      </c>
      <c r="J46" s="2">
        <f t="shared" si="3"/>
        <v>0.10192215285507791</v>
      </c>
      <c r="L46" s="2"/>
      <c r="M46" s="2">
        <v>3.0753070000000002E-3</v>
      </c>
      <c r="N46" s="2">
        <f t="shared" si="4"/>
        <v>4.705405316124317E-2</v>
      </c>
    </row>
    <row r="47" spans="3:14" x14ac:dyDescent="0.45">
      <c r="H47" s="2"/>
      <c r="I47" s="2">
        <v>8.5754590000000006E-3</v>
      </c>
      <c r="J47" s="2">
        <f t="shared" si="3"/>
        <v>6.5317175495882299E-2</v>
      </c>
      <c r="L47" s="2"/>
      <c r="M47" s="2">
        <v>3.0753070000000002E-3</v>
      </c>
      <c r="N47" s="2">
        <f t="shared" si="4"/>
        <v>4.705405316124317E-2</v>
      </c>
    </row>
    <row r="48" spans="3:14" x14ac:dyDescent="0.45">
      <c r="C48" t="s">
        <v>202</v>
      </c>
      <c r="D48" s="35">
        <v>6.8668879999999998E-3</v>
      </c>
      <c r="E48">
        <f>D48/$D$57</f>
        <v>0.14245260039047625</v>
      </c>
      <c r="H48" s="2"/>
      <c r="I48" s="2">
        <v>8.5754590000000006E-3</v>
      </c>
      <c r="J48" s="2">
        <f t="shared" si="3"/>
        <v>6.5317175495882299E-2</v>
      </c>
      <c r="L48" s="2"/>
      <c r="M48" s="2">
        <v>5.1835969999999999E-3</v>
      </c>
      <c r="N48" s="2">
        <f t="shared" si="4"/>
        <v>7.9312162592047097E-2</v>
      </c>
    </row>
    <row r="49" spans="3:14" x14ac:dyDescent="0.45">
      <c r="D49" s="35">
        <v>5.055871E-3</v>
      </c>
      <c r="E49">
        <f t="shared" ref="E49:E56" si="5">D49/$D$57</f>
        <v>0.10488331412843745</v>
      </c>
      <c r="H49" s="2"/>
      <c r="I49" s="2">
        <v>3.2425376947543298E-3</v>
      </c>
      <c r="J49" s="2">
        <f t="shared" si="3"/>
        <v>2.4697617195800499E-2</v>
      </c>
      <c r="L49" s="2"/>
      <c r="M49" s="2">
        <v>2.7832299999999998E-3</v>
      </c>
      <c r="N49" s="2">
        <f t="shared" si="4"/>
        <v>4.2585098781996983E-2</v>
      </c>
    </row>
    <row r="50" spans="3:14" x14ac:dyDescent="0.45">
      <c r="D50" s="35">
        <v>4.4851839999999997E-3</v>
      </c>
      <c r="E50">
        <f t="shared" si="5"/>
        <v>9.3044494686640847E-2</v>
      </c>
      <c r="H50" s="2"/>
      <c r="I50" s="2">
        <v>3.7885459999999998E-3</v>
      </c>
      <c r="J50" s="2">
        <f t="shared" si="3"/>
        <v>2.8856429021026496E-2</v>
      </c>
      <c r="L50" s="2"/>
      <c r="M50" s="2">
        <v>2.7832299999999998E-3</v>
      </c>
      <c r="N50" s="2">
        <f t="shared" si="4"/>
        <v>4.2585098781996983E-2</v>
      </c>
    </row>
    <row r="51" spans="3:14" x14ac:dyDescent="0.45">
      <c r="D51" s="35">
        <v>4.52594E-3</v>
      </c>
      <c r="E51">
        <f t="shared" si="5"/>
        <v>9.3889972023902549E-2</v>
      </c>
      <c r="H51" s="2"/>
      <c r="I51" s="2">
        <v>1.013387E-2</v>
      </c>
      <c r="J51" s="2">
        <f t="shared" si="3"/>
        <v>7.7187211231778574E-2</v>
      </c>
      <c r="L51" s="2"/>
      <c r="M51" s="2">
        <v>3.794225E-3</v>
      </c>
      <c r="N51" s="2">
        <f t="shared" si="4"/>
        <v>5.8053932454781861E-2</v>
      </c>
    </row>
    <row r="52" spans="3:14" x14ac:dyDescent="0.45">
      <c r="D52" s="35">
        <v>5.0966270000000003E-3</v>
      </c>
      <c r="E52">
        <f t="shared" si="5"/>
        <v>0.10572879146569915</v>
      </c>
      <c r="H52" s="2"/>
      <c r="I52" s="2">
        <v>5.3280209999999996E-3</v>
      </c>
      <c r="J52" s="2">
        <f t="shared" si="3"/>
        <v>4.0582233872582939E-2</v>
      </c>
      <c r="L52" s="2"/>
      <c r="M52" s="2">
        <v>6.9867159999999996E-3</v>
      </c>
      <c r="N52" s="2">
        <f t="shared" si="4"/>
        <v>0.10690097154089272</v>
      </c>
    </row>
    <row r="53" spans="3:14" x14ac:dyDescent="0.45">
      <c r="D53" s="35">
        <v>6.3369560000000004E-3</v>
      </c>
      <c r="E53">
        <f t="shared" si="5"/>
        <v>0.13145923754108571</v>
      </c>
      <c r="H53" s="2"/>
      <c r="I53" s="2">
        <v>5.3280209999999996E-3</v>
      </c>
      <c r="J53" s="2">
        <f t="shared" si="3"/>
        <v>4.0582233872582939E-2</v>
      </c>
      <c r="L53" s="2"/>
      <c r="M53" s="2">
        <v>4.586349E-3</v>
      </c>
      <c r="N53" s="2">
        <f t="shared" si="4"/>
        <v>7.0173907730842616E-2</v>
      </c>
    </row>
    <row r="54" spans="3:14" x14ac:dyDescent="0.45">
      <c r="D54" s="35">
        <v>4.4851839999999997E-3</v>
      </c>
      <c r="E54">
        <f t="shared" si="5"/>
        <v>9.3044494686640847E-2</v>
      </c>
      <c r="H54" s="2"/>
      <c r="I54" s="2">
        <v>2.8449134524471901E-2</v>
      </c>
      <c r="J54" s="2">
        <f t="shared" si="3"/>
        <v>0.21669010515249329</v>
      </c>
      <c r="L54" s="2"/>
      <c r="M54" s="2">
        <v>4.586349E-3</v>
      </c>
      <c r="N54" s="2">
        <f t="shared" si="4"/>
        <v>7.0173907730842616E-2</v>
      </c>
    </row>
    <row r="55" spans="3:14" x14ac:dyDescent="0.45">
      <c r="D55" s="35">
        <v>5.055871E-3</v>
      </c>
      <c r="E55">
        <f t="shared" si="5"/>
        <v>0.10488331412843745</v>
      </c>
      <c r="H55" s="2"/>
      <c r="I55" s="2">
        <v>4.338649E-3</v>
      </c>
      <c r="J55" s="2">
        <f t="shared" si="3"/>
        <v>3.3046429135517315E-2</v>
      </c>
      <c r="L55" s="2" t="s">
        <v>203</v>
      </c>
      <c r="M55" s="2">
        <f>SUM(M39:M54)</f>
        <v>6.5356898999999996E-2</v>
      </c>
      <c r="N55" s="2">
        <f>SUM(N39:N54)</f>
        <v>1</v>
      </c>
    </row>
    <row r="56" spans="3:14" x14ac:dyDescent="0.45">
      <c r="D56" s="35">
        <v>6.2962010000000004E-3</v>
      </c>
      <c r="E56">
        <f t="shared" si="5"/>
        <v>0.13061378094867968</v>
      </c>
      <c r="H56" s="2" t="s">
        <v>203</v>
      </c>
      <c r="I56" s="2">
        <f>SUM(I39:I55)</f>
        <v>0.13128949521922625</v>
      </c>
      <c r="J56" s="2">
        <f>SUM(J39:J55)</f>
        <v>1</v>
      </c>
    </row>
    <row r="57" spans="3:14" x14ac:dyDescent="0.45">
      <c r="C57" t="s">
        <v>203</v>
      </c>
      <c r="D57">
        <f>SUM(D48:D56)</f>
        <v>4.8204722000000005E-2</v>
      </c>
      <c r="E57">
        <f>SUM(E48:E56)</f>
        <v>0.99999999999999989</v>
      </c>
    </row>
    <row r="60" spans="3:14" x14ac:dyDescent="0.45">
      <c r="C60" t="s">
        <v>206</v>
      </c>
      <c r="D60" s="35">
        <v>1.4294010000000001E-3</v>
      </c>
      <c r="E60">
        <f>D60/$D$114</f>
        <v>1.3482541235616513E-2</v>
      </c>
    </row>
    <row r="61" spans="3:14" x14ac:dyDescent="0.45">
      <c r="D61" s="35">
        <v>1.1267499999999999E-3</v>
      </c>
      <c r="E61">
        <f t="shared" ref="E61:E113" si="6">D61/$D$114</f>
        <v>1.062784574603691E-2</v>
      </c>
    </row>
    <row r="62" spans="3:14" x14ac:dyDescent="0.45">
      <c r="D62" s="35">
        <v>1.950848E-3</v>
      </c>
      <c r="E62">
        <f t="shared" si="6"/>
        <v>1.8400986570192689E-2</v>
      </c>
    </row>
    <row r="63" spans="3:14" x14ac:dyDescent="0.45">
      <c r="D63" s="35">
        <v>1.950848E-3</v>
      </c>
      <c r="E63">
        <f t="shared" si="6"/>
        <v>1.8400986570192689E-2</v>
      </c>
    </row>
    <row r="64" spans="3:14" x14ac:dyDescent="0.45">
      <c r="D64" s="35">
        <v>2.7701050000000001E-3</v>
      </c>
      <c r="E64">
        <f t="shared" si="6"/>
        <v>2.6128465622654161E-2</v>
      </c>
    </row>
    <row r="65" spans="4:5" x14ac:dyDescent="0.45">
      <c r="D65" s="35">
        <v>1.29750272562895E-3</v>
      </c>
      <c r="E65">
        <f t="shared" si="6"/>
        <v>1.2238436940800472E-2</v>
      </c>
    </row>
    <row r="66" spans="4:5" x14ac:dyDescent="0.45">
      <c r="D66" s="35">
        <v>1.4294010000000001E-3</v>
      </c>
      <c r="E66">
        <f t="shared" si="6"/>
        <v>1.3482541235616513E-2</v>
      </c>
    </row>
    <row r="67" spans="4:5" x14ac:dyDescent="0.45">
      <c r="D67" s="35">
        <v>1.1267499999999999E-3</v>
      </c>
      <c r="E67">
        <f t="shared" si="6"/>
        <v>1.062784574603691E-2</v>
      </c>
    </row>
    <row r="68" spans="4:5" x14ac:dyDescent="0.45">
      <c r="D68" s="35">
        <v>1.950848E-3</v>
      </c>
      <c r="E68">
        <f t="shared" si="6"/>
        <v>1.8400986570192689E-2</v>
      </c>
    </row>
    <row r="69" spans="4:5" x14ac:dyDescent="0.45">
      <c r="D69" s="35">
        <v>1.950848E-3</v>
      </c>
      <c r="E69">
        <f t="shared" si="6"/>
        <v>1.8400986570192689E-2</v>
      </c>
    </row>
    <row r="70" spans="4:5" x14ac:dyDescent="0.45">
      <c r="D70" s="35">
        <v>2.7701050000000001E-3</v>
      </c>
      <c r="E70">
        <f t="shared" si="6"/>
        <v>2.6128465622654161E-2</v>
      </c>
    </row>
    <row r="71" spans="4:5" x14ac:dyDescent="0.45">
      <c r="D71" s="35">
        <v>1.29750272562895E-3</v>
      </c>
      <c r="E71">
        <f t="shared" si="6"/>
        <v>1.2238436940800472E-2</v>
      </c>
    </row>
    <row r="72" spans="4:5" x14ac:dyDescent="0.45">
      <c r="D72" s="35">
        <v>1.4294010000000001E-3</v>
      </c>
      <c r="E72">
        <f t="shared" si="6"/>
        <v>1.3482541235616513E-2</v>
      </c>
    </row>
    <row r="73" spans="4:5" x14ac:dyDescent="0.45">
      <c r="D73" s="35">
        <v>1.1267499999999999E-3</v>
      </c>
      <c r="E73">
        <f t="shared" si="6"/>
        <v>1.062784574603691E-2</v>
      </c>
    </row>
    <row r="74" spans="4:5" x14ac:dyDescent="0.45">
      <c r="D74" s="35">
        <v>1.950848E-3</v>
      </c>
      <c r="E74">
        <f t="shared" si="6"/>
        <v>1.8400986570192689E-2</v>
      </c>
    </row>
    <row r="75" spans="4:5" x14ac:dyDescent="0.45">
      <c r="D75" s="35">
        <v>1.950848E-3</v>
      </c>
      <c r="E75">
        <f t="shared" si="6"/>
        <v>1.8400986570192689E-2</v>
      </c>
    </row>
    <row r="76" spans="4:5" x14ac:dyDescent="0.45">
      <c r="D76" s="35">
        <v>2.7701050000000001E-3</v>
      </c>
      <c r="E76">
        <f t="shared" si="6"/>
        <v>2.6128465622654161E-2</v>
      </c>
    </row>
    <row r="77" spans="4:5" x14ac:dyDescent="0.45">
      <c r="D77" s="35">
        <v>1.29750272562895E-3</v>
      </c>
      <c r="E77">
        <f t="shared" si="6"/>
        <v>1.2238436940800472E-2</v>
      </c>
    </row>
    <row r="78" spans="4:5" x14ac:dyDescent="0.45">
      <c r="D78" s="35">
        <v>1.1267499999999999E-3</v>
      </c>
      <c r="E78">
        <f t="shared" si="6"/>
        <v>1.062784574603691E-2</v>
      </c>
    </row>
    <row r="79" spans="4:5" x14ac:dyDescent="0.45">
      <c r="D79" s="35">
        <v>8.24098E-4</v>
      </c>
      <c r="E79">
        <f t="shared" si="6"/>
        <v>7.7731408241557805E-3</v>
      </c>
    </row>
    <row r="80" spans="4:5" x14ac:dyDescent="0.45">
      <c r="D80" s="35">
        <v>1.648196E-3</v>
      </c>
      <c r="E80">
        <f t="shared" si="6"/>
        <v>1.5546281648311561E-2</v>
      </c>
    </row>
    <row r="81" spans="4:5" x14ac:dyDescent="0.45">
      <c r="D81" s="35">
        <v>1.648196E-3</v>
      </c>
      <c r="E81">
        <f t="shared" si="6"/>
        <v>1.5546281648311561E-2</v>
      </c>
    </row>
    <row r="82" spans="4:5" x14ac:dyDescent="0.45">
      <c r="D82" s="35">
        <v>2.4674530000000001E-3</v>
      </c>
      <c r="E82">
        <f t="shared" si="6"/>
        <v>2.3273760700773031E-2</v>
      </c>
    </row>
    <row r="83" spans="4:5" x14ac:dyDescent="0.45">
      <c r="D83" s="35">
        <v>1.2562105183973899E-3</v>
      </c>
      <c r="E83">
        <f t="shared" si="6"/>
        <v>1.1848956391459083E-2</v>
      </c>
    </row>
    <row r="84" spans="4:5" x14ac:dyDescent="0.45">
      <c r="D84" s="35">
        <v>1.950848E-3</v>
      </c>
      <c r="E84">
        <f t="shared" si="6"/>
        <v>1.8400986570192689E-2</v>
      </c>
    </row>
    <row r="85" spans="4:5" x14ac:dyDescent="0.45">
      <c r="D85" s="35">
        <v>1.648196E-3</v>
      </c>
      <c r="E85">
        <f t="shared" si="6"/>
        <v>1.5546281648311561E-2</v>
      </c>
    </row>
    <row r="86" spans="4:5" x14ac:dyDescent="0.45">
      <c r="D86" s="35">
        <v>2.4722939999999999E-3</v>
      </c>
      <c r="E86">
        <f t="shared" si="6"/>
        <v>2.3319422472467339E-2</v>
      </c>
    </row>
    <row r="87" spans="4:5" x14ac:dyDescent="0.45">
      <c r="D87" s="35">
        <v>2.4722939999999999E-3</v>
      </c>
      <c r="E87">
        <f t="shared" si="6"/>
        <v>2.3319422472467339E-2</v>
      </c>
    </row>
    <row r="88" spans="4:5" x14ac:dyDescent="0.45">
      <c r="D88" s="35">
        <v>3.2915510000000002E-3</v>
      </c>
      <c r="E88">
        <f t="shared" si="6"/>
        <v>3.1046901524928811E-2</v>
      </c>
    </row>
    <row r="89" spans="4:5" x14ac:dyDescent="0.45">
      <c r="D89" s="35">
        <v>1.2590961255833199E-3</v>
      </c>
      <c r="E89">
        <f t="shared" si="6"/>
        <v>1.1876174308526506E-2</v>
      </c>
    </row>
    <row r="90" spans="4:5" x14ac:dyDescent="0.45">
      <c r="D90" s="35">
        <v>1.950848E-3</v>
      </c>
      <c r="E90">
        <f t="shared" si="6"/>
        <v>1.8400986570192689E-2</v>
      </c>
    </row>
    <row r="91" spans="4:5" x14ac:dyDescent="0.45">
      <c r="D91" s="35">
        <v>1.648196E-3</v>
      </c>
      <c r="E91">
        <f t="shared" si="6"/>
        <v>1.5546281648311561E-2</v>
      </c>
    </row>
    <row r="92" spans="4:5" x14ac:dyDescent="0.45">
      <c r="D92" s="35">
        <v>2.4722939999999999E-3</v>
      </c>
      <c r="E92">
        <f t="shared" si="6"/>
        <v>2.3319422472467339E-2</v>
      </c>
    </row>
    <row r="93" spans="4:5" x14ac:dyDescent="0.45">
      <c r="D93" s="35">
        <v>2.4722939999999999E-3</v>
      </c>
      <c r="E93">
        <f t="shared" si="6"/>
        <v>2.3319422472467339E-2</v>
      </c>
    </row>
    <row r="94" spans="4:5" x14ac:dyDescent="0.45">
      <c r="D94" s="35">
        <v>3.2915510000000002E-3</v>
      </c>
      <c r="E94">
        <f t="shared" si="6"/>
        <v>3.1046901524928811E-2</v>
      </c>
    </row>
    <row r="95" spans="4:5" x14ac:dyDescent="0.45">
      <c r="D95" s="35">
        <v>1.2590961255833199E-3</v>
      </c>
      <c r="E95">
        <f t="shared" si="6"/>
        <v>1.1876174308526506E-2</v>
      </c>
    </row>
    <row r="96" spans="4:5" x14ac:dyDescent="0.45">
      <c r="D96" s="35">
        <v>1.950848E-3</v>
      </c>
      <c r="E96">
        <f t="shared" si="6"/>
        <v>1.8400986570192689E-2</v>
      </c>
    </row>
    <row r="97" spans="4:5" x14ac:dyDescent="0.45">
      <c r="D97" s="35">
        <v>1.648196E-3</v>
      </c>
      <c r="E97">
        <f t="shared" si="6"/>
        <v>1.5546281648311561E-2</v>
      </c>
    </row>
    <row r="98" spans="4:5" x14ac:dyDescent="0.45">
      <c r="D98" s="35">
        <v>2.4722939999999999E-3</v>
      </c>
      <c r="E98">
        <f t="shared" si="6"/>
        <v>2.3319422472467339E-2</v>
      </c>
    </row>
    <row r="99" spans="4:5" x14ac:dyDescent="0.45">
      <c r="D99" s="35">
        <v>2.4722939999999999E-3</v>
      </c>
      <c r="E99">
        <f t="shared" si="6"/>
        <v>2.3319422472467339E-2</v>
      </c>
    </row>
    <row r="100" spans="4:5" x14ac:dyDescent="0.45">
      <c r="D100" s="35">
        <v>3.2915510000000002E-3</v>
      </c>
      <c r="E100">
        <f t="shared" si="6"/>
        <v>3.1046901524928811E-2</v>
      </c>
    </row>
    <row r="101" spans="4:5" x14ac:dyDescent="0.45">
      <c r="D101" s="35">
        <v>1.2590961255833199E-3</v>
      </c>
      <c r="E101">
        <f t="shared" si="6"/>
        <v>1.1876174308526506E-2</v>
      </c>
    </row>
    <row r="102" spans="4:5" x14ac:dyDescent="0.45">
      <c r="D102" s="35">
        <v>1.950848E-3</v>
      </c>
      <c r="E102">
        <f t="shared" si="6"/>
        <v>1.8400986570192689E-2</v>
      </c>
    </row>
    <row r="103" spans="4:5" x14ac:dyDescent="0.45">
      <c r="D103" s="35">
        <v>1.648196E-3</v>
      </c>
      <c r="E103">
        <f t="shared" si="6"/>
        <v>1.5546281648311561E-2</v>
      </c>
    </row>
    <row r="104" spans="4:5" x14ac:dyDescent="0.45">
      <c r="D104" s="35">
        <v>2.4722939999999999E-3</v>
      </c>
      <c r="E104">
        <f t="shared" si="6"/>
        <v>2.3319422472467339E-2</v>
      </c>
    </row>
    <row r="105" spans="4:5" x14ac:dyDescent="0.45">
      <c r="D105" s="35">
        <v>2.4722939999999999E-3</v>
      </c>
      <c r="E105">
        <f t="shared" si="6"/>
        <v>2.3319422472467339E-2</v>
      </c>
    </row>
    <row r="106" spans="4:5" x14ac:dyDescent="0.45">
      <c r="D106" s="35">
        <v>3.2915510000000002E-3</v>
      </c>
      <c r="E106">
        <f t="shared" si="6"/>
        <v>3.1046901524928811E-2</v>
      </c>
    </row>
    <row r="107" spans="4:5" x14ac:dyDescent="0.45">
      <c r="D107" s="35">
        <v>1.2590961255833199E-3</v>
      </c>
      <c r="E107">
        <f t="shared" si="6"/>
        <v>1.1876174308526506E-2</v>
      </c>
    </row>
    <row r="108" spans="4:5" x14ac:dyDescent="0.45">
      <c r="D108" s="35">
        <v>1.950848E-3</v>
      </c>
      <c r="E108">
        <f t="shared" si="6"/>
        <v>1.8400986570192689E-2</v>
      </c>
    </row>
    <row r="109" spans="4:5" x14ac:dyDescent="0.45">
      <c r="D109" s="35">
        <v>1.648196E-3</v>
      </c>
      <c r="E109">
        <f t="shared" si="6"/>
        <v>1.5546281648311561E-2</v>
      </c>
    </row>
    <row r="110" spans="4:5" x14ac:dyDescent="0.45">
      <c r="D110" s="35">
        <v>2.4722939999999999E-3</v>
      </c>
      <c r="E110">
        <f t="shared" si="6"/>
        <v>2.3319422472467339E-2</v>
      </c>
    </row>
    <row r="111" spans="4:5" x14ac:dyDescent="0.45">
      <c r="D111" s="35">
        <v>2.4722939999999999E-3</v>
      </c>
      <c r="E111">
        <f t="shared" si="6"/>
        <v>2.3319422472467339E-2</v>
      </c>
    </row>
    <row r="112" spans="4:5" x14ac:dyDescent="0.45">
      <c r="D112" s="35">
        <v>3.2915510000000002E-3</v>
      </c>
      <c r="E112">
        <f t="shared" si="6"/>
        <v>3.1046901524928811E-2</v>
      </c>
    </row>
    <row r="113" spans="3:5" x14ac:dyDescent="0.45">
      <c r="D113" s="35">
        <v>1.2590961255833199E-3</v>
      </c>
      <c r="E113">
        <f t="shared" si="6"/>
        <v>1.1876174308526506E-2</v>
      </c>
    </row>
    <row r="114" spans="3:5" x14ac:dyDescent="0.45">
      <c r="C114" t="s">
        <v>207</v>
      </c>
      <c r="D114">
        <f>SUM(D60:D113)</f>
        <v>0.1060186633232009</v>
      </c>
      <c r="E114">
        <f>SUM(E60:E113)</f>
        <v>0.99999999999999933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950-D289-4EA7-91EB-1B1B634E8168}">
  <dimension ref="B3:J29"/>
  <sheetViews>
    <sheetView topLeftCell="A3" workbookViewId="0">
      <selection activeCell="G18" sqref="G18"/>
    </sheetView>
  </sheetViews>
  <sheetFormatPr defaultRowHeight="14.25" x14ac:dyDescent="0.45"/>
  <cols>
    <col min="2" max="2" width="28.53125" customWidth="1"/>
    <col min="3" max="3" width="17.265625" customWidth="1"/>
    <col min="4" max="4" width="21.6640625" bestFit="1" customWidth="1"/>
    <col min="5" max="5" width="16" bestFit="1" customWidth="1"/>
    <col min="6" max="6" width="20.796875" customWidth="1"/>
    <col min="7" max="7" width="15.33203125" customWidth="1"/>
    <col min="8" max="8" width="19.46484375" bestFit="1" customWidth="1"/>
  </cols>
  <sheetData>
    <row r="3" spans="2:10" ht="15.75" x14ac:dyDescent="0.55000000000000004">
      <c r="B3" s="3" t="s">
        <v>11</v>
      </c>
      <c r="C3" s="4" t="s">
        <v>12</v>
      </c>
      <c r="D3" s="4" t="s">
        <v>152</v>
      </c>
      <c r="E3" s="4" t="s">
        <v>13</v>
      </c>
      <c r="F3" s="5" t="s">
        <v>174</v>
      </c>
      <c r="G3" s="18" t="s">
        <v>153</v>
      </c>
    </row>
    <row r="4" spans="2:10" x14ac:dyDescent="0.45">
      <c r="B4" s="5" t="s">
        <v>154</v>
      </c>
      <c r="C4" s="5" t="s">
        <v>155</v>
      </c>
      <c r="D4" s="5">
        <v>1</v>
      </c>
      <c r="E4" s="64">
        <v>265.35000000000002</v>
      </c>
      <c r="F4" s="44">
        <f t="shared" ref="F4:F20" si="0">1/$D$28</f>
        <v>4.1666666666666664E-2</v>
      </c>
      <c r="G4" s="64">
        <f>(F4/E4)*1000</f>
        <v>0.1570253124803718</v>
      </c>
      <c r="H4" s="55"/>
      <c r="J4">
        <f>0.04/0.00022751</f>
        <v>175.81644762867566</v>
      </c>
    </row>
    <row r="5" spans="2:10" x14ac:dyDescent="0.45">
      <c r="B5" s="5" t="s">
        <v>156</v>
      </c>
      <c r="C5" s="5" t="s">
        <v>157</v>
      </c>
      <c r="D5" s="5">
        <v>1</v>
      </c>
      <c r="E5" s="64">
        <v>443.41</v>
      </c>
      <c r="F5" s="44">
        <f t="shared" si="0"/>
        <v>4.1666666666666664E-2</v>
      </c>
      <c r="G5" s="64">
        <f t="shared" ref="G5:G27" si="1">(F5/E5)*1000</f>
        <v>9.3968712177593339E-2</v>
      </c>
      <c r="H5" s="5"/>
    </row>
    <row r="6" spans="2:10" x14ac:dyDescent="0.45">
      <c r="B6" s="5" t="s">
        <v>158</v>
      </c>
      <c r="C6" s="5" t="s">
        <v>159</v>
      </c>
      <c r="D6" s="5">
        <v>1</v>
      </c>
      <c r="E6" s="64">
        <v>399.44</v>
      </c>
      <c r="F6" s="44">
        <f t="shared" si="0"/>
        <v>4.1666666666666664E-2</v>
      </c>
      <c r="G6" s="64">
        <f t="shared" si="1"/>
        <v>0.10431270445290072</v>
      </c>
      <c r="H6" s="5"/>
    </row>
    <row r="7" spans="2:10" x14ac:dyDescent="0.45">
      <c r="B7" s="5" t="s">
        <v>160</v>
      </c>
      <c r="C7" s="5" t="s">
        <v>161</v>
      </c>
      <c r="D7" s="5">
        <v>1</v>
      </c>
      <c r="E7" s="64">
        <v>376.36</v>
      </c>
      <c r="F7" s="44">
        <f t="shared" si="0"/>
        <v>4.1666666666666664E-2</v>
      </c>
      <c r="G7" s="64">
        <f t="shared" si="1"/>
        <v>0.11070960427959045</v>
      </c>
      <c r="H7" s="5"/>
    </row>
    <row r="8" spans="2:10" x14ac:dyDescent="0.45">
      <c r="B8" s="5" t="s">
        <v>176</v>
      </c>
      <c r="C8" s="5" t="s">
        <v>175</v>
      </c>
      <c r="D8" s="5">
        <v>1</v>
      </c>
      <c r="E8" s="64">
        <v>247.14</v>
      </c>
      <c r="F8" s="44">
        <f t="shared" si="0"/>
        <v>4.1666666666666664E-2</v>
      </c>
      <c r="G8" s="64">
        <f t="shared" si="1"/>
        <v>0.16859539802001564</v>
      </c>
      <c r="H8" s="5"/>
    </row>
    <row r="9" spans="2:10" x14ac:dyDescent="0.45">
      <c r="B9" s="5" t="s">
        <v>177</v>
      </c>
      <c r="C9" s="5" t="s">
        <v>178</v>
      </c>
      <c r="D9" s="5">
        <v>1</v>
      </c>
      <c r="E9" s="64">
        <v>745.42</v>
      </c>
      <c r="F9" s="44">
        <f t="shared" si="0"/>
        <v>4.1666666666666664E-2</v>
      </c>
      <c r="G9" s="64">
        <f t="shared" si="1"/>
        <v>5.5896899287202734E-2</v>
      </c>
      <c r="H9" s="5"/>
    </row>
    <row r="10" spans="2:10" x14ac:dyDescent="0.45">
      <c r="B10" s="5" t="s">
        <v>162</v>
      </c>
      <c r="C10" s="5" t="s">
        <v>163</v>
      </c>
      <c r="D10" s="5">
        <v>1</v>
      </c>
      <c r="E10" s="64">
        <v>662.42</v>
      </c>
      <c r="F10" s="44">
        <f t="shared" si="0"/>
        <v>4.1666666666666664E-2</v>
      </c>
      <c r="G10" s="64">
        <f t="shared" si="1"/>
        <v>6.2900677314493322E-2</v>
      </c>
      <c r="H10" s="5"/>
    </row>
    <row r="11" spans="2:10" x14ac:dyDescent="0.45">
      <c r="B11" s="5" t="s">
        <v>164</v>
      </c>
      <c r="C11" s="5" t="s">
        <v>165</v>
      </c>
      <c r="D11" s="5">
        <v>1</v>
      </c>
      <c r="E11" s="64">
        <v>306.31</v>
      </c>
      <c r="F11" s="44">
        <f t="shared" si="0"/>
        <v>4.1666666666666664E-2</v>
      </c>
      <c r="G11" s="64">
        <f t="shared" si="1"/>
        <v>0.13602777142981509</v>
      </c>
      <c r="H11" s="5"/>
    </row>
    <row r="12" spans="2:10" x14ac:dyDescent="0.45">
      <c r="B12" s="5" t="s">
        <v>166</v>
      </c>
      <c r="C12" s="5" t="s">
        <v>167</v>
      </c>
      <c r="D12" s="5">
        <v>1</v>
      </c>
      <c r="E12" s="64">
        <v>454.33</v>
      </c>
      <c r="F12" s="44">
        <f t="shared" si="0"/>
        <v>4.1666666666666664E-2</v>
      </c>
      <c r="G12" s="64">
        <f t="shared" si="1"/>
        <v>9.1710137271733466E-2</v>
      </c>
      <c r="H12" s="5"/>
    </row>
    <row r="13" spans="2:10" x14ac:dyDescent="0.45">
      <c r="B13" s="5" t="s">
        <v>168</v>
      </c>
      <c r="C13" s="5" t="s">
        <v>169</v>
      </c>
      <c r="D13" s="5">
        <v>1</v>
      </c>
      <c r="E13" s="64">
        <v>783.53</v>
      </c>
      <c r="F13" s="44">
        <f t="shared" si="0"/>
        <v>4.1666666666666664E-2</v>
      </c>
      <c r="G13" s="64">
        <f t="shared" si="1"/>
        <v>5.317813825465096E-2</v>
      </c>
      <c r="H13" s="5"/>
    </row>
    <row r="14" spans="2:10" x14ac:dyDescent="0.45">
      <c r="B14" s="5" t="s">
        <v>170</v>
      </c>
      <c r="C14" s="5" t="s">
        <v>171</v>
      </c>
      <c r="D14" s="5">
        <v>1</v>
      </c>
      <c r="E14" s="64">
        <v>763.5</v>
      </c>
      <c r="F14" s="44">
        <f t="shared" si="0"/>
        <v>4.1666666666666664E-2</v>
      </c>
      <c r="G14" s="64">
        <f t="shared" si="1"/>
        <v>5.4573237284435715E-2</v>
      </c>
      <c r="H14" s="5"/>
    </row>
    <row r="15" spans="2:10" x14ac:dyDescent="0.45">
      <c r="B15" s="5" t="s">
        <v>172</v>
      </c>
      <c r="C15" s="5" t="s">
        <v>173</v>
      </c>
      <c r="D15" s="5">
        <v>1</v>
      </c>
      <c r="E15" s="64">
        <v>243.3</v>
      </c>
      <c r="F15" s="44">
        <f t="shared" si="0"/>
        <v>4.1666666666666664E-2</v>
      </c>
      <c r="G15" s="64">
        <f t="shared" si="1"/>
        <v>0.17125633648444991</v>
      </c>
      <c r="H15" s="5"/>
    </row>
    <row r="16" spans="2:10" x14ac:dyDescent="0.45">
      <c r="B16" s="5" t="s">
        <v>181</v>
      </c>
      <c r="C16" s="5" t="s">
        <v>182</v>
      </c>
      <c r="D16" s="5">
        <v>1</v>
      </c>
      <c r="E16" s="64">
        <v>176.12</v>
      </c>
      <c r="F16" s="44">
        <f t="shared" si="0"/>
        <v>4.1666666666666664E-2</v>
      </c>
      <c r="G16" s="64">
        <f t="shared" si="1"/>
        <v>0.23658111893406009</v>
      </c>
      <c r="H16" s="5"/>
    </row>
    <row r="17" spans="2:8" x14ac:dyDescent="0.45">
      <c r="B17" s="5" t="s">
        <v>183</v>
      </c>
      <c r="C17" s="5" t="s">
        <v>184</v>
      </c>
      <c r="D17" s="5">
        <v>1</v>
      </c>
      <c r="E17" s="64">
        <v>616.49</v>
      </c>
      <c r="F17" s="44">
        <f t="shared" si="0"/>
        <v>4.1666666666666664E-2</v>
      </c>
      <c r="G17" s="64">
        <f t="shared" si="1"/>
        <v>6.7586930309764412E-2</v>
      </c>
      <c r="H17" s="5"/>
    </row>
    <row r="18" spans="2:8" x14ac:dyDescent="0.45">
      <c r="B18" s="5" t="s">
        <v>187</v>
      </c>
      <c r="C18" s="5" t="s">
        <v>188</v>
      </c>
      <c r="D18" s="5">
        <v>1</v>
      </c>
      <c r="E18" s="64">
        <v>1579.58</v>
      </c>
      <c r="F18" s="44">
        <f t="shared" si="0"/>
        <v>4.1666666666666664E-2</v>
      </c>
      <c r="G18" s="64">
        <f t="shared" si="1"/>
        <v>2.6378319975352095E-2</v>
      </c>
      <c r="H18" s="5"/>
    </row>
    <row r="19" spans="2:8" x14ac:dyDescent="0.45">
      <c r="B19" s="5" t="s">
        <v>189</v>
      </c>
      <c r="C19" s="67" t="s">
        <v>190</v>
      </c>
      <c r="D19" s="5">
        <v>1</v>
      </c>
      <c r="E19" s="64">
        <v>473.44</v>
      </c>
      <c r="F19" s="44">
        <f t="shared" si="0"/>
        <v>4.1666666666666664E-2</v>
      </c>
      <c r="G19" s="64">
        <f t="shared" si="1"/>
        <v>8.8008336149600089E-2</v>
      </c>
      <c r="H19" s="5"/>
    </row>
    <row r="20" spans="2:8" x14ac:dyDescent="0.45">
      <c r="B20" s="5" t="s">
        <v>185</v>
      </c>
      <c r="C20" s="5" t="s">
        <v>186</v>
      </c>
      <c r="D20" s="5">
        <v>1</v>
      </c>
      <c r="E20" s="64">
        <v>430.71</v>
      </c>
      <c r="F20" s="44">
        <f t="shared" si="0"/>
        <v>4.1666666666666664E-2</v>
      </c>
      <c r="G20" s="64">
        <f t="shared" si="1"/>
        <v>9.6739492156361975E-2</v>
      </c>
      <c r="H20" s="5"/>
    </row>
    <row r="21" spans="2:8" x14ac:dyDescent="0.45">
      <c r="B21" s="5" t="s">
        <v>194</v>
      </c>
      <c r="C21" s="5"/>
      <c r="D21" s="5">
        <v>1</v>
      </c>
      <c r="E21" s="64">
        <v>751.2</v>
      </c>
      <c r="F21" s="44">
        <f t="shared" ref="F21:F25" si="2">1/$D$28</f>
        <v>4.1666666666666664E-2</v>
      </c>
      <c r="G21" s="64">
        <f t="shared" si="1"/>
        <v>5.5466808661696836E-2</v>
      </c>
      <c r="H21" s="5"/>
    </row>
    <row r="22" spans="2:8" x14ac:dyDescent="0.45">
      <c r="B22" s="5" t="s">
        <v>196</v>
      </c>
      <c r="C22" s="5"/>
      <c r="D22" s="5">
        <v>1</v>
      </c>
      <c r="E22" s="64">
        <v>175.82</v>
      </c>
      <c r="F22" s="44">
        <f t="shared" si="2"/>
        <v>4.1666666666666664E-2</v>
      </c>
      <c r="G22" s="64">
        <f t="shared" si="1"/>
        <v>0.23698479505554923</v>
      </c>
      <c r="H22" s="5"/>
    </row>
    <row r="23" spans="2:8" x14ac:dyDescent="0.45">
      <c r="B23" s="5" t="s">
        <v>196</v>
      </c>
      <c r="C23" s="5"/>
      <c r="D23" s="5">
        <v>1</v>
      </c>
      <c r="E23" s="64">
        <v>175.82</v>
      </c>
      <c r="F23" s="44">
        <f t="shared" si="2"/>
        <v>4.1666666666666664E-2</v>
      </c>
      <c r="G23" s="64">
        <f t="shared" si="1"/>
        <v>0.23698479505554923</v>
      </c>
      <c r="H23" s="5"/>
    </row>
    <row r="24" spans="2:8" x14ac:dyDescent="0.45">
      <c r="B24" s="5" t="s">
        <v>195</v>
      </c>
      <c r="C24" s="5"/>
      <c r="D24" s="5">
        <v>1</v>
      </c>
      <c r="E24" s="64">
        <v>206.33</v>
      </c>
      <c r="F24" s="44">
        <f t="shared" si="2"/>
        <v>4.1666666666666664E-2</v>
      </c>
      <c r="G24" s="64">
        <f t="shared" si="1"/>
        <v>0.20194187305126091</v>
      </c>
      <c r="H24" s="5"/>
    </row>
    <row r="25" spans="2:8" x14ac:dyDescent="0.45">
      <c r="B25" s="5" t="s">
        <v>193</v>
      </c>
      <c r="C25" s="5"/>
      <c r="D25" s="5">
        <v>1</v>
      </c>
      <c r="E25" s="64">
        <v>452.71</v>
      </c>
      <c r="F25" s="44">
        <f t="shared" si="2"/>
        <v>4.1666666666666664E-2</v>
      </c>
      <c r="G25" s="64">
        <f t="shared" si="1"/>
        <v>9.2038317392296759E-2</v>
      </c>
      <c r="H25" s="5"/>
    </row>
    <row r="26" spans="2:8" x14ac:dyDescent="0.45">
      <c r="B26" s="5" t="s">
        <v>191</v>
      </c>
      <c r="C26" s="67" t="s">
        <v>192</v>
      </c>
      <c r="D26" s="5">
        <v>1</v>
      </c>
      <c r="E26" s="64">
        <v>425.31</v>
      </c>
      <c r="F26" s="44">
        <f>1/$D$28</f>
        <v>4.1666666666666664E-2</v>
      </c>
      <c r="G26" s="64">
        <f t="shared" si="1"/>
        <v>9.7967756851864901E-2</v>
      </c>
      <c r="H26" s="5"/>
    </row>
    <row r="27" spans="2:8" x14ac:dyDescent="0.45">
      <c r="B27" s="5" t="s">
        <v>179</v>
      </c>
      <c r="C27" s="5" t="s">
        <v>180</v>
      </c>
      <c r="D27" s="5">
        <v>1</v>
      </c>
      <c r="E27" s="64">
        <v>797.2</v>
      </c>
      <c r="F27" s="44">
        <f>1/$D$28</f>
        <v>4.1666666666666664E-2</v>
      </c>
      <c r="G27" s="64">
        <f t="shared" si="1"/>
        <v>5.2266265261749455E-2</v>
      </c>
      <c r="H27" s="5"/>
    </row>
    <row r="28" spans="2:8" x14ac:dyDescent="0.45">
      <c r="B28" s="8" t="s">
        <v>17</v>
      </c>
      <c r="C28" s="11"/>
      <c r="D28">
        <f>SUM(D4:D27)</f>
        <v>24</v>
      </c>
      <c r="E28" s="44">
        <f>SUM(E4:E27)</f>
        <v>11951.239999999998</v>
      </c>
      <c r="F28" s="44">
        <f>SUM(F4:F27)</f>
        <v>0.99999999999999956</v>
      </c>
      <c r="G28" s="5"/>
      <c r="H28" s="5"/>
    </row>
    <row r="29" spans="2:8" x14ac:dyDescent="0.45">
      <c r="D29" s="9"/>
      <c r="E29" s="9"/>
      <c r="F29" s="9"/>
      <c r="G29" s="9"/>
      <c r="H29" s="9"/>
    </row>
  </sheetData>
  <hyperlinks>
    <hyperlink ref="C27" r:id="rId1" location="query=C54H84O4" tooltip="Find all compounds that have this formula" display="https://pubchem.ncbi.nlm.nih.gov/ - query=C54H84O4" xr:uid="{CF9F9BF0-CFC1-475F-8CEC-0CD842516203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902F-563B-4582-B54A-17DC48946435}">
  <dimension ref="A1:O32"/>
  <sheetViews>
    <sheetView workbookViewId="0">
      <selection activeCell="H15" sqref="H15"/>
    </sheetView>
  </sheetViews>
  <sheetFormatPr defaultRowHeight="14.25" x14ac:dyDescent="0.45"/>
  <cols>
    <col min="6" max="6" width="15.796875" customWidth="1"/>
    <col min="7" max="7" width="20.46484375" customWidth="1"/>
    <col min="8" max="8" width="12.6640625" customWidth="1"/>
  </cols>
  <sheetData>
    <row r="1" spans="1:15" ht="14.65" x14ac:dyDescent="0.5">
      <c r="A1" s="58"/>
      <c r="E1" s="60" t="s">
        <v>120</v>
      </c>
    </row>
    <row r="2" spans="1:15" x14ac:dyDescent="0.45">
      <c r="A2" t="s">
        <v>111</v>
      </c>
      <c r="M2" s="59" t="s">
        <v>116</v>
      </c>
    </row>
    <row r="3" spans="1:15" x14ac:dyDescent="0.45">
      <c r="A3" t="s">
        <v>112</v>
      </c>
    </row>
    <row r="4" spans="1:15" x14ac:dyDescent="0.45">
      <c r="A4" t="s">
        <v>113</v>
      </c>
    </row>
    <row r="5" spans="1:15" x14ac:dyDescent="0.45">
      <c r="A5" t="s">
        <v>114</v>
      </c>
    </row>
    <row r="6" spans="1:15" x14ac:dyDescent="0.45">
      <c r="A6" t="s">
        <v>115</v>
      </c>
    </row>
    <row r="7" spans="1:15" x14ac:dyDescent="0.45">
      <c r="A7" t="s">
        <v>121</v>
      </c>
    </row>
    <row r="8" spans="1:15" x14ac:dyDescent="0.45">
      <c r="A8" t="s">
        <v>122</v>
      </c>
    </row>
    <row r="9" spans="1:15" x14ac:dyDescent="0.45">
      <c r="A9" t="s">
        <v>123</v>
      </c>
    </row>
    <row r="10" spans="1:15" x14ac:dyDescent="0.45">
      <c r="G10" t="s">
        <v>208</v>
      </c>
      <c r="N10" t="s">
        <v>220</v>
      </c>
    </row>
    <row r="11" spans="1:15" x14ac:dyDescent="0.45">
      <c r="F11" s="44" t="s">
        <v>244</v>
      </c>
      <c r="G11" s="5" t="s">
        <v>150</v>
      </c>
      <c r="H11" s="41" t="s">
        <v>209</v>
      </c>
      <c r="M11" t="s">
        <v>216</v>
      </c>
      <c r="N11">
        <v>3.8700000000000002E-3</v>
      </c>
      <c r="O11">
        <f>N11/Total!$K$5</f>
        <v>3.4036650000000002</v>
      </c>
    </row>
    <row r="12" spans="1:15" x14ac:dyDescent="0.45">
      <c r="F12" t="s">
        <v>111</v>
      </c>
      <c r="G12">
        <v>1.4117088702261999E-3</v>
      </c>
      <c r="H12">
        <f>G12/Total!$K$9</f>
        <v>3.1039948784098569E-2</v>
      </c>
      <c r="M12" t="s">
        <v>217</v>
      </c>
      <c r="N12">
        <v>2.1796932107962098E-3</v>
      </c>
      <c r="O12">
        <f>N12/Total!$K$5</f>
        <v>1.9170401788952667</v>
      </c>
    </row>
    <row r="13" spans="1:15" x14ac:dyDescent="0.45">
      <c r="F13" t="s">
        <v>112</v>
      </c>
      <c r="G13" s="71">
        <v>9.8855254676355405E-6</v>
      </c>
      <c r="H13">
        <f>G13/Total!$K$9</f>
        <v>2.1735799121963645E-4</v>
      </c>
      <c r="M13" t="s">
        <v>218</v>
      </c>
      <c r="N13">
        <v>3.8700000000000002E-3</v>
      </c>
      <c r="O13">
        <f>N13/Total!$K$5</f>
        <v>3.4036650000000002</v>
      </c>
    </row>
    <row r="14" spans="1:15" x14ac:dyDescent="0.45">
      <c r="F14" t="s">
        <v>113</v>
      </c>
      <c r="G14">
        <v>7.8428270568121992E-3</v>
      </c>
      <c r="H14">
        <f>G14/Total!$K$9</f>
        <v>0.17244415991165823</v>
      </c>
      <c r="M14" t="s">
        <v>219</v>
      </c>
      <c r="N14">
        <v>2.1796932107962098E-3</v>
      </c>
      <c r="O14">
        <f>N14/Total!$K$5</f>
        <v>1.9170401788952667</v>
      </c>
    </row>
    <row r="15" spans="1:15" x14ac:dyDescent="0.45">
      <c r="F15" t="s">
        <v>114</v>
      </c>
      <c r="G15">
        <v>1.4340640514780499E-2</v>
      </c>
      <c r="H15">
        <f>G15/Total!$K$9</f>
        <v>0.31531483331873622</v>
      </c>
    </row>
    <row r="16" spans="1:15" x14ac:dyDescent="0.45">
      <c r="F16" t="s">
        <v>115</v>
      </c>
      <c r="G16">
        <v>3.5292721755654901E-4</v>
      </c>
      <c r="H16">
        <f>G16/Total!$K$9</f>
        <v>7.7599871960246213E-3</v>
      </c>
    </row>
    <row r="17" spans="6:8" x14ac:dyDescent="0.45">
      <c r="F17" t="s">
        <v>121</v>
      </c>
      <c r="G17">
        <v>5.0418173936649904E-4</v>
      </c>
      <c r="H17">
        <f>G17/Total!$K$9</f>
        <v>1.1085695994320898E-2</v>
      </c>
    </row>
    <row r="18" spans="6:8" x14ac:dyDescent="0.45">
      <c r="F18" t="s">
        <v>122</v>
      </c>
      <c r="G18">
        <v>3.0250904361989899E-4</v>
      </c>
      <c r="H18">
        <f>G18/Total!$K$9</f>
        <v>6.6514175965925286E-3</v>
      </c>
    </row>
    <row r="19" spans="6:8" x14ac:dyDescent="0.45">
      <c r="F19" t="s">
        <v>123</v>
      </c>
      <c r="G19">
        <v>5.5459991330314895E-4</v>
      </c>
      <c r="H19">
        <f>G19/Total!$K$9</f>
        <v>1.2194265593752987E-2</v>
      </c>
    </row>
    <row r="20" spans="6:8" x14ac:dyDescent="0.45">
      <c r="F20" t="s">
        <v>215</v>
      </c>
      <c r="G20">
        <v>6.5543626117644898E-4</v>
      </c>
      <c r="H20">
        <f>G20/Total!$K$9</f>
        <v>1.4411404792617171E-2</v>
      </c>
    </row>
    <row r="23" spans="6:8" x14ac:dyDescent="0.45">
      <c r="F23" s="44" t="s">
        <v>245</v>
      </c>
    </row>
    <row r="24" spans="6:8" x14ac:dyDescent="0.45">
      <c r="F24" t="s">
        <v>111</v>
      </c>
      <c r="G24" s="71">
        <v>2.2328774383212901E-7</v>
      </c>
      <c r="H24" s="71">
        <f>G24/Total!$K$9</f>
        <v>4.9095392675089368E-6</v>
      </c>
    </row>
    <row r="25" spans="6:8" x14ac:dyDescent="0.45">
      <c r="F25" t="s">
        <v>112</v>
      </c>
      <c r="G25" s="71">
        <v>1.9936405699297199E-7</v>
      </c>
      <c r="H25" s="71">
        <f>G25/Total!$K$9</f>
        <v>4.3835172031329718E-6</v>
      </c>
    </row>
    <row r="26" spans="6:8" x14ac:dyDescent="0.45">
      <c r="F26" t="s">
        <v>113</v>
      </c>
      <c r="G26">
        <v>2.0167269574660002E-2</v>
      </c>
      <c r="H26" s="71">
        <f>G26/Total!$K$9</f>
        <v>0.44342783977283678</v>
      </c>
    </row>
    <row r="27" spans="6:8" x14ac:dyDescent="0.45">
      <c r="F27" t="s">
        <v>114</v>
      </c>
      <c r="G27">
        <v>8.8250095475571992E-3</v>
      </c>
      <c r="H27" s="71">
        <f>G27/Total!$K$9</f>
        <v>0.19403989742691391</v>
      </c>
    </row>
    <row r="28" spans="6:8" x14ac:dyDescent="0.45">
      <c r="F28" t="s">
        <v>115</v>
      </c>
      <c r="G28" s="71">
        <v>5.5821935958032298E-8</v>
      </c>
      <c r="H28" s="71">
        <f>G28/Total!$K$9</f>
        <v>1.227384816877235E-6</v>
      </c>
    </row>
    <row r="29" spans="6:8" x14ac:dyDescent="0.45">
      <c r="F29" t="s">
        <v>121</v>
      </c>
      <c r="G29" s="71">
        <v>7.9745622797188999E-8</v>
      </c>
      <c r="H29" s="71">
        <f>G29/Total!$K$9</f>
        <v>1.7534068812531931E-6</v>
      </c>
    </row>
    <row r="30" spans="6:8" x14ac:dyDescent="0.45">
      <c r="F30" t="s">
        <v>122</v>
      </c>
      <c r="G30" s="71">
        <v>4.7847373678313402E-8</v>
      </c>
      <c r="H30" s="71">
        <f>G30/Total!$K$9</f>
        <v>1.0520441287519158E-6</v>
      </c>
    </row>
    <row r="31" spans="6:8" x14ac:dyDescent="0.45">
      <c r="F31" t="s">
        <v>123</v>
      </c>
      <c r="G31" s="71">
        <v>8.7720185076907895E-8</v>
      </c>
      <c r="H31" s="71">
        <f>G31/Total!$K$9</f>
        <v>1.9287475693785123E-6</v>
      </c>
    </row>
    <row r="32" spans="6:8" x14ac:dyDescent="0.45">
      <c r="F32" t="s">
        <v>215</v>
      </c>
      <c r="G32" s="71">
        <v>1.03669309636346E-7</v>
      </c>
      <c r="H32" s="71">
        <f>G32/Total!$K$9</f>
        <v>2.2794289456291579E-6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6A47-050E-45E2-A497-13628A00B663}">
  <dimension ref="B5:K25"/>
  <sheetViews>
    <sheetView workbookViewId="0">
      <selection activeCell="K13" sqref="K13"/>
    </sheetView>
  </sheetViews>
  <sheetFormatPr defaultRowHeight="14.25" x14ac:dyDescent="0.45"/>
  <sheetData>
    <row r="5" spans="2:11" x14ac:dyDescent="0.45">
      <c r="B5" t="s">
        <v>222</v>
      </c>
      <c r="C5">
        <v>1.9E-2</v>
      </c>
      <c r="D5">
        <f>C5/Total!K4</f>
        <v>4.1602904564315354E-2</v>
      </c>
    </row>
    <row r="6" spans="2:11" x14ac:dyDescent="0.45">
      <c r="B6" t="s">
        <v>223</v>
      </c>
    </row>
    <row r="7" spans="2:11" x14ac:dyDescent="0.45">
      <c r="B7" t="s">
        <v>224</v>
      </c>
    </row>
    <row r="8" spans="2:11" x14ac:dyDescent="0.45">
      <c r="B8" t="s">
        <v>225</v>
      </c>
    </row>
    <row r="9" spans="2:11" x14ac:dyDescent="0.45">
      <c r="B9" t="s">
        <v>226</v>
      </c>
    </row>
    <row r="10" spans="2:11" x14ac:dyDescent="0.45">
      <c r="B10" t="s">
        <v>227</v>
      </c>
    </row>
    <row r="11" spans="2:11" x14ac:dyDescent="0.45">
      <c r="B11" t="s">
        <v>228</v>
      </c>
      <c r="K11">
        <f>0.022/0.087</f>
        <v>0.25287356321839083</v>
      </c>
    </row>
    <row r="12" spans="2:11" x14ac:dyDescent="0.45">
      <c r="B12" t="s">
        <v>230</v>
      </c>
      <c r="K12">
        <f>0.077/0.04</f>
        <v>1.925</v>
      </c>
    </row>
    <row r="13" spans="2:11" x14ac:dyDescent="0.45">
      <c r="B13" t="s">
        <v>229</v>
      </c>
    </row>
    <row r="14" spans="2:11" x14ac:dyDescent="0.45">
      <c r="B14" t="s">
        <v>231</v>
      </c>
    </row>
    <row r="15" spans="2:11" x14ac:dyDescent="0.45">
      <c r="B15" t="s">
        <v>232</v>
      </c>
    </row>
    <row r="16" spans="2:11" x14ac:dyDescent="0.45">
      <c r="B16" t="s">
        <v>233</v>
      </c>
    </row>
    <row r="17" spans="2:2" x14ac:dyDescent="0.45">
      <c r="B17" t="s">
        <v>234</v>
      </c>
    </row>
    <row r="18" spans="2:2" x14ac:dyDescent="0.45">
      <c r="B18" t="s">
        <v>235</v>
      </c>
    </row>
    <row r="19" spans="2:2" x14ac:dyDescent="0.45">
      <c r="B19" t="s">
        <v>236</v>
      </c>
    </row>
    <row r="20" spans="2:2" x14ac:dyDescent="0.45">
      <c r="B20" t="s">
        <v>237</v>
      </c>
    </row>
    <row r="21" spans="2:2" x14ac:dyDescent="0.45">
      <c r="B21" t="s">
        <v>238</v>
      </c>
    </row>
    <row r="22" spans="2:2" x14ac:dyDescent="0.45">
      <c r="B22" t="s">
        <v>239</v>
      </c>
    </row>
    <row r="23" spans="2:2" x14ac:dyDescent="0.45">
      <c r="B23" t="s">
        <v>240</v>
      </c>
    </row>
    <row r="24" spans="2:2" x14ac:dyDescent="0.45">
      <c r="B24" t="s">
        <v>241</v>
      </c>
    </row>
    <row r="25" spans="2:2" x14ac:dyDescent="0.45">
      <c r="B25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Total</vt:lpstr>
      <vt:lpstr>RNA</vt:lpstr>
      <vt:lpstr>Carbohydrates</vt:lpstr>
      <vt:lpstr>FattyAcid</vt:lpstr>
      <vt:lpstr>Lipid</vt:lpstr>
      <vt:lpstr>Cofactor</vt:lpstr>
      <vt:lpstr>Pigments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Cunha</dc:creator>
  <cp:lastModifiedBy>Gonçalo Apolinário Cardoso</cp:lastModifiedBy>
  <dcterms:created xsi:type="dcterms:W3CDTF">2022-06-16T18:48:51Z</dcterms:created>
  <dcterms:modified xsi:type="dcterms:W3CDTF">2024-03-24T16:45:13Z</dcterms:modified>
</cp:coreProperties>
</file>