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ca\OneDrive\Documentos\GitHub\UC_projeto\"/>
    </mc:Choice>
  </mc:AlternateContent>
  <xr:revisionPtr revIDLastSave="0" documentId="13_ncr:1_{9BC1642D-6F73-46DE-813D-6A9753AE1F67}" xr6:coauthVersionLast="47" xr6:coauthVersionMax="47" xr10:uidLastSave="{00000000-0000-0000-0000-000000000000}"/>
  <bookViews>
    <workbookView xWindow="-108" yWindow="-108" windowWidth="23256" windowHeight="12576" activeTab="6" xr2:uid="{C94ABC85-F8B5-4533-8961-D8998B419AEF}"/>
  </bookViews>
  <sheets>
    <sheet name="Total" sheetId="2" r:id="rId1"/>
    <sheet name="RNA" sheetId="4" r:id="rId2"/>
    <sheet name="Carbohydrates" sheetId="3" r:id="rId3"/>
    <sheet name="FattyAcid" sheetId="8" r:id="rId4"/>
    <sheet name="Lipid" sheetId="6" r:id="rId5"/>
    <sheet name="Cofactor" sheetId="9" r:id="rId6"/>
    <sheet name="Pigment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6" l="1"/>
  <c r="F19" i="6"/>
  <c r="F20" i="6"/>
  <c r="F21" i="6"/>
  <c r="F22" i="6"/>
  <c r="F23" i="6"/>
  <c r="F24" i="6"/>
  <c r="F17" i="6"/>
  <c r="J5" i="4"/>
  <c r="M11" i="2" l="1"/>
  <c r="L11" i="2"/>
  <c r="N4" i="3"/>
  <c r="J6" i="3" l="1"/>
  <c r="J7" i="3"/>
  <c r="J17" i="3" s="1"/>
  <c r="J4" i="3"/>
  <c r="K4" i="3"/>
  <c r="K5" i="3"/>
  <c r="K6" i="3"/>
  <c r="K7" i="3"/>
  <c r="K9" i="3"/>
  <c r="K11" i="3"/>
  <c r="F9" i="3"/>
  <c r="F7" i="3"/>
  <c r="N13" i="3"/>
  <c r="J5" i="3" s="1"/>
  <c r="N5" i="3"/>
  <c r="N6" i="3"/>
  <c r="N7" i="3"/>
  <c r="N9" i="3"/>
  <c r="N11" i="3"/>
  <c r="M13" i="3"/>
  <c r="M5" i="3"/>
  <c r="M6" i="3"/>
  <c r="M7" i="3"/>
  <c r="M9" i="3"/>
  <c r="M11" i="3"/>
  <c r="M4" i="3"/>
  <c r="L9" i="3"/>
  <c r="L13" i="3" s="1"/>
  <c r="J14" i="4"/>
  <c r="J13" i="4"/>
  <c r="J6" i="4"/>
  <c r="J7" i="4"/>
  <c r="J8" i="4"/>
  <c r="K8" i="4"/>
  <c r="K11" i="2"/>
  <c r="K5" i="2"/>
  <c r="K6" i="2"/>
  <c r="K7" i="2"/>
  <c r="K8" i="2"/>
  <c r="K9" i="2"/>
  <c r="K10" i="2"/>
  <c r="K4" i="2"/>
  <c r="J11" i="2"/>
  <c r="J5" i="2"/>
  <c r="J6" i="2"/>
  <c r="J7" i="2"/>
  <c r="J8" i="2"/>
  <c r="J9" i="2"/>
  <c r="J10" i="2"/>
  <c r="J4" i="2"/>
  <c r="I11" i="2"/>
  <c r="F12" i="3"/>
  <c r="F10" i="3"/>
  <c r="F11" i="3"/>
  <c r="G13" i="3"/>
  <c r="G41" i="8"/>
  <c r="G40" i="8"/>
  <c r="G39" i="8"/>
  <c r="G38" i="8"/>
  <c r="G37" i="8"/>
  <c r="G36" i="8"/>
  <c r="G35" i="8"/>
  <c r="G34" i="8"/>
  <c r="G33" i="8"/>
  <c r="G31" i="8"/>
  <c r="G30" i="8"/>
  <c r="G28" i="8"/>
  <c r="G27" i="8"/>
  <c r="E28" i="8"/>
  <c r="E41" i="8"/>
  <c r="E40" i="8"/>
  <c r="E39" i="8"/>
  <c r="E38" i="8"/>
  <c r="E37" i="8"/>
  <c r="E36" i="8"/>
  <c r="E35" i="8"/>
  <c r="E34" i="8"/>
  <c r="E33" i="8"/>
  <c r="E32" i="8"/>
  <c r="G32" i="8" s="1"/>
  <c r="E31" i="8"/>
  <c r="E30" i="8"/>
  <c r="E29" i="8"/>
  <c r="E27" i="8"/>
  <c r="E26" i="8"/>
  <c r="E25" i="8"/>
  <c r="G25" i="8" s="1"/>
  <c r="E24" i="8"/>
  <c r="E23" i="8"/>
  <c r="G26" i="8"/>
  <c r="E22" i="8"/>
  <c r="G29" i="8"/>
  <c r="G24" i="8"/>
  <c r="G23" i="8"/>
  <c r="G22" i="8"/>
  <c r="H4" i="3"/>
  <c r="E13" i="3"/>
  <c r="H5" i="3"/>
  <c r="H6" i="3"/>
  <c r="H8" i="3"/>
  <c r="G8" i="8"/>
  <c r="G9" i="8"/>
  <c r="G10" i="8"/>
  <c r="G11" i="8"/>
  <c r="G12" i="8"/>
  <c r="G13" i="8"/>
  <c r="G7" i="8"/>
  <c r="J19" i="3" l="1"/>
  <c r="J9" i="3"/>
  <c r="J18" i="3"/>
  <c r="J11" i="3"/>
  <c r="F13" i="3"/>
  <c r="H13" i="3"/>
  <c r="E42" i="8"/>
  <c r="E14" i="8"/>
  <c r="I8" i="3" l="1"/>
  <c r="I6" i="3"/>
  <c r="I5" i="3"/>
  <c r="I4" i="3"/>
  <c r="I13" i="3" l="1"/>
  <c r="K13" i="3"/>
  <c r="J13" i="3"/>
</calcChain>
</file>

<file path=xl/sharedStrings.xml><?xml version="1.0" encoding="utf-8"?>
<sst xmlns="http://schemas.openxmlformats.org/spreadsheetml/2006/main" count="199" uniqueCount="161">
  <si>
    <t>Protein</t>
  </si>
  <si>
    <t>Macromolecule</t>
  </si>
  <si>
    <t>mol M /mol MM</t>
  </si>
  <si>
    <t>Cofactors</t>
  </si>
  <si>
    <t>e-RNA</t>
  </si>
  <si>
    <t>Lipid</t>
  </si>
  <si>
    <t>DNA</t>
  </si>
  <si>
    <t>RNA</t>
  </si>
  <si>
    <t>Reactants</t>
  </si>
  <si>
    <t>Products</t>
  </si>
  <si>
    <t>UDP</t>
  </si>
  <si>
    <t>Metabolite</t>
  </si>
  <si>
    <t>Chemical Formula</t>
  </si>
  <si>
    <t>MW (g/mol)</t>
  </si>
  <si>
    <t>C17H25N3O17P2</t>
  </si>
  <si>
    <t>UDP-glucose</t>
  </si>
  <si>
    <t>C15H22N2O17P2</t>
  </si>
  <si>
    <t>dTDP-L-rhamnose</t>
  </si>
  <si>
    <t>C16H24N2O15P2</t>
  </si>
  <si>
    <t>Total</t>
  </si>
  <si>
    <t>e-Exopolysaccharide</t>
  </si>
  <si>
    <t>C10H13N2O11P2</t>
  </si>
  <si>
    <t>C9H11N2O12P2</t>
  </si>
  <si>
    <t>H2O</t>
  </si>
  <si>
    <t>MW - dTDP or UDP or H2O (g/mol)</t>
  </si>
  <si>
    <r>
      <t>mol/mol</t>
    </r>
    <r>
      <rPr>
        <vertAlign val="subscript"/>
        <sz val="11"/>
        <color rgb="FF000000"/>
        <rFont val="Calibri"/>
        <family val="2"/>
        <scheme val="minor"/>
      </rPr>
      <t>e-RNA</t>
    </r>
  </si>
  <si>
    <t>MW - Diphosphate (g/mol)</t>
  </si>
  <si>
    <r>
      <t>g</t>
    </r>
    <r>
      <rPr>
        <vertAlign val="subscript"/>
        <sz val="11"/>
        <color rgb="FF000000"/>
        <rFont val="Calibri"/>
        <family val="2"/>
        <scheme val="minor"/>
      </rPr>
      <t>monomer</t>
    </r>
    <r>
      <rPr>
        <sz val="11"/>
        <color rgb="FF000000"/>
        <rFont val="Calibri"/>
        <family val="2"/>
        <scheme val="minor"/>
      </rPr>
      <t>/mol</t>
    </r>
    <r>
      <rPr>
        <vertAlign val="subscript"/>
        <sz val="11"/>
        <color rgb="FF000000"/>
        <rFont val="Calibri"/>
        <family val="2"/>
        <scheme val="minor"/>
      </rPr>
      <t>e-RNA</t>
    </r>
  </si>
  <si>
    <r>
      <t>g</t>
    </r>
    <r>
      <rPr>
        <vertAlign val="subscript"/>
        <sz val="11"/>
        <color rgb="FF000000"/>
        <rFont val="Calibri"/>
        <family val="2"/>
        <scheme val="minor"/>
      </rPr>
      <t>monomer</t>
    </r>
    <r>
      <rPr>
        <sz val="11"/>
        <color rgb="FF000000"/>
        <rFont val="Calibri"/>
        <family val="2"/>
        <scheme val="minor"/>
      </rPr>
      <t>/g</t>
    </r>
    <r>
      <rPr>
        <vertAlign val="subscript"/>
        <sz val="11"/>
        <color rgb="FF000000"/>
        <rFont val="Calibri"/>
        <family val="2"/>
        <scheme val="minor"/>
      </rPr>
      <t>e-RNA</t>
    </r>
  </si>
  <si>
    <r>
      <t>mmol</t>
    </r>
    <r>
      <rPr>
        <vertAlign val="subscript"/>
        <sz val="11"/>
        <color rgb="FF000000"/>
        <rFont val="Calibri"/>
        <family val="2"/>
        <scheme val="minor"/>
      </rPr>
      <t>monomer</t>
    </r>
    <r>
      <rPr>
        <sz val="11"/>
        <color rgb="FF000000"/>
        <rFont val="Calibri"/>
        <family val="2"/>
        <scheme val="minor"/>
      </rPr>
      <t>/g</t>
    </r>
    <r>
      <rPr>
        <vertAlign val="subscript"/>
        <sz val="11"/>
        <color rgb="FF000000"/>
        <rFont val="Calibri"/>
        <family val="2"/>
        <scheme val="minor"/>
      </rPr>
      <t>e-RNA</t>
    </r>
  </si>
  <si>
    <r>
      <t>mmol</t>
    </r>
    <r>
      <rPr>
        <vertAlign val="subscript"/>
        <sz val="11"/>
        <color rgb="FF000000"/>
        <rFont val="Calibri"/>
        <family val="2"/>
        <scheme val="minor"/>
      </rPr>
      <t>monomer</t>
    </r>
    <r>
      <rPr>
        <sz val="11"/>
        <color rgb="FF000000"/>
        <rFont val="Calibri"/>
        <family val="2"/>
        <scheme val="minor"/>
      </rPr>
      <t>/g</t>
    </r>
    <r>
      <rPr>
        <vertAlign val="subscript"/>
        <sz val="11"/>
        <color rgb="FF000000"/>
        <rFont val="Calibri"/>
        <family val="2"/>
        <scheme val="minor"/>
      </rPr>
      <t>DW</t>
    </r>
  </si>
  <si>
    <t>UTP</t>
  </si>
  <si>
    <t>C9H11N2O15P3</t>
  </si>
  <si>
    <t>GTP</t>
  </si>
  <si>
    <t>C10H12N5O14P3</t>
  </si>
  <si>
    <t>CTP</t>
  </si>
  <si>
    <t>C9H12N3O14P3</t>
  </si>
  <si>
    <t>ATP</t>
  </si>
  <si>
    <t>C10H12N5O13P3</t>
  </si>
  <si>
    <t>Diphosphate</t>
  </si>
  <si>
    <t>H1O7P2</t>
  </si>
  <si>
    <t>molar fraction</t>
  </si>
  <si>
    <r>
      <t>MW of Each Fatty Acid in the final Fatty Acid (g/mol</t>
    </r>
    <r>
      <rPr>
        <vertAlign val="subscript"/>
        <sz val="11"/>
        <color rgb="FF000000"/>
        <rFont val="Calibri"/>
        <family val="2"/>
        <scheme val="minor"/>
      </rPr>
      <t>Fatty Acid</t>
    </r>
    <r>
      <rPr>
        <sz val="11"/>
        <color rgb="FF000000"/>
        <rFont val="Calibri"/>
        <family val="2"/>
        <scheme val="minor"/>
      </rPr>
      <t>)</t>
    </r>
  </si>
  <si>
    <t>Octadecanoic acid</t>
  </si>
  <si>
    <t>C18H35O2</t>
  </si>
  <si>
    <t>Tridecanoic acid</t>
  </si>
  <si>
    <t>C13H25O2</t>
  </si>
  <si>
    <t>(9Z)-Octadecenoic acid</t>
  </si>
  <si>
    <t>C18H33O2</t>
  </si>
  <si>
    <t>Hexadecanoic acid</t>
  </si>
  <si>
    <t>C16H31O2</t>
  </si>
  <si>
    <t>Tetradecanoic acid</t>
  </si>
  <si>
    <t>C14H27O2</t>
  </si>
  <si>
    <t>(9Z)-Hexadecenoic acid</t>
  </si>
  <si>
    <t>C16H29O2</t>
  </si>
  <si>
    <t>(11E)-Octadecenoic acid</t>
  </si>
  <si>
    <r>
      <t>Average Fatty Acid (g</t>
    </r>
    <r>
      <rPr>
        <vertAlign val="subscript"/>
        <sz val="11"/>
        <color rgb="FF000000"/>
        <rFont val="Calibri"/>
        <family val="2"/>
        <scheme val="minor"/>
      </rPr>
      <t>Fatty Acid</t>
    </r>
    <r>
      <rPr>
        <sz val="11"/>
        <color rgb="FF000000"/>
        <rFont val="Calibri"/>
        <family val="2"/>
        <scheme val="minor"/>
      </rPr>
      <t xml:space="preserve"> /mol</t>
    </r>
    <r>
      <rPr>
        <vertAlign val="subscript"/>
        <sz val="11"/>
        <color rgb="FF000000"/>
        <rFont val="Calibri"/>
        <family val="2"/>
        <scheme val="minor"/>
      </rPr>
      <t>Fatty Acid</t>
    </r>
    <r>
      <rPr>
        <sz val="11"/>
        <color rgb="FF000000"/>
        <rFont val="Calibri"/>
        <family val="2"/>
        <scheme val="minor"/>
      </rPr>
      <t>)</t>
    </r>
  </si>
  <si>
    <t>Average Fatty Acid without CHO2 (gFatty Acid /molFatty Acid)</t>
  </si>
  <si>
    <t>mmol M / g MM</t>
  </si>
  <si>
    <t>g M / mol MM</t>
  </si>
  <si>
    <t>g M / g MM</t>
  </si>
  <si>
    <t>mmol M / gDW</t>
  </si>
  <si>
    <t>Carbohydrates</t>
  </si>
  <si>
    <t>Pigments</t>
  </si>
  <si>
    <r>
      <t>Insights into cell wall disintegration of </t>
    </r>
    <r>
      <rPr>
        <i/>
        <sz val="9"/>
        <color rgb="FF000000"/>
        <rFont val="Cambria"/>
        <family val="1"/>
      </rPr>
      <t>Chlorella vulgaris</t>
    </r>
  </si>
  <si>
    <t>Extraction lipids from chlorella vulgaris by supercritical CO2 for</t>
  </si>
  <si>
    <t>Myristic acid</t>
  </si>
  <si>
    <t>Pentadecanoic acid</t>
  </si>
  <si>
    <t>Palmitic acid</t>
  </si>
  <si>
    <t>Palmitoleic acid</t>
  </si>
  <si>
    <t>Margaric acid</t>
  </si>
  <si>
    <t>7,10-Hexadecadienoic acid</t>
  </si>
  <si>
    <t>Stearic acid</t>
  </si>
  <si>
    <t>Oleic acid</t>
  </si>
  <si>
    <t>5-Octadecenoic acid</t>
  </si>
  <si>
    <t>11-Octadecenoic acid</t>
  </si>
  <si>
    <t>Linoleic acid</t>
  </si>
  <si>
    <t>Nonadecylic acid</t>
  </si>
  <si>
    <t>Linolenic acid</t>
  </si>
  <si>
    <t>Arachidic acid</t>
  </si>
  <si>
    <t>9-Eicosenoic acid</t>
  </si>
  <si>
    <t>Eicosadienoic acid</t>
  </si>
  <si>
    <t>Homolinolenic acid</t>
  </si>
  <si>
    <t>Heneicosylic acid</t>
  </si>
  <si>
    <t>Arachidonic acid</t>
  </si>
  <si>
    <t>Behenic acid</t>
  </si>
  <si>
    <t>Comprehensive GCMS and LC-MS/MS Metabolite Profiling of Chlorella vulgaris</t>
  </si>
  <si>
    <t>Biomass and lipid productivities of Chlorella vulgaris under autotrophic, heterotrophic and mixotrophic growth conditions</t>
  </si>
  <si>
    <t>aminoacidos/pigmentos: https://onlinelibrary.wiley.com/doi/10.1111/raq.12320; Morphology, composition, production, processing and applications of chlorella vulgaris, a review</t>
  </si>
  <si>
    <t>Chlorella vulgaris, a microalgae important to be used in Biotechnology: a review</t>
  </si>
  <si>
    <t>mais % de AG: Lipid and fatty acid composition microalgae Chlorella vulgaris using photobioreactor and open pond; Comparison between several methods of total lipid extraction from Chlorella vulgaris biomass; Chlorella vulgaris, a microalgae important to be used in Biotechnology: a review</t>
  </si>
  <si>
    <t>Flux balance analysis of Chlorella sp. FC2 IITG
under photoautotrophic and heterotrophic growth conditions</t>
  </si>
  <si>
    <t xml:space="preserve">Flux balance analysis of Chlorella sp. FC2 IITG under photoautotrophic and heterotrophic growth conditions: </t>
  </si>
  <si>
    <t>50% mono-galactosildiacilglicerol, 20 % Di-galactosyl diacylglycerol, 10 % Sulfoquinovosyl diacylglycerol, 10 % Phosphatidyl glycerol, 5 % Phosphatidyl ethanolamine, and 5 % Phosphatidylinositol (clamidomonas)</t>
  </si>
  <si>
    <t>UDP-L-arabinose</t>
  </si>
  <si>
    <t>UDP-D-Xylose</t>
  </si>
  <si>
    <t>GDP-mannose</t>
  </si>
  <si>
    <t>β1-3 glucan</t>
  </si>
  <si>
    <t xml:space="preserve">Celulose </t>
  </si>
  <si>
    <t>Starch</t>
  </si>
  <si>
    <t>g M/ gDW</t>
  </si>
  <si>
    <t>C1800H3002O1501</t>
  </si>
  <si>
    <t>mass % (g MM/gDW) normalized</t>
  </si>
  <si>
    <t>-</t>
  </si>
  <si>
    <t>g M/ gDW (%)</t>
  </si>
  <si>
    <t>g M/ gDW (normalized)</t>
  </si>
  <si>
    <t>GDP</t>
  </si>
  <si>
    <t>UDP-alpha-D-galactose</t>
  </si>
  <si>
    <t>clam</t>
  </si>
  <si>
    <t>clorela</t>
  </si>
  <si>
    <t>Meu modelo</t>
  </si>
  <si>
    <t>Chlamydomonas</t>
  </si>
  <si>
    <t>Chlorella</t>
  </si>
  <si>
    <t>Lipids</t>
  </si>
  <si>
    <r>
      <t>Impact of Cultivation Condition and Media Content on</t>
    </r>
    <r>
      <rPr>
        <i/>
        <sz val="9"/>
        <color rgb="FF000000"/>
        <rFont val="Cambria"/>
        <family val="1"/>
      </rPr>
      <t>Chlorella vulgaris</t>
    </r>
    <r>
      <rPr>
        <sz val="9"/>
        <color rgb="FF000000"/>
        <rFont val="Cambria"/>
        <family val="1"/>
      </rPr>
      <t> Composition</t>
    </r>
  </si>
  <si>
    <t>bcaroteno</t>
  </si>
  <si>
    <t>lutein</t>
  </si>
  <si>
    <t>clorofilaA</t>
  </si>
  <si>
    <t>clorofilaB</t>
  </si>
  <si>
    <t>violoxantina</t>
  </si>
  <si>
    <t>7–12,000</t>
  </si>
  <si>
    <t>52–3830</t>
  </si>
  <si>
    <t>250–9630</t>
  </si>
  <si>
    <t>72–5770</t>
  </si>
  <si>
    <t>10–37</t>
  </si>
  <si>
    <t>orphology, composition, production, processing and applications of Chlorella vulgar</t>
  </si>
  <si>
    <t>Interrelationships between Fatty Acid Biosynthesis and Acyl-Lipid Synthesis in Chlorella vulgaris</t>
  </si>
  <si>
    <r>
      <t> triacylglycerol (</t>
    </r>
    <r>
      <rPr>
        <sz val="9"/>
        <color rgb="FF006FB7"/>
        <rFont val="Merriweather"/>
      </rPr>
      <t>TAG</t>
    </r>
    <r>
      <rPr>
        <sz val="9"/>
        <color rgb="FF2A2A2A"/>
        <rFont val="Merriweather"/>
      </rPr>
      <t>), phosphatidylglycerol (</t>
    </r>
    <r>
      <rPr>
        <sz val="9"/>
        <color rgb="FF006FB7"/>
        <rFont val="Merriweather"/>
      </rPr>
      <t>PG</t>
    </r>
    <r>
      <rPr>
        <sz val="9"/>
        <color rgb="FF2A2A2A"/>
        <rFont val="Merriweather"/>
      </rPr>
      <t>), phosphatidylinositol (</t>
    </r>
    <r>
      <rPr>
        <sz val="9"/>
        <color rgb="FF006FB7"/>
        <rFont val="Merriweather"/>
      </rPr>
      <t>PI</t>
    </r>
    <r>
      <rPr>
        <sz val="9"/>
        <color rgb="FF2A2A2A"/>
        <rFont val="Merriweather"/>
      </rPr>
      <t>), phosphatidylethanolamine (</t>
    </r>
    <r>
      <rPr>
        <sz val="9"/>
        <color rgb="FF006FB7"/>
        <rFont val="Merriweather"/>
      </rPr>
      <t>PE</t>
    </r>
    <r>
      <rPr>
        <sz val="9"/>
        <color rgb="FF2A2A2A"/>
        <rFont val="Merriweather"/>
      </rPr>
      <t>), sulfoquinovosyldiglycerol, monogalactosyldiglycerol (</t>
    </r>
    <r>
      <rPr>
        <sz val="9"/>
        <color rgb="FF006FB7"/>
        <rFont val="Merriweather"/>
      </rPr>
      <t>MGDG</t>
    </r>
    <r>
      <rPr>
        <sz val="9"/>
        <color rgb="FF2A2A2A"/>
        <rFont val="Merriweather"/>
      </rPr>
      <t>), digalactosyldiglycerol, and phosphatidylcholine</t>
    </r>
  </si>
  <si>
    <t>Total lipids are composed of three major fractions phospholipids (PL), glycolipids (GL) and neutral lipids (NL)</t>
  </si>
  <si>
    <t>α- and β-carotenes as well as the xanthophylls lutein, zeaxanthin, violaxanthin, and neoxanthin</t>
  </si>
  <si>
    <t>acaroteno</t>
  </si>
  <si>
    <t>zeaxantina</t>
  </si>
  <si>
    <t>neoxantina</t>
  </si>
  <si>
    <t># of Acyl Group</t>
  </si>
  <si>
    <t>mol M/mol MM</t>
  </si>
  <si>
    <t>MW of Core Structure (g/mol)</t>
  </si>
  <si>
    <r>
      <t>MW + Acyl group - CO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H (g/mol)</t>
    </r>
  </si>
  <si>
    <r>
      <t>g</t>
    </r>
    <r>
      <rPr>
        <vertAlign val="subscript"/>
        <sz val="11"/>
        <color rgb="FF000000"/>
        <rFont val="Calibri"/>
        <family val="2"/>
        <scheme val="minor"/>
      </rPr>
      <t xml:space="preserve"> M</t>
    </r>
    <r>
      <rPr>
        <sz val="11"/>
        <color rgb="FF000000"/>
        <rFont val="Calibri"/>
        <family val="2"/>
        <scheme val="minor"/>
      </rPr>
      <t>/mol</t>
    </r>
    <r>
      <rPr>
        <vertAlign val="subscript"/>
        <sz val="11"/>
        <color rgb="FF000000"/>
        <rFont val="Calibri"/>
        <family val="2"/>
        <scheme val="minor"/>
      </rPr>
      <t xml:space="preserve"> MM</t>
    </r>
  </si>
  <si>
    <r>
      <t>g</t>
    </r>
    <r>
      <rPr>
        <vertAlign val="subscript"/>
        <sz val="11"/>
        <color rgb="FF000000"/>
        <rFont val="Calibri"/>
        <family val="2"/>
        <scheme val="minor"/>
      </rPr>
      <t xml:space="preserve"> M</t>
    </r>
    <r>
      <rPr>
        <sz val="11"/>
        <color rgb="FF000000"/>
        <rFont val="Calibri"/>
        <family val="2"/>
        <scheme val="minor"/>
      </rPr>
      <t>/g</t>
    </r>
    <r>
      <rPr>
        <vertAlign val="subscript"/>
        <sz val="11"/>
        <color rgb="FF000000"/>
        <rFont val="Calibri"/>
        <family val="2"/>
        <scheme val="minor"/>
      </rPr>
      <t xml:space="preserve"> MM</t>
    </r>
  </si>
  <si>
    <r>
      <t>mmol</t>
    </r>
    <r>
      <rPr>
        <vertAlign val="subscript"/>
        <sz val="11"/>
        <color rgb="FF000000"/>
        <rFont val="Calibri"/>
        <family val="2"/>
        <scheme val="minor"/>
      </rPr>
      <t xml:space="preserve"> M</t>
    </r>
    <r>
      <rPr>
        <sz val="11"/>
        <color rgb="FF000000"/>
        <rFont val="Calibri"/>
        <family val="2"/>
        <scheme val="minor"/>
      </rPr>
      <t>/g</t>
    </r>
    <r>
      <rPr>
        <vertAlign val="subscript"/>
        <sz val="11"/>
        <color rgb="FF000000"/>
        <rFont val="Calibri"/>
        <family val="2"/>
        <scheme val="minor"/>
      </rPr>
      <t xml:space="preserve"> MM</t>
    </r>
  </si>
  <si>
    <t>1-Acyl-sn-glycero-3-phosphoglycerol</t>
  </si>
  <si>
    <t>C7H14O9PR</t>
  </si>
  <si>
    <t>3-D-Glucosyl-1,2-diacylglycerol</t>
  </si>
  <si>
    <t>C11H16O10R2</t>
  </si>
  <si>
    <t>Cardiolipin</t>
  </si>
  <si>
    <t>C13H16O17P2R4</t>
  </si>
  <si>
    <t>Diglucosyldiacylglycerol</t>
  </si>
  <si>
    <t>C17H26O15R2</t>
  </si>
  <si>
    <t>Phosphatidylglycerol</t>
  </si>
  <si>
    <t>C8H12O10PR2</t>
  </si>
  <si>
    <t>triacylglycerol </t>
  </si>
  <si>
    <t>phosphatidylglycerol </t>
  </si>
  <si>
    <t>phosphatidylinositol </t>
  </si>
  <si>
    <t>phosphatidylethanolamine </t>
  </si>
  <si>
    <t>sulfoquinovosyldiglycerol</t>
  </si>
  <si>
    <t>monogalactosyldiglycerol </t>
  </si>
  <si>
    <t>digalactosyldiglycerol</t>
  </si>
  <si>
    <t>phosphatidylcholine</t>
  </si>
  <si>
    <t>nº</t>
  </si>
  <si>
    <t>mmol M/gDW</t>
  </si>
  <si>
    <t>mmol M/g-Lipid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</si>
</sst>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Cambria"/>
      <family val="1"/>
    </font>
    <font>
      <i/>
      <sz val="9"/>
      <color rgb="FF000000"/>
      <name val="Cambria"/>
      <family val="1"/>
    </font>
    <font>
      <sz val="9"/>
      <color theme="1"/>
      <name val="Calibri"/>
      <family val="2"/>
      <scheme val="minor"/>
    </font>
    <font>
      <sz val="9"/>
      <color theme="1"/>
      <name val="Cambria"/>
      <family val="1"/>
    </font>
    <font>
      <sz val="9"/>
      <color rgb="FF222222"/>
      <name val="Arial"/>
      <family val="2"/>
    </font>
    <font>
      <b/>
      <sz val="11"/>
      <color theme="3"/>
      <name val="Calibri"/>
      <family val="2"/>
      <scheme val="minor"/>
    </font>
    <font>
      <sz val="8"/>
      <color rgb="FFD4D4D4"/>
      <name val="Consolas"/>
      <family val="3"/>
    </font>
    <font>
      <sz val="8"/>
      <name val="Calibri"/>
      <family val="2"/>
      <scheme val="minor"/>
    </font>
    <font>
      <sz val="8"/>
      <color rgb="FFFFFFFF"/>
      <name val="Roboto"/>
    </font>
    <font>
      <sz val="8"/>
      <color rgb="FFFF0000"/>
      <name val="Roboto"/>
    </font>
    <font>
      <sz val="9"/>
      <color rgb="FF2A2A2A"/>
      <name val="Merriweather"/>
    </font>
    <font>
      <sz val="9"/>
      <color rgb="FF006FB7"/>
      <name val="Merriweather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/>
    <xf numFmtId="0" fontId="2" fillId="0" borderId="0"/>
    <xf numFmtId="0" fontId="11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2" xfId="0" applyBorder="1" applyAlignment="1">
      <alignment wrapText="1"/>
    </xf>
    <xf numFmtId="0" fontId="0" fillId="0" borderId="2" xfId="0" applyBorder="1"/>
    <xf numFmtId="0" fontId="3" fillId="0" borderId="3" xfId="0" applyFont="1" applyBorder="1"/>
    <xf numFmtId="0" fontId="3" fillId="0" borderId="6" xfId="0" applyFont="1" applyBorder="1"/>
    <xf numFmtId="0" fontId="3" fillId="0" borderId="0" xfId="0" applyFont="1"/>
    <xf numFmtId="0" fontId="3" fillId="0" borderId="6" xfId="0" applyFont="1" applyBorder="1" applyAlignment="1">
      <alignment wrapText="1"/>
    </xf>
    <xf numFmtId="0" fontId="3" fillId="0" borderId="0" xfId="0" applyFont="1" applyAlignment="1">
      <alignment horizontal="right"/>
    </xf>
    <xf numFmtId="0" fontId="5" fillId="0" borderId="3" xfId="0" applyFont="1" applyBorder="1"/>
    <xf numFmtId="0" fontId="5" fillId="0" borderId="0" xfId="0" applyFont="1"/>
    <xf numFmtId="0" fontId="5" fillId="0" borderId="6" xfId="0" applyFont="1" applyBorder="1" applyAlignment="1">
      <alignment horizontal="right"/>
    </xf>
    <xf numFmtId="0" fontId="5" fillId="0" borderId="6" xfId="0" applyFont="1" applyBorder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3" fillId="3" borderId="6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5" fillId="0" borderId="5" xfId="0" applyFont="1" applyBorder="1"/>
    <xf numFmtId="0" fontId="3" fillId="3" borderId="0" xfId="0" applyFont="1" applyFill="1"/>
    <xf numFmtId="0" fontId="3" fillId="3" borderId="6" xfId="0" applyFont="1" applyFill="1" applyBorder="1"/>
    <xf numFmtId="0" fontId="3" fillId="0" borderId="5" xfId="0" applyFont="1" applyBorder="1" applyAlignment="1">
      <alignment horizontal="center" wrapText="1"/>
    </xf>
    <xf numFmtId="0" fontId="3" fillId="0" borderId="8" xfId="0" applyFont="1" applyBorder="1" applyAlignment="1">
      <alignment wrapText="1"/>
    </xf>
    <xf numFmtId="0" fontId="3" fillId="0" borderId="7" xfId="0" applyFont="1" applyBorder="1"/>
    <xf numFmtId="0" fontId="3" fillId="0" borderId="4" xfId="0" applyFont="1" applyBorder="1"/>
    <xf numFmtId="0" fontId="5" fillId="0" borderId="8" xfId="0" applyFont="1" applyBorder="1" applyAlignment="1">
      <alignment wrapText="1"/>
    </xf>
    <xf numFmtId="0" fontId="5" fillId="0" borderId="4" xfId="0" applyFont="1" applyBorder="1"/>
    <xf numFmtId="0" fontId="3" fillId="0" borderId="2" xfId="0" applyFont="1" applyBorder="1"/>
    <xf numFmtId="0" fontId="0" fillId="0" borderId="6" xfId="0" applyBorder="1"/>
    <xf numFmtId="0" fontId="3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2" xfId="0" applyBorder="1" applyAlignment="1">
      <alignment horizontal="center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0" fillId="5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3" fillId="4" borderId="0" xfId="0" applyFont="1" applyFill="1"/>
    <xf numFmtId="0" fontId="5" fillId="4" borderId="6" xfId="0" applyFont="1" applyFill="1" applyBorder="1"/>
    <xf numFmtId="0" fontId="3" fillId="6" borderId="0" xfId="0" applyFont="1" applyFill="1"/>
    <xf numFmtId="0" fontId="3" fillId="6" borderId="0" xfId="0" applyFont="1" applyFill="1" applyAlignment="1">
      <alignment horizontal="right"/>
    </xf>
    <xf numFmtId="0" fontId="0" fillId="6" borderId="2" xfId="0" applyFill="1" applyBorder="1"/>
    <xf numFmtId="0" fontId="0" fillId="6" borderId="0" xfId="0" applyFill="1"/>
    <xf numFmtId="0" fontId="0" fillId="4" borderId="2" xfId="0" applyFill="1" applyBorder="1"/>
    <xf numFmtId="0" fontId="0" fillId="0" borderId="0" xfId="0" applyAlignment="1">
      <alignment horizontal="center"/>
    </xf>
    <xf numFmtId="0" fontId="12" fillId="0" borderId="0" xfId="0" applyFont="1"/>
    <xf numFmtId="0" fontId="0" fillId="0" borderId="9" xfId="0" applyBorder="1"/>
    <xf numFmtId="0" fontId="0" fillId="0" borderId="10" xfId="0" applyBorder="1"/>
    <xf numFmtId="0" fontId="11" fillId="0" borderId="5" xfId="4" applyBorder="1" applyAlignment="1">
      <alignment horizontal="center"/>
    </xf>
    <xf numFmtId="0" fontId="11" fillId="0" borderId="12" xfId="4" applyBorder="1" applyAlignment="1">
      <alignment horizontal="center"/>
    </xf>
    <xf numFmtId="0" fontId="11" fillId="0" borderId="14" xfId="4" applyBorder="1" applyAlignment="1">
      <alignment horizontal="center"/>
    </xf>
    <xf numFmtId="0" fontId="11" fillId="0" borderId="11" xfId="4" applyBorder="1" applyAlignment="1">
      <alignment horizontal="center"/>
    </xf>
    <xf numFmtId="0" fontId="11" fillId="0" borderId="13" xfId="4" applyBorder="1" applyAlignment="1">
      <alignment horizontal="center"/>
    </xf>
    <xf numFmtId="0" fontId="3" fillId="0" borderId="0" xfId="0" applyFont="1" applyAlignment="1">
      <alignment wrapText="1"/>
    </xf>
    <xf numFmtId="0" fontId="3" fillId="7" borderId="0" xfId="0" applyFont="1" applyFill="1" applyAlignment="1">
      <alignment wrapText="1"/>
    </xf>
    <xf numFmtId="0" fontId="3" fillId="7" borderId="0" xfId="0" applyFont="1" applyFill="1"/>
    <xf numFmtId="0" fontId="5" fillId="8" borderId="0" xfId="0" applyFont="1" applyFill="1"/>
    <xf numFmtId="0" fontId="0" fillId="8" borderId="0" xfId="0" applyFill="1"/>
    <xf numFmtId="0" fontId="14" fillId="0" borderId="0" xfId="0" applyFont="1"/>
    <xf numFmtId="0" fontId="15" fillId="9" borderId="0" xfId="0" applyFont="1" applyFill="1"/>
    <xf numFmtId="0" fontId="16" fillId="0" borderId="0" xfId="0" applyFont="1"/>
    <xf numFmtId="0" fontId="3" fillId="0" borderId="3" xfId="0" applyFont="1" applyBorder="1" applyAlignment="1">
      <alignment wrapText="1"/>
    </xf>
    <xf numFmtId="11" fontId="3" fillId="3" borderId="0" xfId="0" applyNumberFormat="1" applyFont="1" applyFill="1"/>
    <xf numFmtId="0" fontId="1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5">
    <cellStyle name="Cabeçalho 4" xfId="4" builtinId="19"/>
    <cellStyle name="Normal" xfId="0" builtinId="0"/>
    <cellStyle name="Normal 2" xfId="2" xr:uid="{F665BA16-CB41-4BC3-86CF-16352D63B265}"/>
    <cellStyle name="Normal 2 2" xfId="3" xr:uid="{79D5EF3A-0454-4736-833D-21475C8FDCA4}"/>
    <cellStyle name="Total" xfId="1" builtinId="25" customBuiltin="1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A326D9-549C-4FE0-A743-4C2C6F18F866}" name="Tabela1" displayName="Tabela1" ref="C3:C10" totalsRowShown="0" headerRowBorderDxfId="11" tableBorderDxfId="10" totalsRowBorderDxfId="9">
  <autoFilter ref="C3:C10" xr:uid="{C0A326D9-549C-4FE0-A743-4C2C6F18F866}"/>
  <tableColumns count="1">
    <tableColumn id="1" xr3:uid="{429CE688-BA34-448A-AB5D-F078DCB8AF1C}" name="Macromolecule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73F385-4F02-40EC-A3F3-360ADD22E6F6}" name="Tabela13" displayName="Tabela13" ref="C22:F29" totalsRowShown="0" headerRowDxfId="7" headerRowBorderDxfId="6" tableBorderDxfId="5" totalsRowBorderDxfId="4" headerRowCellStyle="Cabeçalho 4">
  <tableColumns count="4">
    <tableColumn id="1" xr3:uid="{6ED0F374-CCAF-4A96-9540-A7DEFDA72FA7}" name="Macromolecule" dataDxfId="3" dataCellStyle="Cabeçalho 4"/>
    <tableColumn id="2" xr3:uid="{181E4C3A-F414-4FA5-AADB-ECFA39C769B4}" name="Meu modelo" dataDxfId="2" dataCellStyle="Normal">
      <calculatedColumnFormula>C23/$J$11</calculatedColumnFormula>
    </tableColumn>
    <tableColumn id="3" xr3:uid="{7280E299-5A9A-4088-B942-DD0FFF2BF63E}" name="Chlamydomonas" dataDxfId="1" dataCellStyle="Normal"/>
    <tableColumn id="4" xr3:uid="{C9EFF8A5-F9F4-45A2-942D-6E6B4A69360A}" name="Chlorella" dataDxfId="0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14426-0E01-4794-B053-81038EC004DE}">
  <dimension ref="C1:M29"/>
  <sheetViews>
    <sheetView topLeftCell="B1" workbookViewId="0">
      <selection activeCell="K7" sqref="K7"/>
    </sheetView>
  </sheetViews>
  <sheetFormatPr defaultRowHeight="14.4" x14ac:dyDescent="0.3"/>
  <cols>
    <col min="3" max="3" width="16.33203125" bestFit="1" customWidth="1"/>
    <col min="4" max="4" width="17.21875" customWidth="1"/>
    <col min="5" max="5" width="15.33203125" customWidth="1"/>
    <col min="6" max="6" width="13.33203125" customWidth="1"/>
    <col min="11" max="11" width="30.33203125" bestFit="1" customWidth="1"/>
  </cols>
  <sheetData>
    <row r="1" spans="3:13" ht="132.6" x14ac:dyDescent="0.3">
      <c r="D1" s="31" t="s">
        <v>64</v>
      </c>
      <c r="E1" s="31" t="s">
        <v>114</v>
      </c>
      <c r="F1" s="33" t="s">
        <v>65</v>
      </c>
      <c r="G1" s="32" t="s">
        <v>87</v>
      </c>
      <c r="H1" s="33" t="s">
        <v>89</v>
      </c>
      <c r="I1" s="37" t="s">
        <v>91</v>
      </c>
    </row>
    <row r="3" spans="3:13" x14ac:dyDescent="0.3">
      <c r="C3" s="50" t="s">
        <v>1</v>
      </c>
      <c r="D3" s="1"/>
      <c r="E3" s="2"/>
      <c r="F3" s="2"/>
      <c r="G3" s="2"/>
      <c r="H3" s="2"/>
      <c r="I3" s="2"/>
      <c r="K3" s="2" t="s">
        <v>102</v>
      </c>
      <c r="L3" t="s">
        <v>108</v>
      </c>
      <c r="M3" t="s">
        <v>109</v>
      </c>
    </row>
    <row r="4" spans="3:13" x14ac:dyDescent="0.3">
      <c r="C4" s="26" t="s">
        <v>0</v>
      </c>
      <c r="D4" s="35">
        <v>0.52</v>
      </c>
      <c r="E4" s="35">
        <v>0.54</v>
      </c>
      <c r="F4" s="35">
        <v>0.18</v>
      </c>
      <c r="G4" s="35">
        <v>0.37</v>
      </c>
      <c r="H4" s="35">
        <v>0.51</v>
      </c>
      <c r="I4" s="35">
        <v>0.28999999999999998</v>
      </c>
      <c r="J4">
        <f>AVERAGE(D4:I4)</f>
        <v>0.40166666666666667</v>
      </c>
      <c r="K4" s="40">
        <f>J4/$J$11</f>
        <v>0.45669888194049646</v>
      </c>
      <c r="L4" s="48">
        <v>0.46</v>
      </c>
      <c r="M4" s="48">
        <v>0.48</v>
      </c>
    </row>
    <row r="5" spans="3:13" x14ac:dyDescent="0.3">
      <c r="C5" s="26" t="s">
        <v>6</v>
      </c>
      <c r="D5" s="35"/>
      <c r="E5" s="35"/>
      <c r="F5" s="35"/>
      <c r="G5" s="35"/>
      <c r="H5" s="35"/>
      <c r="I5" s="35">
        <v>1E-3</v>
      </c>
      <c r="J5">
        <f t="shared" ref="J5:J10" si="0">AVERAGE(D5:I5)</f>
        <v>1E-3</v>
      </c>
      <c r="K5" s="40">
        <f t="shared" ref="K5:K10" si="1">J5/$J$11</f>
        <v>1.1370096645821489E-3</v>
      </c>
      <c r="L5" s="48">
        <v>3.0000000000000001E-3</v>
      </c>
      <c r="M5" s="48">
        <v>6.0000000000000001E-3</v>
      </c>
    </row>
    <row r="6" spans="3:13" x14ac:dyDescent="0.3">
      <c r="C6" s="26" t="s">
        <v>7</v>
      </c>
      <c r="D6" s="35"/>
      <c r="E6" s="35"/>
      <c r="F6" s="35"/>
      <c r="G6" s="35"/>
      <c r="H6" s="35"/>
      <c r="I6" s="35">
        <v>2.8000000000000001E-2</v>
      </c>
      <c r="J6">
        <f t="shared" si="0"/>
        <v>2.8000000000000001E-2</v>
      </c>
      <c r="K6" s="40">
        <f t="shared" si="1"/>
        <v>3.1836270608300167E-2</v>
      </c>
      <c r="L6" s="48">
        <v>8.6999999999999994E-2</v>
      </c>
      <c r="M6" s="48">
        <v>0.08</v>
      </c>
    </row>
    <row r="7" spans="3:13" x14ac:dyDescent="0.3">
      <c r="C7" s="26" t="s">
        <v>5</v>
      </c>
      <c r="D7" s="35">
        <v>0.09</v>
      </c>
      <c r="E7" s="35">
        <v>1.7999999999999999E-2</v>
      </c>
      <c r="F7" s="35">
        <v>0.35</v>
      </c>
      <c r="G7" s="35">
        <v>0.26</v>
      </c>
      <c r="H7" s="35">
        <v>0.12</v>
      </c>
      <c r="I7" s="35">
        <v>0.11</v>
      </c>
      <c r="J7">
        <f t="shared" si="0"/>
        <v>0.158</v>
      </c>
      <c r="K7" s="40">
        <f t="shared" si="1"/>
        <v>0.17964752700397951</v>
      </c>
      <c r="L7" s="48">
        <v>0.126</v>
      </c>
      <c r="M7" s="48">
        <v>0.16300000000000001</v>
      </c>
    </row>
    <row r="8" spans="3:13" x14ac:dyDescent="0.3">
      <c r="C8" s="26" t="s">
        <v>62</v>
      </c>
      <c r="D8" s="35">
        <v>0.09</v>
      </c>
      <c r="E8" s="35">
        <v>1.4999999999999999E-2</v>
      </c>
      <c r="F8" s="35">
        <v>0.39</v>
      </c>
      <c r="G8" s="35">
        <v>0.3</v>
      </c>
      <c r="H8" s="35">
        <v>0.12</v>
      </c>
      <c r="I8" s="35">
        <v>0.53</v>
      </c>
      <c r="J8">
        <f t="shared" si="0"/>
        <v>0.24083333333333332</v>
      </c>
      <c r="K8" s="40">
        <f t="shared" si="1"/>
        <v>0.27382982755353419</v>
      </c>
      <c r="L8" s="48">
        <v>0.29499999999999998</v>
      </c>
      <c r="M8" s="48">
        <v>0.248</v>
      </c>
    </row>
    <row r="9" spans="3:13" x14ac:dyDescent="0.3">
      <c r="C9" s="26" t="s">
        <v>63</v>
      </c>
      <c r="D9" s="35"/>
      <c r="E9" s="35"/>
      <c r="F9" s="35"/>
      <c r="G9" s="35"/>
      <c r="H9" s="35"/>
      <c r="I9" s="35">
        <v>0.04</v>
      </c>
      <c r="J9">
        <f t="shared" si="0"/>
        <v>0.04</v>
      </c>
      <c r="K9" s="40">
        <f t="shared" si="1"/>
        <v>4.5480386583285959E-2</v>
      </c>
      <c r="L9" s="48">
        <v>2.7E-2</v>
      </c>
      <c r="M9" s="48">
        <v>2.5999999999999999E-2</v>
      </c>
    </row>
    <row r="10" spans="3:13" x14ac:dyDescent="0.3">
      <c r="C10" s="51" t="s">
        <v>3</v>
      </c>
      <c r="D10" s="35"/>
      <c r="E10" s="35"/>
      <c r="F10" s="35"/>
      <c r="G10" s="35"/>
      <c r="H10" s="35"/>
      <c r="I10" s="35">
        <v>0.01</v>
      </c>
      <c r="J10">
        <f t="shared" si="0"/>
        <v>0.01</v>
      </c>
      <c r="K10" s="40">
        <f t="shared" si="1"/>
        <v>1.137009664582149E-2</v>
      </c>
      <c r="L10" s="48">
        <v>2E-3</v>
      </c>
      <c r="M10" s="48"/>
    </row>
    <row r="11" spans="3:13" x14ac:dyDescent="0.3">
      <c r="I11">
        <f>SUM(I4:I10)</f>
        <v>1.0090000000000001</v>
      </c>
      <c r="J11">
        <f>SUM(J4:J10)</f>
        <v>0.87950000000000006</v>
      </c>
      <c r="K11">
        <f>SUM(K4:K10)</f>
        <v>1</v>
      </c>
      <c r="L11">
        <f>SUM(L4:L10)</f>
        <v>1</v>
      </c>
      <c r="M11">
        <f>SUM(M4:M10)</f>
        <v>1.0029999999999999</v>
      </c>
    </row>
    <row r="15" spans="3:13" x14ac:dyDescent="0.3">
      <c r="C15" t="s">
        <v>88</v>
      </c>
    </row>
    <row r="19" spans="3:6" x14ac:dyDescent="0.3">
      <c r="F19" s="49"/>
    </row>
    <row r="21" spans="3:6" ht="9" customHeight="1" x14ac:dyDescent="0.3"/>
    <row r="22" spans="3:6" x14ac:dyDescent="0.3">
      <c r="C22" s="54" t="s">
        <v>1</v>
      </c>
      <c r="D22" s="55" t="s">
        <v>110</v>
      </c>
      <c r="E22" s="55" t="s">
        <v>111</v>
      </c>
      <c r="F22" s="56" t="s">
        <v>112</v>
      </c>
    </row>
    <row r="23" spans="3:6" x14ac:dyDescent="0.3">
      <c r="C23" s="52" t="s">
        <v>0</v>
      </c>
      <c r="D23" s="48">
        <v>0.45700000000000002</v>
      </c>
      <c r="E23" s="48">
        <v>0.46</v>
      </c>
      <c r="F23" s="48">
        <v>0.48</v>
      </c>
    </row>
    <row r="24" spans="3:6" x14ac:dyDescent="0.3">
      <c r="C24" s="52" t="s">
        <v>6</v>
      </c>
      <c r="D24" s="48">
        <v>1E-3</v>
      </c>
      <c r="E24" s="48">
        <v>3.0000000000000001E-3</v>
      </c>
      <c r="F24" s="48">
        <v>6.0000000000000001E-3</v>
      </c>
    </row>
    <row r="25" spans="3:6" x14ac:dyDescent="0.3">
      <c r="C25" s="52" t="s">
        <v>7</v>
      </c>
      <c r="D25" s="48">
        <v>3.2000000000000001E-2</v>
      </c>
      <c r="E25" s="48">
        <v>8.6999999999999994E-2</v>
      </c>
      <c r="F25" s="48">
        <v>0.08</v>
      </c>
    </row>
    <row r="26" spans="3:6" x14ac:dyDescent="0.3">
      <c r="C26" s="52" t="s">
        <v>113</v>
      </c>
      <c r="D26" s="48">
        <v>0.18</v>
      </c>
      <c r="E26" s="48">
        <v>0.126</v>
      </c>
      <c r="F26" s="48">
        <v>0.16300000000000001</v>
      </c>
    </row>
    <row r="27" spans="3:6" x14ac:dyDescent="0.3">
      <c r="C27" s="52" t="s">
        <v>62</v>
      </c>
      <c r="D27" s="48">
        <v>0.27400000000000002</v>
      </c>
      <c r="E27" s="48">
        <v>0.29499999999999998</v>
      </c>
      <c r="F27" s="48">
        <v>0.248</v>
      </c>
    </row>
    <row r="28" spans="3:6" x14ac:dyDescent="0.3">
      <c r="C28" s="52" t="s">
        <v>63</v>
      </c>
      <c r="D28" s="48">
        <v>4.4999999999999998E-2</v>
      </c>
      <c r="E28" s="48">
        <v>2.7E-2</v>
      </c>
      <c r="F28" s="48">
        <v>2.5999999999999999E-2</v>
      </c>
    </row>
    <row r="29" spans="3:6" x14ac:dyDescent="0.3">
      <c r="C29" s="53" t="s">
        <v>3</v>
      </c>
      <c r="D29" s="48">
        <v>1.0999999999999999E-2</v>
      </c>
      <c r="E29" s="48">
        <v>2E-3</v>
      </c>
      <c r="F29" s="48" t="s">
        <v>103</v>
      </c>
    </row>
  </sheetData>
  <phoneticPr fontId="13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57B6-A1EF-4773-B731-129917550A7D}">
  <dimension ref="C4:K14"/>
  <sheetViews>
    <sheetView workbookViewId="0">
      <selection activeCell="J6" sqref="J6"/>
    </sheetView>
  </sheetViews>
  <sheetFormatPr defaultRowHeight="14.4" x14ac:dyDescent="0.3"/>
  <cols>
    <col min="3" max="3" width="11.33203125" bestFit="1" customWidth="1"/>
    <col min="4" max="4" width="15.6640625" bestFit="1" customWidth="1"/>
    <col min="5" max="5" width="12" bestFit="1" customWidth="1"/>
    <col min="6" max="6" width="10.6640625" bestFit="1" customWidth="1"/>
    <col min="7" max="7" width="8.5546875" bestFit="1" customWidth="1"/>
    <col min="8" max="9" width="12" bestFit="1" customWidth="1"/>
    <col min="10" max="10" width="9" bestFit="1" customWidth="1"/>
    <col min="11" max="11" width="12" bestFit="1" customWidth="1"/>
  </cols>
  <sheetData>
    <row r="4" spans="3:11" ht="58.2" x14ac:dyDescent="0.35">
      <c r="C4" s="3" t="s">
        <v>11</v>
      </c>
      <c r="D4" s="4" t="s">
        <v>12</v>
      </c>
      <c r="E4" s="4" t="s">
        <v>25</v>
      </c>
      <c r="F4" s="4" t="s">
        <v>13</v>
      </c>
      <c r="G4" s="6" t="s">
        <v>26</v>
      </c>
      <c r="H4" s="6" t="s">
        <v>27</v>
      </c>
      <c r="I4" s="6" t="s">
        <v>28</v>
      </c>
      <c r="J4" s="14" t="s">
        <v>29</v>
      </c>
      <c r="K4" s="15" t="s">
        <v>30</v>
      </c>
    </row>
    <row r="5" spans="3:11" x14ac:dyDescent="0.3">
      <c r="C5" s="5" t="s">
        <v>31</v>
      </c>
      <c r="D5" s="5" t="s">
        <v>32</v>
      </c>
      <c r="E5" s="5">
        <v>0.208572954</v>
      </c>
      <c r="F5" s="5">
        <v>480.11</v>
      </c>
      <c r="G5" s="5">
        <v>305.16000000000003</v>
      </c>
      <c r="H5" s="5"/>
      <c r="I5" s="5"/>
      <c r="J5" s="41">
        <f>K5/Total!$K$6</f>
        <v>1.841158362329405</v>
      </c>
      <c r="K5" s="5">
        <v>5.8615615855853703E-2</v>
      </c>
    </row>
    <row r="6" spans="3:11" x14ac:dyDescent="0.3">
      <c r="C6" s="5" t="s">
        <v>33</v>
      </c>
      <c r="D6" s="5" t="s">
        <v>34</v>
      </c>
      <c r="E6" s="5">
        <v>0.30812833499999998</v>
      </c>
      <c r="F6" s="5">
        <v>519.15</v>
      </c>
      <c r="G6" s="5">
        <v>344.2</v>
      </c>
      <c r="H6" s="5"/>
      <c r="I6" s="5"/>
      <c r="J6" s="41">
        <f>K6/Total!$K$6</f>
        <v>3.2731704219189588</v>
      </c>
      <c r="K6" s="5">
        <v>0.104205539299296</v>
      </c>
    </row>
    <row r="7" spans="3:11" x14ac:dyDescent="0.3">
      <c r="C7" s="5" t="s">
        <v>35</v>
      </c>
      <c r="D7" s="5" t="s">
        <v>36</v>
      </c>
      <c r="E7" s="5">
        <v>0.22450176899999999</v>
      </c>
      <c r="F7" s="5">
        <v>479.12</v>
      </c>
      <c r="G7" s="5">
        <v>304.17</v>
      </c>
      <c r="H7" s="5"/>
      <c r="I7" s="5"/>
      <c r="J7" s="41">
        <f>K7/Total!$K$6</f>
        <v>3.2731704219189588</v>
      </c>
      <c r="K7" s="5">
        <v>0.104205539299296</v>
      </c>
    </row>
    <row r="8" spans="3:11" x14ac:dyDescent="0.3">
      <c r="C8" s="5" t="s">
        <v>37</v>
      </c>
      <c r="D8" s="5" t="s">
        <v>38</v>
      </c>
      <c r="E8" s="5">
        <v>0.26192378599999999</v>
      </c>
      <c r="F8" s="5">
        <v>503.15</v>
      </c>
      <c r="G8" s="5">
        <v>328.2</v>
      </c>
      <c r="H8" s="5"/>
      <c r="I8" s="5"/>
      <c r="J8" s="41">
        <f>K8/Total!$K$6</f>
        <v>1.841158362329405</v>
      </c>
      <c r="K8" s="5">
        <f>K5</f>
        <v>5.8615615855853703E-2</v>
      </c>
    </row>
    <row r="9" spans="3:11" x14ac:dyDescent="0.3">
      <c r="C9" s="8" t="s">
        <v>19</v>
      </c>
      <c r="D9" s="4"/>
      <c r="E9" s="11">
        <v>1</v>
      </c>
      <c r="F9" s="11">
        <v>1981.53</v>
      </c>
      <c r="G9" s="11">
        <v>1281.73</v>
      </c>
      <c r="H9" s="11">
        <v>323.95598539999997</v>
      </c>
      <c r="I9" s="11">
        <v>1</v>
      </c>
      <c r="J9" s="42">
        <v>3.0992860000000002</v>
      </c>
      <c r="K9" s="16">
        <v>0.33162360200000002</v>
      </c>
    </row>
    <row r="10" spans="3:11" x14ac:dyDescent="0.3">
      <c r="C10" s="9"/>
      <c r="D10" s="5"/>
      <c r="E10" s="9"/>
      <c r="F10" s="9"/>
      <c r="G10" s="9"/>
      <c r="H10" s="9"/>
      <c r="I10" s="9"/>
      <c r="J10" s="9"/>
      <c r="K10" s="9"/>
    </row>
    <row r="11" spans="3:11" x14ac:dyDescent="0.3">
      <c r="C11" s="5"/>
      <c r="D11" s="5"/>
      <c r="E11" s="5"/>
      <c r="F11" s="5"/>
      <c r="G11" s="5"/>
      <c r="H11" s="5"/>
      <c r="I11" s="5"/>
      <c r="J11" s="5"/>
      <c r="K11" s="5"/>
    </row>
    <row r="12" spans="3:11" x14ac:dyDescent="0.3">
      <c r="C12" s="5" t="s">
        <v>4</v>
      </c>
      <c r="D12" s="13"/>
      <c r="E12" s="13"/>
      <c r="F12" s="13"/>
      <c r="G12" s="13"/>
      <c r="H12" s="13"/>
      <c r="I12" s="13"/>
      <c r="J12" s="5">
        <v>1</v>
      </c>
      <c r="K12" s="5">
        <v>0.107</v>
      </c>
    </row>
    <row r="13" spans="3:11" x14ac:dyDescent="0.3">
      <c r="C13" s="5" t="s">
        <v>39</v>
      </c>
      <c r="D13" s="5" t="s">
        <v>40</v>
      </c>
      <c r="E13" s="13"/>
      <c r="F13" s="5">
        <v>174.95</v>
      </c>
      <c r="G13" s="13"/>
      <c r="H13" s="5">
        <v>177.98</v>
      </c>
      <c r="I13" s="5">
        <v>0.54939562200000003</v>
      </c>
      <c r="J13" s="5">
        <f>J9</f>
        <v>3.0992860000000002</v>
      </c>
      <c r="K13" s="5">
        <v>0.33162403000000001</v>
      </c>
    </row>
    <row r="14" spans="3:11" x14ac:dyDescent="0.3">
      <c r="C14" s="8" t="s">
        <v>19</v>
      </c>
      <c r="D14" s="4"/>
      <c r="E14" s="11"/>
      <c r="F14" s="11">
        <v>174.95</v>
      </c>
      <c r="G14" s="11"/>
      <c r="H14" s="11"/>
      <c r="I14" s="11"/>
      <c r="J14" s="11">
        <f>SUM(J12:J13)</f>
        <v>4.0992860000000002</v>
      </c>
      <c r="K14" s="16">
        <v>0.43862403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C14B-2632-499D-AF67-BE6A7C66612E}">
  <dimension ref="B3:N20"/>
  <sheetViews>
    <sheetView topLeftCell="B1" workbookViewId="0">
      <selection activeCell="E32" sqref="E32"/>
    </sheetView>
  </sheetViews>
  <sheetFormatPr defaultRowHeight="14.4" x14ac:dyDescent="0.3"/>
  <cols>
    <col min="3" max="3" width="26.88671875" bestFit="1" customWidth="1"/>
    <col min="4" max="4" width="15.6640625" bestFit="1" customWidth="1"/>
    <col min="5" max="5" width="10.6640625" bestFit="1" customWidth="1"/>
    <col min="6" max="6" width="29.5546875" bestFit="1" customWidth="1"/>
    <col min="7" max="7" width="14.44140625" bestFit="1" customWidth="1"/>
    <col min="8" max="8" width="12.5546875" bestFit="1" customWidth="1"/>
    <col min="9" max="9" width="10.33203125" bestFit="1" customWidth="1"/>
    <col min="10" max="10" width="14.33203125" bestFit="1" customWidth="1"/>
    <col min="11" max="11" width="13.44140625" bestFit="1" customWidth="1"/>
    <col min="12" max="12" width="13.109375" bestFit="1" customWidth="1"/>
    <col min="13" max="13" width="9.5546875" bestFit="1" customWidth="1"/>
    <col min="14" max="14" width="21.88671875" bestFit="1" customWidth="1"/>
  </cols>
  <sheetData>
    <row r="3" spans="2:14" x14ac:dyDescent="0.3">
      <c r="C3" s="3" t="s">
        <v>11</v>
      </c>
      <c r="D3" s="4" t="s">
        <v>12</v>
      </c>
      <c r="E3" s="4" t="s">
        <v>13</v>
      </c>
      <c r="F3" s="27" t="s">
        <v>24</v>
      </c>
      <c r="G3" s="27" t="s">
        <v>2</v>
      </c>
      <c r="H3" s="28" t="s">
        <v>59</v>
      </c>
      <c r="I3" s="28" t="s">
        <v>60</v>
      </c>
      <c r="J3" s="29" t="s">
        <v>58</v>
      </c>
      <c r="K3" s="30" t="s">
        <v>61</v>
      </c>
      <c r="L3" s="39" t="s">
        <v>104</v>
      </c>
      <c r="M3" s="39" t="s">
        <v>100</v>
      </c>
      <c r="N3" s="39" t="s">
        <v>105</v>
      </c>
    </row>
    <row r="4" spans="2:14" x14ac:dyDescent="0.3">
      <c r="B4" s="71" t="s">
        <v>8</v>
      </c>
      <c r="C4" s="5" t="s">
        <v>94</v>
      </c>
      <c r="D4" s="7" t="s">
        <v>14</v>
      </c>
      <c r="E4" s="7">
        <v>605.34</v>
      </c>
      <c r="F4" s="5">
        <v>186.18</v>
      </c>
      <c r="G4" s="5">
        <v>1</v>
      </c>
      <c r="H4" s="2">
        <f>G4*F4</f>
        <v>186.18</v>
      </c>
      <c r="I4" s="2">
        <f>H4/$H$13</f>
        <v>0.20762102305041652</v>
      </c>
      <c r="J4" s="47">
        <f>K4/$N$13</f>
        <v>0.14122731991699064</v>
      </c>
      <c r="K4" s="2">
        <f>M4/F4*1000</f>
        <v>3.8672252658717363E-2</v>
      </c>
      <c r="L4">
        <v>0.72</v>
      </c>
      <c r="M4">
        <f>L4/100</f>
        <v>7.1999999999999998E-3</v>
      </c>
      <c r="N4">
        <f>M4*Total!$K$8/Carbohydrates!$M$13</f>
        <v>1.0464834174020417E-2</v>
      </c>
    </row>
    <row r="5" spans="2:14" x14ac:dyDescent="0.3">
      <c r="B5" s="71"/>
      <c r="C5" s="5" t="s">
        <v>95</v>
      </c>
      <c r="D5" s="7" t="s">
        <v>16</v>
      </c>
      <c r="E5" s="7">
        <v>564.29</v>
      </c>
      <c r="F5" s="5">
        <v>436.29</v>
      </c>
      <c r="G5" s="5">
        <v>1</v>
      </c>
      <c r="H5" s="2">
        <f t="shared" ref="H5:H6" si="0">G5*F5</f>
        <v>436.29</v>
      </c>
      <c r="I5" s="2">
        <f>H5/$H$13</f>
        <v>0.48653440835033956</v>
      </c>
      <c r="J5" s="47">
        <f t="shared" ref="J5:J11" si="1">K5/$N$13</f>
        <v>4.7711035666334424E-2</v>
      </c>
      <c r="K5" s="2">
        <f t="shared" ref="K5:K9" si="2">M5/F5*1000</f>
        <v>1.3064704668912876E-2</v>
      </c>
      <c r="L5">
        <v>0.56999999999999995</v>
      </c>
      <c r="M5">
        <f t="shared" ref="M5:M11" si="3">L5/100</f>
        <v>5.6999999999999993E-3</v>
      </c>
      <c r="N5">
        <f>M5*Total!$K$8/Carbohydrates!$M$13</f>
        <v>8.2846603877661604E-3</v>
      </c>
    </row>
    <row r="6" spans="2:14" x14ac:dyDescent="0.3">
      <c r="B6" s="71"/>
      <c r="C6" s="5" t="s">
        <v>107</v>
      </c>
      <c r="D6" s="7" t="s">
        <v>16</v>
      </c>
      <c r="E6" s="7">
        <v>564.29</v>
      </c>
      <c r="F6" s="5">
        <v>145.13</v>
      </c>
      <c r="G6" s="5">
        <v>1</v>
      </c>
      <c r="H6" s="2">
        <f t="shared" si="0"/>
        <v>145.13</v>
      </c>
      <c r="I6" s="2">
        <f>H6/$H$13</f>
        <v>0.16184358725591871</v>
      </c>
      <c r="J6" s="47">
        <f t="shared" si="1"/>
        <v>1.0971058759632515</v>
      </c>
      <c r="K6" s="2">
        <f t="shared" si="2"/>
        <v>0.30042031282298631</v>
      </c>
      <c r="L6">
        <v>4.3600000000000003</v>
      </c>
      <c r="M6">
        <f t="shared" si="3"/>
        <v>4.36E-2</v>
      </c>
      <c r="N6">
        <f>M6*Total!$K$8/Carbohydrates!$M$13</f>
        <v>6.337038472045696E-2</v>
      </c>
    </row>
    <row r="7" spans="2:14" x14ac:dyDescent="0.3">
      <c r="B7" s="71"/>
      <c r="C7" s="5" t="s">
        <v>96</v>
      </c>
      <c r="D7" s="7"/>
      <c r="E7" s="7">
        <v>605.34109999999998</v>
      </c>
      <c r="F7" s="5">
        <f>E7-E17-E19</f>
        <v>144.12109999999998</v>
      </c>
      <c r="G7" s="5">
        <v>1</v>
      </c>
      <c r="H7" s="2"/>
      <c r="I7" s="2"/>
      <c r="J7" s="47">
        <f t="shared" si="1"/>
        <v>0.17230607576871526</v>
      </c>
      <c r="K7" s="2">
        <f t="shared" si="2"/>
        <v>4.7182543014173503E-2</v>
      </c>
      <c r="L7">
        <v>0.68</v>
      </c>
      <c r="M7">
        <f t="shared" si="3"/>
        <v>6.8000000000000005E-3</v>
      </c>
      <c r="N7">
        <f>M7*Total!$K$8/Carbohydrates!$M$13</f>
        <v>9.8834544976859496E-3</v>
      </c>
    </row>
    <row r="8" spans="2:14" x14ac:dyDescent="0.3">
      <c r="B8" s="71"/>
      <c r="C8" s="43" t="s">
        <v>17</v>
      </c>
      <c r="D8" s="44" t="s">
        <v>18</v>
      </c>
      <c r="E8" s="44">
        <v>546.30999999999995</v>
      </c>
      <c r="F8" s="43">
        <v>129.13</v>
      </c>
      <c r="G8" s="43">
        <v>1</v>
      </c>
      <c r="H8" s="45">
        <f>G8*F8</f>
        <v>129.13</v>
      </c>
      <c r="I8" s="45">
        <f>H8/$H$13</f>
        <v>0.14400098134332517</v>
      </c>
      <c r="J8" s="47"/>
      <c r="K8" s="2"/>
      <c r="L8" s="46" t="s">
        <v>103</v>
      </c>
      <c r="M8" t="s">
        <v>103</v>
      </c>
    </row>
    <row r="9" spans="2:14" x14ac:dyDescent="0.3">
      <c r="B9" s="71"/>
      <c r="C9" s="5" t="s">
        <v>15</v>
      </c>
      <c r="D9" s="7"/>
      <c r="E9" s="7">
        <v>566.30179999999996</v>
      </c>
      <c r="F9" s="5">
        <f>E9-E18-E19</f>
        <v>147.14179999999996</v>
      </c>
      <c r="G9" s="5">
        <v>1</v>
      </c>
      <c r="H9" s="2"/>
      <c r="I9" s="2"/>
      <c r="J9" s="47">
        <f t="shared" si="1"/>
        <v>2.4595566903212891</v>
      </c>
      <c r="K9" s="2">
        <f t="shared" si="2"/>
        <v>0.67349998436881997</v>
      </c>
      <c r="L9">
        <f>12.51-L11</f>
        <v>9.91</v>
      </c>
      <c r="M9">
        <f t="shared" si="3"/>
        <v>9.9100000000000008E-2</v>
      </c>
      <c r="N9">
        <f>M9*Total!$K$8/Carbohydrates!$M$13</f>
        <v>0.14403681481186434</v>
      </c>
    </row>
    <row r="10" spans="2:14" x14ac:dyDescent="0.3">
      <c r="B10" s="71"/>
      <c r="C10" s="43" t="s">
        <v>97</v>
      </c>
      <c r="D10" s="44"/>
      <c r="E10" s="44"/>
      <c r="F10" s="43">
        <f>E10</f>
        <v>0</v>
      </c>
      <c r="G10" s="43">
        <v>1</v>
      </c>
      <c r="H10" s="45"/>
      <c r="I10" s="45"/>
      <c r="J10" s="47"/>
      <c r="K10" s="2"/>
      <c r="L10" s="46" t="s">
        <v>103</v>
      </c>
      <c r="M10" t="s">
        <v>103</v>
      </c>
    </row>
    <row r="11" spans="2:14" x14ac:dyDescent="0.3">
      <c r="B11" s="71"/>
      <c r="C11" s="5" t="s">
        <v>99</v>
      </c>
      <c r="D11" s="7" t="s">
        <v>101</v>
      </c>
      <c r="E11" s="7">
        <v>48660.2</v>
      </c>
      <c r="F11" s="5">
        <f>E11</f>
        <v>48660.2</v>
      </c>
      <c r="G11" s="5">
        <v>1</v>
      </c>
      <c r="H11" s="2"/>
      <c r="I11" s="2"/>
      <c r="J11" s="47">
        <f t="shared" si="1"/>
        <v>1.9512760113780485E-3</v>
      </c>
      <c r="K11" s="2">
        <f>M11/F11*1000</f>
        <v>5.3431757370499917E-4</v>
      </c>
      <c r="L11">
        <v>2.6</v>
      </c>
      <c r="M11">
        <f t="shared" si="3"/>
        <v>2.6000000000000002E-2</v>
      </c>
      <c r="N11">
        <f>M11*Total!$K$8/Carbohydrates!$M$13</f>
        <v>3.7789678961740396E-2</v>
      </c>
    </row>
    <row r="12" spans="2:14" x14ac:dyDescent="0.3">
      <c r="B12" s="71"/>
      <c r="C12" s="43" t="s">
        <v>98</v>
      </c>
      <c r="D12" s="44"/>
      <c r="E12" s="44"/>
      <c r="F12" s="43">
        <f>E12</f>
        <v>0</v>
      </c>
      <c r="G12" s="43">
        <v>1</v>
      </c>
      <c r="H12" s="45"/>
      <c r="I12" s="45"/>
      <c r="J12" s="47"/>
      <c r="K12" s="2"/>
      <c r="L12" s="46" t="s">
        <v>103</v>
      </c>
      <c r="M12" t="s">
        <v>103</v>
      </c>
    </row>
    <row r="13" spans="2:14" x14ac:dyDescent="0.3">
      <c r="B13" s="71"/>
      <c r="C13" s="8" t="s">
        <v>19</v>
      </c>
      <c r="D13" s="10"/>
      <c r="E13" s="2">
        <f t="shared" ref="E13:N13" si="4">SUM(E4:E12)</f>
        <v>52112.072899999999</v>
      </c>
      <c r="F13" s="2">
        <f t="shared" si="4"/>
        <v>49848.192899999995</v>
      </c>
      <c r="G13" s="2">
        <f t="shared" si="4"/>
        <v>9</v>
      </c>
      <c r="H13" s="2">
        <f t="shared" si="4"/>
        <v>896.73</v>
      </c>
      <c r="I13" s="2">
        <f t="shared" si="4"/>
        <v>1</v>
      </c>
      <c r="J13" s="2">
        <f t="shared" si="4"/>
        <v>3.919858273647959</v>
      </c>
      <c r="K13" s="2">
        <f t="shared" si="4"/>
        <v>1.0733741151073148</v>
      </c>
      <c r="L13" s="2">
        <f t="shared" si="4"/>
        <v>18.840000000000003</v>
      </c>
      <c r="M13" s="2">
        <f t="shared" si="4"/>
        <v>0.18839999999999998</v>
      </c>
      <c r="N13" s="2">
        <f t="shared" si="4"/>
        <v>0.27382982755353424</v>
      </c>
    </row>
    <row r="14" spans="2:14" x14ac:dyDescent="0.3">
      <c r="C14" s="5"/>
      <c r="D14" s="7"/>
      <c r="E14" s="7"/>
      <c r="F14" s="5"/>
      <c r="G14" s="5"/>
    </row>
    <row r="15" spans="2:14" x14ac:dyDescent="0.3">
      <c r="C15" s="5"/>
      <c r="D15" s="7"/>
      <c r="E15" s="7"/>
      <c r="F15" s="5"/>
      <c r="G15" s="5"/>
    </row>
    <row r="16" spans="2:14" x14ac:dyDescent="0.3">
      <c r="B16" s="71" t="s">
        <v>9</v>
      </c>
      <c r="C16" s="5" t="s">
        <v>20</v>
      </c>
      <c r="D16" s="12"/>
      <c r="E16" s="12"/>
      <c r="F16" s="13"/>
      <c r="G16" s="13"/>
      <c r="H16" s="13"/>
      <c r="I16" s="13"/>
      <c r="J16" s="2">
        <v>1</v>
      </c>
    </row>
    <row r="17" spans="2:10" x14ac:dyDescent="0.3">
      <c r="B17" s="71"/>
      <c r="C17" s="5" t="s">
        <v>106</v>
      </c>
      <c r="D17" s="7" t="s">
        <v>21</v>
      </c>
      <c r="E17" s="7">
        <v>443.2</v>
      </c>
      <c r="F17" s="13"/>
      <c r="G17" s="13"/>
      <c r="H17" s="13"/>
      <c r="I17" s="13"/>
      <c r="J17" s="2">
        <f>J7</f>
        <v>0.17230607576871526</v>
      </c>
    </row>
    <row r="18" spans="2:10" x14ac:dyDescent="0.3">
      <c r="B18" s="71"/>
      <c r="C18" s="5" t="s">
        <v>10</v>
      </c>
      <c r="D18" s="7" t="s">
        <v>22</v>
      </c>
      <c r="E18" s="7">
        <v>401.14</v>
      </c>
      <c r="F18" s="13"/>
      <c r="G18" s="13"/>
      <c r="H18" s="13"/>
      <c r="I18" s="13"/>
      <c r="J18" s="2">
        <f>SUM(J4:J6,J9)</f>
        <v>3.7456009218678656</v>
      </c>
    </row>
    <row r="19" spans="2:10" x14ac:dyDescent="0.3">
      <c r="B19" s="71"/>
      <c r="C19" s="5" t="s">
        <v>23</v>
      </c>
      <c r="D19" s="7" t="s">
        <v>23</v>
      </c>
      <c r="E19" s="7">
        <v>18.02</v>
      </c>
      <c r="F19" s="13"/>
      <c r="G19" s="13"/>
      <c r="H19" s="13"/>
      <c r="I19" s="13"/>
      <c r="J19" s="2">
        <f>SUM(J4:J12)</f>
        <v>3.919858273647959</v>
      </c>
    </row>
    <row r="20" spans="2:10" x14ac:dyDescent="0.3">
      <c r="B20" s="71"/>
      <c r="C20" s="8" t="s">
        <v>19</v>
      </c>
      <c r="D20" s="11"/>
      <c r="E20" s="11"/>
      <c r="F20" s="13"/>
      <c r="G20" s="11"/>
      <c r="H20" s="2"/>
      <c r="I20" s="2"/>
      <c r="J20" s="2"/>
    </row>
  </sheetData>
  <mergeCells count="2">
    <mergeCell ref="B4:B13"/>
    <mergeCell ref="B16:B2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7D339-7CAE-4D2D-ABC4-6EDF23614974}">
  <dimension ref="C6:K45"/>
  <sheetViews>
    <sheetView topLeftCell="B19" workbookViewId="0">
      <selection activeCell="E40" sqref="E40"/>
    </sheetView>
  </sheetViews>
  <sheetFormatPr defaultRowHeight="14.4" x14ac:dyDescent="0.3"/>
  <cols>
    <col min="3" max="3" width="21" bestFit="1" customWidth="1"/>
    <col min="4" max="4" width="15.6640625" bestFit="1" customWidth="1"/>
    <col min="5" max="5" width="12.6640625" bestFit="1" customWidth="1"/>
    <col min="6" max="6" width="10.6640625" bestFit="1" customWidth="1"/>
    <col min="7" max="7" width="50.109375" bestFit="1" customWidth="1"/>
  </cols>
  <sheetData>
    <row r="6" spans="3:7" ht="21" customHeight="1" x14ac:dyDescent="0.35">
      <c r="C6" s="3" t="s">
        <v>11</v>
      </c>
      <c r="D6" s="4" t="s">
        <v>12</v>
      </c>
      <c r="E6" s="18" t="s">
        <v>41</v>
      </c>
      <c r="F6" s="4" t="s">
        <v>13</v>
      </c>
      <c r="G6" s="19" t="s">
        <v>42</v>
      </c>
    </row>
    <row r="7" spans="3:7" x14ac:dyDescent="0.3">
      <c r="C7" s="5" t="s">
        <v>43</v>
      </c>
      <c r="D7" s="5" t="s">
        <v>44</v>
      </c>
      <c r="E7" s="17">
        <v>7.0000000000000007E-2</v>
      </c>
      <c r="F7" s="7">
        <v>283.47000000000003</v>
      </c>
      <c r="G7" s="5">
        <f>F7*E7</f>
        <v>19.842900000000004</v>
      </c>
    </row>
    <row r="8" spans="3:7" x14ac:dyDescent="0.3">
      <c r="C8" s="5" t="s">
        <v>45</v>
      </c>
      <c r="D8" s="5" t="s">
        <v>46</v>
      </c>
      <c r="E8" s="17">
        <v>0.03</v>
      </c>
      <c r="F8" s="7">
        <v>213.34</v>
      </c>
      <c r="G8" s="5">
        <f t="shared" ref="G8:G13" si="0">F8*E8</f>
        <v>6.4001999999999999</v>
      </c>
    </row>
    <row r="9" spans="3:7" x14ac:dyDescent="0.3">
      <c r="C9" s="5" t="s">
        <v>47</v>
      </c>
      <c r="D9" s="5" t="s">
        <v>48</v>
      </c>
      <c r="E9" s="17">
        <v>0.36</v>
      </c>
      <c r="F9" s="7">
        <v>281.45</v>
      </c>
      <c r="G9" s="5">
        <f t="shared" si="0"/>
        <v>101.32199999999999</v>
      </c>
    </row>
    <row r="10" spans="3:7" x14ac:dyDescent="0.3">
      <c r="C10" s="5" t="s">
        <v>49</v>
      </c>
      <c r="D10" s="5" t="s">
        <v>50</v>
      </c>
      <c r="E10" s="17">
        <v>0.23</v>
      </c>
      <c r="F10" s="7">
        <v>255.41</v>
      </c>
      <c r="G10" s="5">
        <f t="shared" si="0"/>
        <v>58.744300000000003</v>
      </c>
    </row>
    <row r="11" spans="3:7" x14ac:dyDescent="0.3">
      <c r="C11" s="5" t="s">
        <v>51</v>
      </c>
      <c r="D11" s="5" t="s">
        <v>52</v>
      </c>
      <c r="E11" s="17">
        <v>0.09</v>
      </c>
      <c r="F11" s="7">
        <v>227.36</v>
      </c>
      <c r="G11" s="5">
        <f t="shared" si="0"/>
        <v>20.462399999999999</v>
      </c>
    </row>
    <row r="12" spans="3:7" x14ac:dyDescent="0.3">
      <c r="C12" s="5" t="s">
        <v>53</v>
      </c>
      <c r="D12" s="5" t="s">
        <v>54</v>
      </c>
      <c r="E12" s="17">
        <v>0.05</v>
      </c>
      <c r="F12" s="7">
        <v>253.4</v>
      </c>
      <c r="G12" s="5">
        <f t="shared" si="0"/>
        <v>12.670000000000002</v>
      </c>
    </row>
    <row r="13" spans="3:7" x14ac:dyDescent="0.3">
      <c r="C13" s="5" t="s">
        <v>55</v>
      </c>
      <c r="D13" s="5" t="s">
        <v>48</v>
      </c>
      <c r="E13" s="17">
        <v>0.17</v>
      </c>
      <c r="F13" s="7">
        <v>281.45</v>
      </c>
      <c r="G13" s="5">
        <f t="shared" si="0"/>
        <v>47.846499999999999</v>
      </c>
    </row>
    <row r="14" spans="3:7" x14ac:dyDescent="0.3">
      <c r="C14" s="25" t="s">
        <v>19</v>
      </c>
      <c r="D14" s="2"/>
      <c r="E14" s="2">
        <f>SUM(E7:E13)</f>
        <v>1</v>
      </c>
      <c r="F14" s="2"/>
      <c r="G14" s="2"/>
    </row>
    <row r="15" spans="3:7" ht="15" thickBot="1" x14ac:dyDescent="0.35"/>
    <row r="16" spans="3:7" ht="31.8" thickBot="1" x14ac:dyDescent="0.4">
      <c r="C16" s="20" t="s">
        <v>56</v>
      </c>
      <c r="D16" s="21"/>
      <c r="E16" s="21"/>
      <c r="F16" s="21"/>
      <c r="G16" s="22">
        <v>277.72355470000002</v>
      </c>
    </row>
    <row r="17" spans="3:11" ht="43.8" thickBot="1" x14ac:dyDescent="0.35">
      <c r="C17" s="23" t="s">
        <v>57</v>
      </c>
      <c r="D17" s="21"/>
      <c r="E17" s="21"/>
      <c r="F17" s="21"/>
      <c r="G17" s="24">
        <v>232.70355470000001</v>
      </c>
    </row>
    <row r="20" spans="3:11" x14ac:dyDescent="0.3">
      <c r="C20" s="72" t="s">
        <v>86</v>
      </c>
      <c r="D20" s="73"/>
      <c r="E20" s="73"/>
      <c r="F20" s="73"/>
      <c r="G20" s="74"/>
      <c r="K20" t="s">
        <v>90</v>
      </c>
    </row>
    <row r="21" spans="3:11" ht="15.6" x14ac:dyDescent="0.35">
      <c r="C21" s="3" t="s">
        <v>11</v>
      </c>
      <c r="D21" s="4" t="s">
        <v>12</v>
      </c>
      <c r="E21" s="18" t="s">
        <v>41</v>
      </c>
      <c r="F21" s="4" t="s">
        <v>13</v>
      </c>
      <c r="G21" s="19" t="s">
        <v>42</v>
      </c>
    </row>
    <row r="22" spans="3:11" x14ac:dyDescent="0.3">
      <c r="C22" s="34" t="s">
        <v>66</v>
      </c>
      <c r="D22" s="5"/>
      <c r="E22" s="17">
        <f>1/100</f>
        <v>0.01</v>
      </c>
      <c r="F22" s="7">
        <v>227.37</v>
      </c>
      <c r="G22" s="5">
        <f>F22*E22</f>
        <v>2.2737000000000003</v>
      </c>
    </row>
    <row r="23" spans="3:11" x14ac:dyDescent="0.3">
      <c r="C23" s="34" t="s">
        <v>67</v>
      </c>
      <c r="D23" s="5"/>
      <c r="E23" s="17">
        <f>0.4/100</f>
        <v>4.0000000000000001E-3</v>
      </c>
      <c r="F23" s="7">
        <v>241.4</v>
      </c>
      <c r="G23" s="5">
        <f t="shared" ref="G23:G41" si="1">F23*E23</f>
        <v>0.96560000000000001</v>
      </c>
    </row>
    <row r="24" spans="3:11" x14ac:dyDescent="0.3">
      <c r="C24" s="34" t="s">
        <v>68</v>
      </c>
      <c r="D24" s="5"/>
      <c r="E24" s="17">
        <f>16.4/100</f>
        <v>0.16399999999999998</v>
      </c>
      <c r="F24" s="7">
        <v>255.41</v>
      </c>
      <c r="G24" s="5">
        <f t="shared" si="1"/>
        <v>41.887239999999991</v>
      </c>
    </row>
    <row r="25" spans="3:11" x14ac:dyDescent="0.3">
      <c r="C25" s="34" t="s">
        <v>69</v>
      </c>
      <c r="D25" s="5"/>
      <c r="E25" s="17">
        <f>1.5/100</f>
        <v>1.4999999999999999E-2</v>
      </c>
      <c r="F25" s="7">
        <v>253.41</v>
      </c>
      <c r="G25" s="5">
        <f t="shared" si="1"/>
        <v>3.8011499999999998</v>
      </c>
    </row>
    <row r="26" spans="3:11" x14ac:dyDescent="0.3">
      <c r="C26" s="34" t="s">
        <v>70</v>
      </c>
      <c r="D26" s="5"/>
      <c r="E26" s="17">
        <f>1.2/100</f>
        <v>1.2E-2</v>
      </c>
      <c r="F26" s="7">
        <v>269.45</v>
      </c>
      <c r="G26" s="5">
        <f t="shared" si="1"/>
        <v>3.2334000000000001</v>
      </c>
    </row>
    <row r="27" spans="3:11" x14ac:dyDescent="0.3">
      <c r="C27" s="34" t="s">
        <v>73</v>
      </c>
      <c r="D27" s="5"/>
      <c r="E27" s="17">
        <f>4.2/100</f>
        <v>4.2000000000000003E-2</v>
      </c>
      <c r="F27" s="7">
        <v>281.47000000000003</v>
      </c>
      <c r="G27" s="5">
        <f t="shared" si="1"/>
        <v>11.821740000000002</v>
      </c>
    </row>
    <row r="28" spans="3:11" x14ac:dyDescent="0.3">
      <c r="C28" s="34" t="s">
        <v>74</v>
      </c>
      <c r="D28" s="5"/>
      <c r="E28" s="17">
        <f>0.3/100</f>
        <v>3.0000000000000001E-3</v>
      </c>
      <c r="F28" s="7">
        <v>281.5</v>
      </c>
      <c r="G28" s="5">
        <f t="shared" si="1"/>
        <v>0.84450000000000003</v>
      </c>
    </row>
    <row r="29" spans="3:11" x14ac:dyDescent="0.3">
      <c r="C29" s="34" t="s">
        <v>71</v>
      </c>
      <c r="D29" s="5"/>
      <c r="E29" s="17">
        <f>20.4/100</f>
        <v>0.20399999999999999</v>
      </c>
      <c r="F29" s="7">
        <v>251.4</v>
      </c>
      <c r="G29" s="5">
        <f t="shared" si="1"/>
        <v>51.285599999999995</v>
      </c>
    </row>
    <row r="30" spans="3:11" x14ac:dyDescent="0.3">
      <c r="C30" s="34" t="s">
        <v>75</v>
      </c>
      <c r="D30" s="5"/>
      <c r="E30" s="17">
        <f>2/100</f>
        <v>0.02</v>
      </c>
      <c r="F30" s="7">
        <v>281.45999999999998</v>
      </c>
      <c r="G30" s="5">
        <f t="shared" si="1"/>
        <v>5.6292</v>
      </c>
    </row>
    <row r="31" spans="3:11" x14ac:dyDescent="0.3">
      <c r="C31" s="34" t="s">
        <v>76</v>
      </c>
      <c r="D31" s="5"/>
      <c r="E31" s="17">
        <f>35.1/100</f>
        <v>0.35100000000000003</v>
      </c>
      <c r="F31" s="7">
        <v>279.45</v>
      </c>
      <c r="G31" s="5">
        <f t="shared" si="1"/>
        <v>98.086950000000002</v>
      </c>
    </row>
    <row r="32" spans="3:11" x14ac:dyDescent="0.3">
      <c r="C32" s="34" t="s">
        <v>72</v>
      </c>
      <c r="D32" s="5"/>
      <c r="E32" s="17">
        <f>2.8/100</f>
        <v>2.7999999999999997E-2</v>
      </c>
      <c r="F32" s="7">
        <v>283.48</v>
      </c>
      <c r="G32" s="5">
        <f t="shared" si="1"/>
        <v>7.9374399999999996</v>
      </c>
    </row>
    <row r="33" spans="3:7" x14ac:dyDescent="0.3">
      <c r="C33" s="34" t="s">
        <v>77</v>
      </c>
      <c r="D33" s="5"/>
      <c r="E33" s="17">
        <f>0.2/100</f>
        <v>2E-3</v>
      </c>
      <c r="F33" s="7">
        <v>297.5</v>
      </c>
      <c r="G33" s="5">
        <f t="shared" si="1"/>
        <v>0.59499999999999997</v>
      </c>
    </row>
    <row r="34" spans="3:7" x14ac:dyDescent="0.3">
      <c r="C34" s="34" t="s">
        <v>78</v>
      </c>
      <c r="D34" s="5"/>
      <c r="E34" s="17">
        <f>5.2/100</f>
        <v>5.2000000000000005E-2</v>
      </c>
      <c r="F34" s="7">
        <v>277.43</v>
      </c>
      <c r="G34" s="5">
        <f t="shared" si="1"/>
        <v>14.426360000000001</v>
      </c>
    </row>
    <row r="35" spans="3:7" x14ac:dyDescent="0.3">
      <c r="C35" s="34" t="s">
        <v>79</v>
      </c>
      <c r="D35" s="5"/>
      <c r="E35" s="17">
        <f>5.7/100</f>
        <v>5.7000000000000002E-2</v>
      </c>
      <c r="F35" s="7">
        <v>311.52999999999997</v>
      </c>
      <c r="G35" s="5">
        <f t="shared" si="1"/>
        <v>17.757210000000001</v>
      </c>
    </row>
    <row r="36" spans="3:7" x14ac:dyDescent="0.3">
      <c r="C36" s="34" t="s">
        <v>80</v>
      </c>
      <c r="D36" s="5"/>
      <c r="E36" s="17">
        <f>0.4/100</f>
        <v>4.0000000000000001E-3</v>
      </c>
      <c r="F36" s="7">
        <v>310.5</v>
      </c>
      <c r="G36" s="5">
        <f t="shared" si="1"/>
        <v>1.242</v>
      </c>
    </row>
    <row r="37" spans="3:7" x14ac:dyDescent="0.3">
      <c r="C37" s="34" t="s">
        <v>81</v>
      </c>
      <c r="D37" s="5"/>
      <c r="E37" s="17">
        <f>1.3/100</f>
        <v>1.3000000000000001E-2</v>
      </c>
      <c r="F37" s="7">
        <v>308.5</v>
      </c>
      <c r="G37" s="5">
        <f t="shared" si="1"/>
        <v>4.0105000000000004</v>
      </c>
    </row>
    <row r="38" spans="3:7" x14ac:dyDescent="0.3">
      <c r="C38" s="34" t="s">
        <v>82</v>
      </c>
      <c r="D38" s="5"/>
      <c r="E38" s="17">
        <f>0.4/100</f>
        <v>4.0000000000000001E-3</v>
      </c>
      <c r="F38" s="7">
        <v>306.48</v>
      </c>
      <c r="G38" s="5">
        <f t="shared" si="1"/>
        <v>1.2259200000000001</v>
      </c>
    </row>
    <row r="39" spans="3:7" x14ac:dyDescent="0.3">
      <c r="C39" s="34" t="s">
        <v>83</v>
      </c>
      <c r="D39" s="5"/>
      <c r="E39" s="17">
        <f>0.2/100</f>
        <v>2E-3</v>
      </c>
      <c r="F39" s="7">
        <v>325.56</v>
      </c>
      <c r="G39" s="5">
        <f t="shared" si="1"/>
        <v>0.65112000000000003</v>
      </c>
    </row>
    <row r="40" spans="3:7" x14ac:dyDescent="0.3">
      <c r="C40" s="38" t="s">
        <v>84</v>
      </c>
      <c r="D40" s="5"/>
      <c r="E40" s="17">
        <f>0.6/100</f>
        <v>6.0000000000000001E-3</v>
      </c>
      <c r="F40" s="7">
        <v>303.47000000000003</v>
      </c>
      <c r="G40" s="5">
        <f t="shared" si="1"/>
        <v>1.8208200000000001</v>
      </c>
    </row>
    <row r="41" spans="3:7" x14ac:dyDescent="0.3">
      <c r="C41" s="34" t="s">
        <v>85</v>
      </c>
      <c r="D41" s="5"/>
      <c r="E41" s="17">
        <f>0.9/100</f>
        <v>9.0000000000000011E-3</v>
      </c>
      <c r="F41" s="7">
        <v>339.58</v>
      </c>
      <c r="G41" s="5">
        <f t="shared" si="1"/>
        <v>3.0562200000000002</v>
      </c>
    </row>
    <row r="42" spans="3:7" x14ac:dyDescent="0.3">
      <c r="C42" s="25" t="s">
        <v>19</v>
      </c>
      <c r="D42" s="2"/>
      <c r="E42" s="2">
        <f>SUM(E22:E41)</f>
        <v>1.002</v>
      </c>
      <c r="F42" s="2"/>
      <c r="G42" s="2"/>
    </row>
    <row r="43" spans="3:7" ht="15" thickBot="1" x14ac:dyDescent="0.35"/>
    <row r="44" spans="3:7" ht="31.8" thickBot="1" x14ac:dyDescent="0.4">
      <c r="C44" s="20" t="s">
        <v>56</v>
      </c>
      <c r="D44" s="21"/>
      <c r="E44" s="21"/>
      <c r="F44" s="21"/>
      <c r="G44" s="22">
        <v>277.72355470000002</v>
      </c>
    </row>
    <row r="45" spans="3:7" ht="43.8" thickBot="1" x14ac:dyDescent="0.35">
      <c r="C45" s="23" t="s">
        <v>57</v>
      </c>
      <c r="D45" s="21"/>
      <c r="E45" s="21"/>
      <c r="F45" s="21"/>
      <c r="G45" s="24">
        <v>232.70355470000001</v>
      </c>
    </row>
  </sheetData>
  <mergeCells count="1">
    <mergeCell ref="C20:G20"/>
  </mergeCells>
  <pageMargins left="0.7" right="0.7" top="0.75" bottom="0.75" header="0.3" footer="0.3"/>
  <ignoredErrors>
    <ignoredError sqref="E3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EA76-E874-424E-9F56-2DBA20049E18}">
  <dimension ref="C3:N24"/>
  <sheetViews>
    <sheetView topLeftCell="B10" workbookViewId="0">
      <selection activeCell="F19" sqref="F19"/>
    </sheetView>
  </sheetViews>
  <sheetFormatPr defaultRowHeight="14.4" x14ac:dyDescent="0.3"/>
  <cols>
    <col min="3" max="3" width="31.33203125" bestFit="1" customWidth="1"/>
    <col min="4" max="4" width="14.88671875" bestFit="1" customWidth="1"/>
    <col min="5" max="5" width="13.88671875" customWidth="1"/>
    <col min="6" max="6" width="15.33203125" customWidth="1"/>
    <col min="7" max="7" width="15" customWidth="1"/>
    <col min="8" max="11" width="12" bestFit="1" customWidth="1"/>
  </cols>
  <sheetData>
    <row r="3" spans="3:14" x14ac:dyDescent="0.3">
      <c r="C3" s="57"/>
      <c r="D3" s="57"/>
      <c r="E3" s="57"/>
      <c r="F3" s="57"/>
      <c r="G3" s="57"/>
      <c r="H3" s="57"/>
      <c r="I3" s="57"/>
      <c r="J3" s="57"/>
      <c r="K3" s="58"/>
    </row>
    <row r="4" spans="3:14" ht="45" x14ac:dyDescent="0.35">
      <c r="C4" s="65" t="s">
        <v>11</v>
      </c>
      <c r="D4" s="6" t="s">
        <v>12</v>
      </c>
      <c r="E4" s="6" t="s">
        <v>133</v>
      </c>
      <c r="F4" s="6" t="s">
        <v>134</v>
      </c>
      <c r="G4" s="6" t="s">
        <v>135</v>
      </c>
      <c r="H4" s="6" t="s">
        <v>136</v>
      </c>
      <c r="I4" s="6" t="s">
        <v>137</v>
      </c>
      <c r="J4" s="6" t="s">
        <v>138</v>
      </c>
      <c r="K4" s="14" t="s">
        <v>139</v>
      </c>
      <c r="L4" s="5"/>
      <c r="N4" t="s">
        <v>92</v>
      </c>
    </row>
    <row r="5" spans="3:14" x14ac:dyDescent="0.3">
      <c r="C5" s="5" t="s">
        <v>140</v>
      </c>
      <c r="D5" s="5" t="s">
        <v>141</v>
      </c>
      <c r="E5" s="5">
        <v>1</v>
      </c>
      <c r="F5" s="5">
        <v>4.2999999999999997E-2</v>
      </c>
      <c r="G5" s="7">
        <v>273.14999999999998</v>
      </c>
      <c r="H5" s="5">
        <v>505.85355470000002</v>
      </c>
      <c r="I5" s="5">
        <v>21.751702850000001</v>
      </c>
      <c r="J5" s="5">
        <v>4.8522495999999998E-2</v>
      </c>
      <c r="K5" s="66">
        <v>9.5921999999999994E-5</v>
      </c>
      <c r="L5" s="5"/>
    </row>
    <row r="6" spans="3:14" x14ac:dyDescent="0.3">
      <c r="C6" s="5" t="s">
        <v>142</v>
      </c>
      <c r="D6" s="5" t="s">
        <v>143</v>
      </c>
      <c r="E6" s="5">
        <v>2</v>
      </c>
      <c r="F6" s="5">
        <v>0.04</v>
      </c>
      <c r="G6" s="7">
        <v>308.24</v>
      </c>
      <c r="H6" s="5">
        <v>308.24</v>
      </c>
      <c r="I6" s="5">
        <v>12.329599999999999</v>
      </c>
      <c r="J6" s="5">
        <v>2.7504190000000001E-2</v>
      </c>
      <c r="K6" s="66">
        <v>8.9229799999999997E-5</v>
      </c>
      <c r="L6" s="5"/>
      <c r="N6" s="36"/>
    </row>
    <row r="7" spans="3:14" x14ac:dyDescent="0.3">
      <c r="C7" s="5" t="s">
        <v>144</v>
      </c>
      <c r="D7" s="5" t="s">
        <v>145</v>
      </c>
      <c r="E7" s="5">
        <v>4</v>
      </c>
      <c r="F7" s="5">
        <v>0.42499999999999999</v>
      </c>
      <c r="G7" s="7">
        <v>506.2</v>
      </c>
      <c r="H7" s="5">
        <v>506.2</v>
      </c>
      <c r="I7" s="5">
        <v>215.13499999999999</v>
      </c>
      <c r="J7" s="5">
        <v>0.47991126000000001</v>
      </c>
      <c r="K7" s="17">
        <v>9.4806600000000001E-4</v>
      </c>
      <c r="L7" s="5"/>
      <c r="N7" t="s">
        <v>93</v>
      </c>
    </row>
    <row r="8" spans="3:14" x14ac:dyDescent="0.3">
      <c r="C8" s="5" t="s">
        <v>146</v>
      </c>
      <c r="D8" s="5" t="s">
        <v>147</v>
      </c>
      <c r="E8" s="5">
        <v>2</v>
      </c>
      <c r="F8" s="5">
        <v>0.30299999999999999</v>
      </c>
      <c r="G8" s="7">
        <v>470.38</v>
      </c>
      <c r="H8" s="5">
        <v>470.38</v>
      </c>
      <c r="I8" s="5">
        <v>142.52513999999999</v>
      </c>
      <c r="J8" s="5">
        <v>0.31793719999999998</v>
      </c>
      <c r="K8" s="17">
        <v>6.7591600000000004E-4</v>
      </c>
      <c r="L8" s="5"/>
    </row>
    <row r="9" spans="3:14" x14ac:dyDescent="0.3">
      <c r="C9" s="5" t="s">
        <v>148</v>
      </c>
      <c r="D9" s="5" t="s">
        <v>149</v>
      </c>
      <c r="E9" s="5">
        <v>2</v>
      </c>
      <c r="F9" s="5">
        <v>0.189</v>
      </c>
      <c r="G9" s="7">
        <v>299.14999999999998</v>
      </c>
      <c r="H9" s="5">
        <v>299.14999999999998</v>
      </c>
      <c r="I9" s="5">
        <v>56.539349999999999</v>
      </c>
      <c r="J9" s="5">
        <v>0.12612485500000001</v>
      </c>
      <c r="K9" s="17">
        <v>4.2161100000000001E-4</v>
      </c>
      <c r="L9" s="5"/>
      <c r="N9" t="s">
        <v>126</v>
      </c>
    </row>
    <row r="10" spans="3:14" x14ac:dyDescent="0.3">
      <c r="C10" s="8" t="s">
        <v>19</v>
      </c>
      <c r="D10" s="11"/>
      <c r="E10" s="11"/>
      <c r="F10" s="11"/>
      <c r="G10" s="11"/>
      <c r="H10" s="4"/>
      <c r="I10" s="11">
        <v>448.28079289999999</v>
      </c>
      <c r="J10" s="11">
        <v>1</v>
      </c>
      <c r="K10" s="11">
        <v>2.2307450000000001E-3</v>
      </c>
      <c r="L10" s="5"/>
    </row>
    <row r="11" spans="3:14" x14ac:dyDescent="0.3">
      <c r="K11" s="61"/>
      <c r="N11" s="64" t="s">
        <v>127</v>
      </c>
    </row>
    <row r="12" spans="3:14" x14ac:dyDescent="0.3">
      <c r="K12" s="61"/>
    </row>
    <row r="13" spans="3:14" x14ac:dyDescent="0.3">
      <c r="K13" s="61"/>
    </row>
    <row r="14" spans="3:14" x14ac:dyDescent="0.3">
      <c r="C14" s="57"/>
      <c r="D14" s="57"/>
      <c r="E14" s="57"/>
      <c r="F14" s="57"/>
      <c r="G14" s="57"/>
      <c r="H14" s="57"/>
      <c r="I14" s="57"/>
      <c r="J14" s="57"/>
      <c r="K14" s="58"/>
      <c r="N14" t="s">
        <v>128</v>
      </c>
    </row>
    <row r="15" spans="3:14" x14ac:dyDescent="0.3">
      <c r="C15" s="5"/>
      <c r="D15" s="5"/>
      <c r="E15" s="5" t="s">
        <v>159</v>
      </c>
      <c r="F15" s="41" t="s">
        <v>160</v>
      </c>
      <c r="G15" s="7"/>
      <c r="H15" s="5"/>
      <c r="I15" s="5"/>
      <c r="J15" s="5"/>
      <c r="K15" s="59"/>
    </row>
    <row r="16" spans="3:14" x14ac:dyDescent="0.3">
      <c r="C16" s="5" t="s">
        <v>11</v>
      </c>
      <c r="D16" s="68" t="s">
        <v>158</v>
      </c>
      <c r="E16" s="68"/>
      <c r="F16" s="70"/>
      <c r="G16" s="68"/>
      <c r="H16" s="68"/>
      <c r="I16" s="68"/>
      <c r="J16" s="5"/>
      <c r="K16" s="59"/>
    </row>
    <row r="17" spans="3:11" x14ac:dyDescent="0.3">
      <c r="C17" s="67" t="s">
        <v>150</v>
      </c>
      <c r="D17" s="68">
        <v>35</v>
      </c>
      <c r="E17" s="68">
        <v>8.2398700000000005E-2</v>
      </c>
      <c r="F17" s="70">
        <f>E17/Total!$K$7</f>
        <v>0.45866871297468365</v>
      </c>
      <c r="G17" s="68"/>
      <c r="H17" s="68"/>
      <c r="I17" s="68"/>
      <c r="J17" s="5"/>
      <c r="K17" s="59"/>
    </row>
    <row r="18" spans="3:11" x14ac:dyDescent="0.3">
      <c r="C18" s="67" t="s">
        <v>151</v>
      </c>
      <c r="D18" s="68">
        <v>8</v>
      </c>
      <c r="E18" s="68">
        <v>9.0507023000000006E-2</v>
      </c>
      <c r="F18" s="70">
        <f>E18/Total!$K$7</f>
        <v>0.50380333372468367</v>
      </c>
      <c r="G18" s="68"/>
      <c r="H18" s="68"/>
      <c r="I18" s="68"/>
      <c r="J18" s="5"/>
      <c r="K18" s="59"/>
    </row>
    <row r="19" spans="3:11" x14ac:dyDescent="0.3">
      <c r="C19" s="67" t="s">
        <v>152</v>
      </c>
      <c r="D19" s="68">
        <v>4</v>
      </c>
      <c r="E19" s="68">
        <v>2.1777899990000002E-3</v>
      </c>
      <c r="F19" s="70">
        <f>E19/Total!$K$7</f>
        <v>1.2122571545066458E-2</v>
      </c>
      <c r="G19" s="68"/>
      <c r="H19" s="68"/>
      <c r="I19" s="68"/>
      <c r="J19" s="5"/>
      <c r="K19" s="59"/>
    </row>
    <row r="20" spans="3:11" x14ac:dyDescent="0.3">
      <c r="C20" s="67" t="s">
        <v>153</v>
      </c>
      <c r="D20" s="68">
        <v>4</v>
      </c>
      <c r="E20" s="68">
        <v>5.45455399999E-2</v>
      </c>
      <c r="F20" s="70">
        <f>E20/Total!$K$7</f>
        <v>0.30362533183488644</v>
      </c>
      <c r="G20" s="69"/>
      <c r="H20" s="68"/>
      <c r="I20" s="69"/>
      <c r="J20" s="9"/>
      <c r="K20" s="60"/>
    </row>
    <row r="21" spans="3:11" x14ac:dyDescent="0.3">
      <c r="C21" s="67" t="s">
        <v>154</v>
      </c>
      <c r="D21" s="68">
        <v>10</v>
      </c>
      <c r="E21" s="48">
        <v>2.8007799999999999E-2</v>
      </c>
      <c r="F21" s="70">
        <f>E21/Total!$K$7</f>
        <v>0.15590417784810129</v>
      </c>
      <c r="G21" s="48"/>
      <c r="H21" s="48"/>
      <c r="I21" s="48"/>
      <c r="K21" s="61"/>
    </row>
    <row r="22" spans="3:11" x14ac:dyDescent="0.3">
      <c r="C22" s="67" t="s">
        <v>155</v>
      </c>
      <c r="D22" s="68">
        <v>15</v>
      </c>
      <c r="E22" s="48">
        <v>0.13128949500000001</v>
      </c>
      <c r="F22" s="70">
        <f>E22/Total!$K$7</f>
        <v>0.73081715729430397</v>
      </c>
      <c r="G22" s="48"/>
      <c r="H22" s="48"/>
      <c r="I22" s="48"/>
    </row>
    <row r="23" spans="3:11" x14ac:dyDescent="0.3">
      <c r="C23" s="67" t="s">
        <v>156</v>
      </c>
      <c r="D23" s="68">
        <v>16</v>
      </c>
      <c r="E23" s="48">
        <v>7.8736100000000003E-2</v>
      </c>
      <c r="F23" s="70">
        <f>E23/Total!$K$7</f>
        <v>0.43828101234177225</v>
      </c>
      <c r="G23" s="48"/>
      <c r="H23" s="48"/>
      <c r="I23" s="48"/>
    </row>
    <row r="24" spans="3:11" x14ac:dyDescent="0.3">
      <c r="C24" s="67" t="s">
        <v>157</v>
      </c>
      <c r="D24" s="68">
        <v>9</v>
      </c>
      <c r="E24" s="48">
        <v>4.8204721999999998E-2</v>
      </c>
      <c r="F24" s="70">
        <f>E24/Total!$K$7</f>
        <v>0.26832944936075953</v>
      </c>
      <c r="G24" s="48"/>
      <c r="H24" s="48"/>
      <c r="I24" s="4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0950-D289-4EA7-91EB-1B1B634E8168}">
  <dimension ref="D4:I21"/>
  <sheetViews>
    <sheetView workbookViewId="0">
      <selection activeCell="I4" sqref="I4"/>
    </sheetView>
  </sheetViews>
  <sheetFormatPr defaultRowHeight="14.4" x14ac:dyDescent="0.3"/>
  <cols>
    <col min="4" max="4" width="21.6640625" bestFit="1" customWidth="1"/>
    <col min="5" max="5" width="16" bestFit="1" customWidth="1"/>
    <col min="6" max="6" width="21" bestFit="1" customWidth="1"/>
    <col min="7" max="7" width="10.6640625" bestFit="1" customWidth="1"/>
    <col min="8" max="8" width="15.33203125" customWidth="1"/>
    <col min="9" max="9" width="19.44140625" bestFit="1" customWidth="1"/>
  </cols>
  <sheetData>
    <row r="4" spans="4:9" x14ac:dyDescent="0.3">
      <c r="D4" s="5"/>
      <c r="E4" s="5"/>
      <c r="F4" s="5"/>
      <c r="G4" s="5"/>
      <c r="H4" s="57"/>
      <c r="I4" s="59"/>
    </row>
    <row r="5" spans="4:9" x14ac:dyDescent="0.3">
      <c r="D5" s="5"/>
      <c r="E5" s="5"/>
      <c r="F5" s="5"/>
      <c r="G5" s="5"/>
      <c r="H5" s="5"/>
      <c r="I5" s="5"/>
    </row>
    <row r="6" spans="4:9" x14ac:dyDescent="0.3">
      <c r="D6" s="5"/>
      <c r="E6" s="5"/>
      <c r="F6" s="5"/>
      <c r="G6" s="5"/>
      <c r="H6" s="5"/>
      <c r="I6" s="5"/>
    </row>
    <row r="7" spans="4:9" x14ac:dyDescent="0.3">
      <c r="D7" s="5"/>
      <c r="E7" s="5"/>
      <c r="F7" s="5"/>
      <c r="G7" s="5"/>
      <c r="H7" s="5"/>
      <c r="I7" s="5"/>
    </row>
    <row r="8" spans="4:9" x14ac:dyDescent="0.3">
      <c r="D8" s="5"/>
      <c r="E8" s="5"/>
      <c r="F8" s="5"/>
      <c r="G8" s="5"/>
      <c r="H8" s="5"/>
      <c r="I8" s="5"/>
    </row>
    <row r="9" spans="4:9" x14ac:dyDescent="0.3">
      <c r="D9" s="5"/>
      <c r="E9" s="5"/>
      <c r="F9" s="5"/>
      <c r="G9" s="5"/>
      <c r="H9" s="5"/>
      <c r="I9" s="5"/>
    </row>
    <row r="10" spans="4:9" x14ac:dyDescent="0.3">
      <c r="D10" s="5"/>
      <c r="E10" s="5"/>
      <c r="F10" s="5"/>
      <c r="G10" s="5"/>
      <c r="H10" s="5"/>
      <c r="I10" s="5"/>
    </row>
    <row r="11" spans="4:9" x14ac:dyDescent="0.3">
      <c r="D11" s="5"/>
      <c r="E11" s="5"/>
      <c r="F11" s="5"/>
      <c r="G11" s="5"/>
      <c r="H11" s="5"/>
      <c r="I11" s="5"/>
    </row>
    <row r="12" spans="4:9" x14ac:dyDescent="0.3">
      <c r="D12" s="5"/>
      <c r="E12" s="5"/>
      <c r="F12" s="5"/>
      <c r="G12" s="5"/>
      <c r="H12" s="5"/>
      <c r="I12" s="5"/>
    </row>
    <row r="13" spans="4:9" x14ac:dyDescent="0.3">
      <c r="D13" s="5"/>
      <c r="E13" s="5"/>
      <c r="F13" s="5"/>
      <c r="G13" s="5"/>
      <c r="H13" s="5"/>
      <c r="I13" s="5"/>
    </row>
    <row r="14" spans="4:9" x14ac:dyDescent="0.3">
      <c r="D14" s="5"/>
      <c r="E14" s="5"/>
      <c r="F14" s="5"/>
      <c r="G14" s="5"/>
      <c r="H14" s="5"/>
      <c r="I14" s="5"/>
    </row>
    <row r="15" spans="4:9" x14ac:dyDescent="0.3">
      <c r="D15" s="5"/>
      <c r="E15" s="5"/>
      <c r="F15" s="5"/>
      <c r="G15" s="5"/>
      <c r="H15" s="5"/>
      <c r="I15" s="5"/>
    </row>
    <row r="16" spans="4:9" x14ac:dyDescent="0.3">
      <c r="D16" s="5"/>
      <c r="E16" s="5"/>
      <c r="F16" s="5"/>
      <c r="G16" s="5"/>
      <c r="H16" s="5"/>
      <c r="I16" s="5"/>
    </row>
    <row r="17" spans="4:9" x14ac:dyDescent="0.3">
      <c r="D17" s="5"/>
      <c r="E17" s="5"/>
      <c r="F17" s="5"/>
      <c r="G17" s="5"/>
      <c r="H17" s="5"/>
      <c r="I17" s="5"/>
    </row>
    <row r="18" spans="4:9" x14ac:dyDescent="0.3">
      <c r="D18" s="5"/>
      <c r="E18" s="5"/>
      <c r="F18" s="5"/>
      <c r="G18" s="5"/>
      <c r="H18" s="5"/>
      <c r="I18" s="5"/>
    </row>
    <row r="19" spans="4:9" x14ac:dyDescent="0.3">
      <c r="D19" s="5"/>
      <c r="E19" s="5"/>
      <c r="F19" s="5"/>
      <c r="G19" s="5"/>
      <c r="H19" s="5"/>
      <c r="I19" s="5"/>
    </row>
    <row r="20" spans="4:9" x14ac:dyDescent="0.3">
      <c r="D20" s="5"/>
      <c r="E20" s="5"/>
      <c r="F20" s="5"/>
      <c r="G20" s="5"/>
      <c r="H20" s="5"/>
      <c r="I20" s="5"/>
    </row>
    <row r="21" spans="4:9" x14ac:dyDescent="0.3">
      <c r="D21" s="9"/>
      <c r="E21" s="9"/>
      <c r="F21" s="9"/>
      <c r="G21" s="9"/>
      <c r="H21" s="9"/>
      <c r="I21" s="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902F-563B-4582-B54A-17DC48946435}">
  <dimension ref="A1:M9"/>
  <sheetViews>
    <sheetView tabSelected="1" workbookViewId="0">
      <selection activeCell="E1" sqref="E1"/>
    </sheetView>
  </sheetViews>
  <sheetFormatPr defaultRowHeight="14.4" x14ac:dyDescent="0.3"/>
  <sheetData>
    <row r="1" spans="1:13" x14ac:dyDescent="0.3">
      <c r="A1" s="62"/>
      <c r="E1" s="64" t="s">
        <v>129</v>
      </c>
    </row>
    <row r="2" spans="1:13" x14ac:dyDescent="0.3">
      <c r="A2" t="s">
        <v>115</v>
      </c>
      <c r="B2" t="s">
        <v>120</v>
      </c>
      <c r="M2" s="63" t="s">
        <v>125</v>
      </c>
    </row>
    <row r="3" spans="1:13" x14ac:dyDescent="0.3">
      <c r="A3" t="s">
        <v>116</v>
      </c>
      <c r="B3" t="s">
        <v>121</v>
      </c>
    </row>
    <row r="4" spans="1:13" x14ac:dyDescent="0.3">
      <c r="A4" t="s">
        <v>117</v>
      </c>
      <c r="B4" t="s">
        <v>122</v>
      </c>
    </row>
    <row r="5" spans="1:13" x14ac:dyDescent="0.3">
      <c r="A5" t="s">
        <v>118</v>
      </c>
      <c r="B5" t="s">
        <v>123</v>
      </c>
    </row>
    <row r="6" spans="1:13" x14ac:dyDescent="0.3">
      <c r="A6" t="s">
        <v>119</v>
      </c>
      <c r="B6" t="s">
        <v>124</v>
      </c>
    </row>
    <row r="7" spans="1:13" x14ac:dyDescent="0.3">
      <c r="A7" t="s">
        <v>130</v>
      </c>
    </row>
    <row r="8" spans="1:13" x14ac:dyDescent="0.3">
      <c r="A8" t="s">
        <v>131</v>
      </c>
    </row>
    <row r="9" spans="1:13" x14ac:dyDescent="0.3">
      <c r="A9" t="s">
        <v>132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Total</vt:lpstr>
      <vt:lpstr>RNA</vt:lpstr>
      <vt:lpstr>Carbohydrates</vt:lpstr>
      <vt:lpstr>FattyAcid</vt:lpstr>
      <vt:lpstr>Lipid</vt:lpstr>
      <vt:lpstr>Cofactor</vt:lpstr>
      <vt:lpstr>Pigments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Cunha</dc:creator>
  <cp:lastModifiedBy>goncalo apoli</cp:lastModifiedBy>
  <dcterms:created xsi:type="dcterms:W3CDTF">2022-06-16T18:48:51Z</dcterms:created>
  <dcterms:modified xsi:type="dcterms:W3CDTF">2023-07-10T16:11:49Z</dcterms:modified>
</cp:coreProperties>
</file>