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0C32077-3C0C-4890-818A-24E012E734A1}" xr6:coauthVersionLast="47" xr6:coauthVersionMax="47" xr10:uidLastSave="{00000000-0000-0000-0000-000000000000}"/>
  <bookViews>
    <workbookView xWindow="-108" yWindow="-108" windowWidth="23256" windowHeight="12456" xr2:uid="{4AE755A2-2825-4ED6-A85C-010DF449DC9D}"/>
  </bookViews>
  <sheets>
    <sheet name="Financial Model-Siemens" sheetId="1" r:id="rId1"/>
  </sheets>
  <externalReferences>
    <externalReference r:id="rId2"/>
    <externalReference r:id="rId3"/>
  </externalReferences>
  <definedNames>
    <definedName name="BALANCE_SHEET" localSheetId="0">'Financial Model-Siemens'!$B$86</definedName>
    <definedName name="CASH_FLOW_STATEMENT" localSheetId="0">'Financial Model-Siemens'!$B$327</definedName>
    <definedName name="CIQWBGuid" hidden="1">"a611639b-bab1-425e-aaa5-008c326fdfdb"</definedName>
    <definedName name="Cover" localSheetId="0">'Financial Model-Siemens'!$A$1</definedName>
    <definedName name="EPS" localSheetId="0">'Financial Model-Siemens'!$B$51</definedName>
    <definedName name="INCOME_STATEMENT" localSheetId="0">'Financial Model-Siemens'!$B$22</definedName>
    <definedName name="Inv_Cap">[1]Results!$E$182:$AD$182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41451.5654050926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NOPLAT">[1]Results!$E$145:$AD$145</definedName>
    <definedName name="One">'[1]Forecast Drivers'!$D$330</definedName>
    <definedName name="Products">[2]Array0!$B$5:$C$7</definedName>
    <definedName name="RATIO_ANALYSIS" localSheetId="0">'Financial Model-Siemens'!$B$374</definedName>
    <definedName name="Rev">'[1]Forecast Drivers'!$E$25:$S$25</definedName>
    <definedName name="SCENARIO_ANALYSIS" localSheetId="0">'Financial Model-Siemens'!$B$424</definedName>
    <definedName name="SENSITIVITY_ANALYSIS" localSheetId="0">'Financial Model-Siemens'!$B$401</definedName>
  </definedNames>
  <calcPr calcId="191029" iterate="1" iterateCount="10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3" i="1" l="1"/>
  <c r="J57" i="1" s="1"/>
  <c r="I433" i="1"/>
  <c r="I57" i="1" s="1"/>
  <c r="H433" i="1"/>
  <c r="H57" i="1" s="1"/>
  <c r="G433" i="1"/>
  <c r="G57" i="1" s="1"/>
  <c r="F433" i="1"/>
  <c r="F57" i="1" s="1"/>
  <c r="J432" i="1"/>
  <c r="J56" i="1" s="1"/>
  <c r="I432" i="1"/>
  <c r="I56" i="1" s="1"/>
  <c r="H432" i="1"/>
  <c r="H56" i="1" s="1"/>
  <c r="G432" i="1"/>
  <c r="G56" i="1" s="1"/>
  <c r="F432" i="1"/>
  <c r="F56" i="1" s="1"/>
  <c r="C419" i="1" s="1"/>
  <c r="J431" i="1"/>
  <c r="J55" i="1" s="1"/>
  <c r="I431" i="1"/>
  <c r="I55" i="1" s="1"/>
  <c r="H431" i="1"/>
  <c r="H55" i="1" s="1"/>
  <c r="G431" i="1"/>
  <c r="G55" i="1" s="1"/>
  <c r="F431" i="1"/>
  <c r="F55" i="1" s="1"/>
  <c r="J430" i="1"/>
  <c r="J54" i="1" s="1"/>
  <c r="I430" i="1"/>
  <c r="I54" i="1" s="1"/>
  <c r="H430" i="1"/>
  <c r="H54" i="1" s="1"/>
  <c r="G430" i="1"/>
  <c r="G54" i="1" s="1"/>
  <c r="F430" i="1"/>
  <c r="F54" i="1" s="1"/>
  <c r="F227" i="1" s="1"/>
  <c r="G415" i="1"/>
  <c r="H415" i="1" s="1"/>
  <c r="E415" i="1"/>
  <c r="D415" i="1" s="1"/>
  <c r="C411" i="1"/>
  <c r="C410" i="1"/>
  <c r="C408" i="1"/>
  <c r="C407" i="1" s="1"/>
  <c r="C406" i="1" s="1"/>
  <c r="G405" i="1"/>
  <c r="H405" i="1" s="1"/>
  <c r="E405" i="1"/>
  <c r="D405" i="1"/>
  <c r="E394" i="1"/>
  <c r="D394" i="1"/>
  <c r="E379" i="1"/>
  <c r="D379" i="1"/>
  <c r="E378" i="1"/>
  <c r="D378" i="1"/>
  <c r="E377" i="1"/>
  <c r="D377" i="1"/>
  <c r="E372" i="1"/>
  <c r="E370" i="1"/>
  <c r="E371" i="1" s="1"/>
  <c r="D370" i="1"/>
  <c r="D371" i="1" s="1"/>
  <c r="F371" i="1" s="1"/>
  <c r="C370" i="1"/>
  <c r="E368" i="1"/>
  <c r="D368" i="1"/>
  <c r="E365" i="1" s="1"/>
  <c r="E367" i="1"/>
  <c r="E366" i="1"/>
  <c r="F365" i="1"/>
  <c r="E360" i="1"/>
  <c r="E359" i="1" s="1"/>
  <c r="D360" i="1"/>
  <c r="D359" i="1"/>
  <c r="E357" i="1"/>
  <c r="D357" i="1"/>
  <c r="C357" i="1"/>
  <c r="D355" i="1" s="1"/>
  <c r="F355" i="1"/>
  <c r="E355" i="1"/>
  <c r="F350" i="1"/>
  <c r="H346" i="1"/>
  <c r="F343" i="1"/>
  <c r="G342" i="1"/>
  <c r="K339" i="1"/>
  <c r="D329" i="1"/>
  <c r="C329" i="1"/>
  <c r="B329" i="1"/>
  <c r="B328" i="1"/>
  <c r="E324" i="1"/>
  <c r="D324" i="1"/>
  <c r="H322" i="1"/>
  <c r="H324" i="1" s="1"/>
  <c r="I322" i="1" s="1"/>
  <c r="I324" i="1" s="1"/>
  <c r="J322" i="1" s="1"/>
  <c r="J324" i="1" s="1"/>
  <c r="F322" i="1"/>
  <c r="F324" i="1" s="1"/>
  <c r="G322" i="1" s="1"/>
  <c r="G324" i="1" s="1"/>
  <c r="E315" i="1"/>
  <c r="D315" i="1"/>
  <c r="J314" i="1"/>
  <c r="J346" i="1" s="1"/>
  <c r="I314" i="1"/>
  <c r="I346" i="1" s="1"/>
  <c r="H314" i="1"/>
  <c r="G314" i="1"/>
  <c r="G346" i="1" s="1"/>
  <c r="F314" i="1"/>
  <c r="F346" i="1" s="1"/>
  <c r="F312" i="1"/>
  <c r="E307" i="1"/>
  <c r="D307" i="1"/>
  <c r="J306" i="1"/>
  <c r="J342" i="1" s="1"/>
  <c r="I306" i="1"/>
  <c r="I342" i="1" s="1"/>
  <c r="H306" i="1"/>
  <c r="H342" i="1" s="1"/>
  <c r="G306" i="1"/>
  <c r="F306" i="1"/>
  <c r="F342" i="1" s="1"/>
  <c r="F305" i="1"/>
  <c r="E301" i="1"/>
  <c r="D301" i="1"/>
  <c r="C301" i="1"/>
  <c r="E298" i="1"/>
  <c r="D298" i="1"/>
  <c r="J296" i="1"/>
  <c r="I296" i="1"/>
  <c r="H296" i="1"/>
  <c r="G296" i="1"/>
  <c r="F296" i="1"/>
  <c r="F295" i="1"/>
  <c r="F287" i="1"/>
  <c r="F279" i="1" s="1"/>
  <c r="H286" i="1"/>
  <c r="G286" i="1"/>
  <c r="F286" i="1"/>
  <c r="E286" i="1"/>
  <c r="D286" i="1"/>
  <c r="E284" i="1"/>
  <c r="E287" i="1" s="1"/>
  <c r="D284" i="1"/>
  <c r="O283" i="1"/>
  <c r="G283" i="1"/>
  <c r="F283" i="1"/>
  <c r="F282" i="1"/>
  <c r="F284" i="1" s="1"/>
  <c r="G282" i="1" s="1"/>
  <c r="F272" i="1"/>
  <c r="F274" i="1" s="1"/>
  <c r="E269" i="1"/>
  <c r="D269" i="1"/>
  <c r="F267" i="1"/>
  <c r="E267" i="1"/>
  <c r="E262" i="1"/>
  <c r="F260" i="1" s="1"/>
  <c r="F262" i="1" s="1"/>
  <c r="D262" i="1"/>
  <c r="E260" i="1" s="1"/>
  <c r="E257" i="1"/>
  <c r="F255" i="1" s="1"/>
  <c r="F257" i="1" s="1"/>
  <c r="D257" i="1"/>
  <c r="E255" i="1"/>
  <c r="E252" i="1"/>
  <c r="D252" i="1"/>
  <c r="F250" i="1"/>
  <c r="F252" i="1" s="1"/>
  <c r="E250" i="1"/>
  <c r="E242" i="1"/>
  <c r="F240" i="1" s="1"/>
  <c r="F242" i="1" s="1"/>
  <c r="G240" i="1" s="1"/>
  <c r="G242" i="1" s="1"/>
  <c r="D242" i="1"/>
  <c r="E240" i="1" s="1"/>
  <c r="H240" i="1"/>
  <c r="H242" i="1" s="1"/>
  <c r="F237" i="1"/>
  <c r="G235" i="1" s="1"/>
  <c r="G237" i="1" s="1"/>
  <c r="H235" i="1" s="1"/>
  <c r="H237" i="1" s="1"/>
  <c r="H97" i="1" s="1"/>
  <c r="E237" i="1"/>
  <c r="F235" i="1" s="1"/>
  <c r="D237" i="1"/>
  <c r="E235" i="1"/>
  <c r="E232" i="1"/>
  <c r="D232" i="1"/>
  <c r="F230" i="1"/>
  <c r="F232" i="1" s="1"/>
  <c r="G230" i="1" s="1"/>
  <c r="G232" i="1" s="1"/>
  <c r="H230" i="1" s="1"/>
  <c r="H232" i="1" s="1"/>
  <c r="I230" i="1" s="1"/>
  <c r="I232" i="1" s="1"/>
  <c r="J230" i="1" s="1"/>
  <c r="J232" i="1" s="1"/>
  <c r="E230" i="1"/>
  <c r="E227" i="1"/>
  <c r="D227" i="1"/>
  <c r="E225" i="1" s="1"/>
  <c r="F225" i="1"/>
  <c r="F222" i="1"/>
  <c r="E222" i="1"/>
  <c r="F220" i="1" s="1"/>
  <c r="D222" i="1"/>
  <c r="E220" i="1"/>
  <c r="E217" i="1"/>
  <c r="D217" i="1"/>
  <c r="F215" i="1"/>
  <c r="F217" i="1" s="1"/>
  <c r="E215" i="1"/>
  <c r="E212" i="1"/>
  <c r="D212" i="1"/>
  <c r="F210" i="1"/>
  <c r="F212" i="1" s="1"/>
  <c r="F207" i="1"/>
  <c r="E207" i="1"/>
  <c r="D207" i="1"/>
  <c r="G205" i="1"/>
  <c r="G207" i="1" s="1"/>
  <c r="F205" i="1"/>
  <c r="E205" i="1"/>
  <c r="E202" i="1"/>
  <c r="F200" i="1" s="1"/>
  <c r="F202" i="1" s="1"/>
  <c r="D202" i="1"/>
  <c r="E200" i="1" s="1"/>
  <c r="E170" i="1"/>
  <c r="E171" i="1" s="1"/>
  <c r="F171" i="1" s="1"/>
  <c r="D170" i="1"/>
  <c r="D171" i="1" s="1"/>
  <c r="F169" i="1"/>
  <c r="G169" i="1" s="1"/>
  <c r="E169" i="1"/>
  <c r="D169" i="1"/>
  <c r="E167" i="1"/>
  <c r="D167" i="1"/>
  <c r="D157" i="1"/>
  <c r="F156" i="1"/>
  <c r="E154" i="1"/>
  <c r="E156" i="1" s="1"/>
  <c r="D154" i="1"/>
  <c r="D156" i="1" s="1"/>
  <c r="E152" i="1"/>
  <c r="D148" i="1"/>
  <c r="E145" i="1"/>
  <c r="D145" i="1"/>
  <c r="D147" i="1" s="1"/>
  <c r="D149" i="1" s="1"/>
  <c r="E143" i="1"/>
  <c r="E140" i="1"/>
  <c r="D139" i="1"/>
  <c r="E137" i="1"/>
  <c r="E139" i="1" s="1"/>
  <c r="D137" i="1"/>
  <c r="F135" i="1"/>
  <c r="E135" i="1"/>
  <c r="D127" i="1"/>
  <c r="C127" i="1"/>
  <c r="G126" i="1"/>
  <c r="H126" i="1" s="1"/>
  <c r="I126" i="1" s="1"/>
  <c r="J126" i="1" s="1"/>
  <c r="F126" i="1"/>
  <c r="E125" i="1"/>
  <c r="E127" i="1" s="1"/>
  <c r="D125" i="1"/>
  <c r="C125" i="1"/>
  <c r="J124" i="1"/>
  <c r="I124" i="1"/>
  <c r="H124" i="1"/>
  <c r="G124" i="1"/>
  <c r="F124" i="1"/>
  <c r="G123" i="1"/>
  <c r="H123" i="1" s="1"/>
  <c r="H307" i="1" s="1"/>
  <c r="I305" i="1" s="1"/>
  <c r="F123" i="1"/>
  <c r="F307" i="1" s="1"/>
  <c r="G305" i="1" s="1"/>
  <c r="I121" i="1"/>
  <c r="J121" i="1" s="1"/>
  <c r="G121" i="1"/>
  <c r="H121" i="1" s="1"/>
  <c r="F121" i="1"/>
  <c r="C118" i="1"/>
  <c r="G116" i="1"/>
  <c r="H116" i="1" s="1"/>
  <c r="I116" i="1" s="1"/>
  <c r="J116" i="1" s="1"/>
  <c r="F116" i="1"/>
  <c r="F114" i="1"/>
  <c r="G113" i="1"/>
  <c r="F113" i="1"/>
  <c r="F112" i="1"/>
  <c r="E110" i="1"/>
  <c r="E247" i="1" s="1"/>
  <c r="F245" i="1" s="1"/>
  <c r="F247" i="1" s="1"/>
  <c r="F110" i="1" s="1"/>
  <c r="D110" i="1"/>
  <c r="D118" i="1" s="1"/>
  <c r="C110" i="1"/>
  <c r="F109" i="1"/>
  <c r="G109" i="1" s="1"/>
  <c r="H109" i="1" s="1"/>
  <c r="I109" i="1" s="1"/>
  <c r="J109" i="1" s="1"/>
  <c r="F108" i="1"/>
  <c r="E104" i="1"/>
  <c r="H103" i="1"/>
  <c r="I103" i="1" s="1"/>
  <c r="J103" i="1" s="1"/>
  <c r="F103" i="1"/>
  <c r="G103" i="1" s="1"/>
  <c r="E99" i="1"/>
  <c r="E165" i="1" s="1"/>
  <c r="F162" i="1" s="1"/>
  <c r="D99" i="1"/>
  <c r="D104" i="1" s="1"/>
  <c r="C99" i="1"/>
  <c r="C104" i="1" s="1"/>
  <c r="C128" i="1" s="1"/>
  <c r="H98" i="1"/>
  <c r="I98" i="1" s="1"/>
  <c r="J98" i="1" s="1"/>
  <c r="F98" i="1"/>
  <c r="G98" i="1" s="1"/>
  <c r="G97" i="1"/>
  <c r="F97" i="1"/>
  <c r="G96" i="1"/>
  <c r="H96" i="1" s="1"/>
  <c r="I96" i="1" s="1"/>
  <c r="J96" i="1" s="1"/>
  <c r="F96" i="1"/>
  <c r="I95" i="1"/>
  <c r="J95" i="1" s="1"/>
  <c r="G95" i="1"/>
  <c r="H95" i="1" s="1"/>
  <c r="F95" i="1"/>
  <c r="D88" i="1"/>
  <c r="C88" i="1"/>
  <c r="B88" i="1"/>
  <c r="B87" i="1"/>
  <c r="H81" i="1"/>
  <c r="I81" i="1" s="1"/>
  <c r="G81" i="1"/>
  <c r="E80" i="1"/>
  <c r="D80" i="1"/>
  <c r="E78" i="1"/>
  <c r="D78" i="1"/>
  <c r="E75" i="1"/>
  <c r="E82" i="1" s="1"/>
  <c r="D75" i="1"/>
  <c r="D82" i="1" s="1"/>
  <c r="D84" i="1" s="1"/>
  <c r="C75" i="1"/>
  <c r="C82" i="1" s="1"/>
  <c r="E74" i="1"/>
  <c r="G74" i="1" s="1"/>
  <c r="D74" i="1"/>
  <c r="F73" i="1"/>
  <c r="E72" i="1"/>
  <c r="G72" i="1" s="1"/>
  <c r="D72" i="1"/>
  <c r="F71" i="1"/>
  <c r="E70" i="1"/>
  <c r="G70" i="1" s="1"/>
  <c r="D70" i="1"/>
  <c r="F69" i="1"/>
  <c r="E68" i="1"/>
  <c r="G68" i="1" s="1"/>
  <c r="D68" i="1"/>
  <c r="F67" i="1"/>
  <c r="D63" i="1"/>
  <c r="E57" i="1"/>
  <c r="D57" i="1"/>
  <c r="C57" i="1"/>
  <c r="E56" i="1"/>
  <c r="D56" i="1"/>
  <c r="C56" i="1"/>
  <c r="E55" i="1"/>
  <c r="D55" i="1"/>
  <c r="E54" i="1"/>
  <c r="D54" i="1"/>
  <c r="G47" i="1"/>
  <c r="H47" i="1" s="1"/>
  <c r="I47" i="1" s="1"/>
  <c r="J47" i="1" s="1"/>
  <c r="F47" i="1"/>
  <c r="E47" i="1"/>
  <c r="D47" i="1"/>
  <c r="C47" i="1"/>
  <c r="H43" i="1"/>
  <c r="I43" i="1" s="1"/>
  <c r="J43" i="1" s="1"/>
  <c r="G43" i="1"/>
  <c r="F43" i="1"/>
  <c r="I41" i="1"/>
  <c r="J41" i="1" s="1"/>
  <c r="H41" i="1"/>
  <c r="G41" i="1"/>
  <c r="F41" i="1"/>
  <c r="G37" i="1"/>
  <c r="H37" i="1" s="1"/>
  <c r="I37" i="1" s="1"/>
  <c r="J37" i="1" s="1"/>
  <c r="F37" i="1"/>
  <c r="H36" i="1"/>
  <c r="G36" i="1"/>
  <c r="F36" i="1"/>
  <c r="E34" i="1"/>
  <c r="E384" i="1" s="1"/>
  <c r="D34" i="1"/>
  <c r="D384" i="1" s="1"/>
  <c r="F33" i="1"/>
  <c r="G33" i="1" s="1"/>
  <c r="H33" i="1" s="1"/>
  <c r="I33" i="1" s="1"/>
  <c r="J33" i="1" s="1"/>
  <c r="G32" i="1"/>
  <c r="H32" i="1" s="1"/>
  <c r="I32" i="1" s="1"/>
  <c r="J32" i="1" s="1"/>
  <c r="F32" i="1"/>
  <c r="H31" i="1"/>
  <c r="I31" i="1" s="1"/>
  <c r="J31" i="1" s="1"/>
  <c r="G31" i="1"/>
  <c r="F31" i="1"/>
  <c r="E28" i="1"/>
  <c r="E383" i="1" s="1"/>
  <c r="D28" i="1"/>
  <c r="D383" i="1" s="1"/>
  <c r="C28" i="1"/>
  <c r="C55" i="1" s="1"/>
  <c r="F24" i="1"/>
  <c r="F329" i="1" s="1"/>
  <c r="E24" i="1"/>
  <c r="E23" i="1"/>
  <c r="D23" i="1"/>
  <c r="B2" i="1"/>
  <c r="H68" i="1" l="1"/>
  <c r="H70" i="1"/>
  <c r="I70" i="1" s="1"/>
  <c r="G67" i="1"/>
  <c r="H67" i="1" s="1"/>
  <c r="F75" i="1"/>
  <c r="G69" i="1"/>
  <c r="F78" i="1"/>
  <c r="F77" i="1" s="1"/>
  <c r="C84" i="1"/>
  <c r="D83" i="1"/>
  <c r="G227" i="1"/>
  <c r="F226" i="1"/>
  <c r="F333" i="1" s="1"/>
  <c r="G225" i="1"/>
  <c r="F100" i="1"/>
  <c r="E84" i="1"/>
  <c r="E83" i="1"/>
  <c r="G71" i="1"/>
  <c r="H72" i="1"/>
  <c r="I74" i="1"/>
  <c r="G78" i="1"/>
  <c r="J81" i="1"/>
  <c r="D87" i="1"/>
  <c r="D328" i="1"/>
  <c r="C23" i="1"/>
  <c r="E329" i="1"/>
  <c r="E88" i="1"/>
  <c r="D76" i="1"/>
  <c r="E390" i="1"/>
  <c r="E391" i="1"/>
  <c r="E399" i="1"/>
  <c r="D140" i="1"/>
  <c r="D380" i="1" s="1"/>
  <c r="F139" i="1"/>
  <c r="E148" i="1"/>
  <c r="E144" i="1"/>
  <c r="F143" i="1"/>
  <c r="E147" i="1"/>
  <c r="F157" i="1"/>
  <c r="G215" i="1"/>
  <c r="G217" i="1" s="1"/>
  <c r="F102" i="1"/>
  <c r="G250" i="1"/>
  <c r="G252" i="1" s="1"/>
  <c r="F93" i="1"/>
  <c r="C34" i="1"/>
  <c r="D38" i="1"/>
  <c r="C420" i="1"/>
  <c r="C421" i="1" s="1"/>
  <c r="C418" i="1"/>
  <c r="C417" i="1" s="1"/>
  <c r="C416" i="1" s="1"/>
  <c r="E63" i="1"/>
  <c r="H74" i="1"/>
  <c r="E76" i="1"/>
  <c r="D165" i="1"/>
  <c r="H169" i="1"/>
  <c r="G171" i="1"/>
  <c r="F92" i="1"/>
  <c r="F338" i="1" s="1"/>
  <c r="G200" i="1"/>
  <c r="G202" i="1" s="1"/>
  <c r="H205" i="1"/>
  <c r="H207" i="1" s="1"/>
  <c r="G112" i="1"/>
  <c r="E328" i="1"/>
  <c r="E87" i="1"/>
  <c r="G24" i="1"/>
  <c r="E38" i="1"/>
  <c r="G73" i="1"/>
  <c r="F88" i="1"/>
  <c r="G108" i="1"/>
  <c r="E157" i="1"/>
  <c r="G156" i="1"/>
  <c r="G210" i="1"/>
  <c r="G212" i="1" s="1"/>
  <c r="F101" i="1"/>
  <c r="G220" i="1"/>
  <c r="G222" i="1" s="1"/>
  <c r="F117" i="1"/>
  <c r="G245" i="1"/>
  <c r="G247" i="1" s="1"/>
  <c r="G255" i="1"/>
  <c r="G257" i="1" s="1"/>
  <c r="F115" i="1"/>
  <c r="F23" i="1"/>
  <c r="D399" i="1"/>
  <c r="D390" i="1"/>
  <c r="D391" i="1"/>
  <c r="E118" i="1"/>
  <c r="E128" i="1" s="1"/>
  <c r="E395" i="1"/>
  <c r="E396" i="1"/>
  <c r="D128" i="1"/>
  <c r="I240" i="1"/>
  <c r="I242" i="1" s="1"/>
  <c r="H113" i="1"/>
  <c r="F152" i="1"/>
  <c r="E153" i="1"/>
  <c r="D247" i="1"/>
  <c r="E245" i="1" s="1"/>
  <c r="G260" i="1"/>
  <c r="G262" i="1" s="1"/>
  <c r="F111" i="1"/>
  <c r="F347" i="1" s="1"/>
  <c r="H283" i="1"/>
  <c r="F372" i="1"/>
  <c r="D395" i="1"/>
  <c r="D396" i="1"/>
  <c r="G343" i="1"/>
  <c r="I283" i="1"/>
  <c r="I343" i="1" s="1"/>
  <c r="G284" i="1"/>
  <c r="G287" i="1"/>
  <c r="G279" i="1" s="1"/>
  <c r="G307" i="1"/>
  <c r="H305" i="1" s="1"/>
  <c r="G371" i="1"/>
  <c r="I123" i="1"/>
  <c r="I235" i="1"/>
  <c r="I237" i="1" s="1"/>
  <c r="I286" i="1"/>
  <c r="H78" i="1" l="1"/>
  <c r="J70" i="1"/>
  <c r="H69" i="1"/>
  <c r="I69" i="1" s="1"/>
  <c r="J69" i="1" s="1"/>
  <c r="I68" i="1"/>
  <c r="I67" i="1" s="1"/>
  <c r="G372" i="1"/>
  <c r="F367" i="1"/>
  <c r="F366" i="1"/>
  <c r="F368" i="1" s="1"/>
  <c r="J240" i="1"/>
  <c r="J242" i="1" s="1"/>
  <c r="J113" i="1" s="1"/>
  <c r="I113" i="1"/>
  <c r="B403" i="1"/>
  <c r="F328" i="1"/>
  <c r="F87" i="1"/>
  <c r="G23" i="1"/>
  <c r="H73" i="1"/>
  <c r="G75" i="1"/>
  <c r="F140" i="1"/>
  <c r="G139" i="1"/>
  <c r="G114" i="1"/>
  <c r="H282" i="1"/>
  <c r="H284" i="1" s="1"/>
  <c r="H343" i="1"/>
  <c r="J283" i="1"/>
  <c r="J343" i="1" s="1"/>
  <c r="H245" i="1"/>
  <c r="H247" i="1" s="1"/>
  <c r="G110" i="1"/>
  <c r="H210" i="1"/>
  <c r="H212" i="1" s="1"/>
  <c r="G101" i="1"/>
  <c r="E40" i="1"/>
  <c r="E42" i="1" s="1"/>
  <c r="E58" i="1"/>
  <c r="H250" i="1"/>
  <c r="H252" i="1" s="1"/>
  <c r="G93" i="1"/>
  <c r="H227" i="1"/>
  <c r="H225" i="1"/>
  <c r="G100" i="1"/>
  <c r="G226" i="1"/>
  <c r="G333" i="1" s="1"/>
  <c r="G157" i="1"/>
  <c r="I156" i="1"/>
  <c r="G329" i="1"/>
  <c r="G88" i="1"/>
  <c r="H24" i="1"/>
  <c r="I205" i="1"/>
  <c r="I207" i="1" s="1"/>
  <c r="H112" i="1"/>
  <c r="H171" i="1"/>
  <c r="J74" i="1"/>
  <c r="D58" i="1"/>
  <c r="F58" i="1" s="1"/>
  <c r="D40" i="1"/>
  <c r="D42" i="1" s="1"/>
  <c r="C328" i="1"/>
  <c r="C87" i="1"/>
  <c r="F82" i="1"/>
  <c r="G77" i="1"/>
  <c r="H71" i="1"/>
  <c r="F83" i="1"/>
  <c r="J286" i="1"/>
  <c r="I36" i="1"/>
  <c r="I307" i="1"/>
  <c r="J305" i="1" s="1"/>
  <c r="J123" i="1"/>
  <c r="J307" i="1" s="1"/>
  <c r="H255" i="1"/>
  <c r="H257" i="1" s="1"/>
  <c r="G115" i="1"/>
  <c r="G347" i="1" s="1"/>
  <c r="H108" i="1"/>
  <c r="F147" i="1"/>
  <c r="E149" i="1"/>
  <c r="E380" i="1" s="1"/>
  <c r="J235" i="1"/>
  <c r="J237" i="1" s="1"/>
  <c r="J97" i="1" s="1"/>
  <c r="I97" i="1"/>
  <c r="H371" i="1"/>
  <c r="H260" i="1"/>
  <c r="H262" i="1" s="1"/>
  <c r="G111" i="1"/>
  <c r="H220" i="1"/>
  <c r="H222" i="1" s="1"/>
  <c r="G117" i="1"/>
  <c r="H200" i="1"/>
  <c r="H202" i="1" s="1"/>
  <c r="G92" i="1"/>
  <c r="I169" i="1"/>
  <c r="C63" i="1"/>
  <c r="C38" i="1"/>
  <c r="H215" i="1"/>
  <c r="H217" i="1" s="1"/>
  <c r="G102" i="1"/>
  <c r="H156" i="1"/>
  <c r="F76" i="1"/>
  <c r="G76" i="1" s="1"/>
  <c r="I78" i="1"/>
  <c r="J78" i="1" s="1"/>
  <c r="I72" i="1"/>
  <c r="J72" i="1" s="1"/>
  <c r="J68" i="1" l="1"/>
  <c r="J67" i="1" s="1"/>
  <c r="I157" i="1"/>
  <c r="I210" i="1"/>
  <c r="I212" i="1" s="1"/>
  <c r="H101" i="1"/>
  <c r="G365" i="1"/>
  <c r="F46" i="1"/>
  <c r="F48" i="1" s="1"/>
  <c r="H102" i="1"/>
  <c r="I215" i="1"/>
  <c r="I217" i="1" s="1"/>
  <c r="J169" i="1"/>
  <c r="H117" i="1"/>
  <c r="I220" i="1"/>
  <c r="I222" i="1" s="1"/>
  <c r="F149" i="1"/>
  <c r="I71" i="1"/>
  <c r="J71" i="1" s="1"/>
  <c r="H329" i="1"/>
  <c r="H88" i="1"/>
  <c r="I24" i="1"/>
  <c r="G58" i="1"/>
  <c r="H58" i="1" s="1"/>
  <c r="I282" i="1"/>
  <c r="I284" i="1" s="1"/>
  <c r="H114" i="1"/>
  <c r="H287" i="1"/>
  <c r="H279" i="1" s="1"/>
  <c r="G140" i="1"/>
  <c r="H75" i="1"/>
  <c r="I73" i="1"/>
  <c r="H76" i="1"/>
  <c r="C58" i="1"/>
  <c r="C40" i="1"/>
  <c r="C42" i="1" s="1"/>
  <c r="C44" i="1" s="1"/>
  <c r="G338" i="1"/>
  <c r="G147" i="1"/>
  <c r="H147" i="1" s="1"/>
  <c r="I255" i="1"/>
  <c r="I257" i="1" s="1"/>
  <c r="H115" i="1"/>
  <c r="J36" i="1"/>
  <c r="H77" i="1"/>
  <c r="G82" i="1"/>
  <c r="D387" i="1"/>
  <c r="D389" i="1"/>
  <c r="D392" i="1" s="1"/>
  <c r="D385" i="1"/>
  <c r="D386" i="1"/>
  <c r="D317" i="1"/>
  <c r="D318" i="1" s="1"/>
  <c r="F318" i="1" s="1"/>
  <c r="D44" i="1"/>
  <c r="I171" i="1"/>
  <c r="I227" i="1"/>
  <c r="H226" i="1"/>
  <c r="H333" i="1" s="1"/>
  <c r="I225" i="1"/>
  <c r="H100" i="1"/>
  <c r="E389" i="1"/>
  <c r="E392" i="1" s="1"/>
  <c r="E385" i="1"/>
  <c r="E386" i="1"/>
  <c r="E317" i="1"/>
  <c r="E318" i="1" s="1"/>
  <c r="E387" i="1"/>
  <c r="E44" i="1"/>
  <c r="I245" i="1"/>
  <c r="I247" i="1" s="1"/>
  <c r="H110" i="1"/>
  <c r="H139" i="1"/>
  <c r="G328" i="1"/>
  <c r="G87" i="1"/>
  <c r="H23" i="1"/>
  <c r="G366" i="1"/>
  <c r="G367" i="1"/>
  <c r="H372" i="1"/>
  <c r="I108" i="1"/>
  <c r="I112" i="1"/>
  <c r="J205" i="1"/>
  <c r="J207" i="1" s="1"/>
  <c r="J112" i="1" s="1"/>
  <c r="I76" i="1"/>
  <c r="H157" i="1"/>
  <c r="J156" i="1"/>
  <c r="I200" i="1"/>
  <c r="I202" i="1" s="1"/>
  <c r="H92" i="1"/>
  <c r="I260" i="1"/>
  <c r="I262" i="1" s="1"/>
  <c r="H111" i="1"/>
  <c r="H347" i="1" s="1"/>
  <c r="G83" i="1"/>
  <c r="H83" i="1" s="1"/>
  <c r="F26" i="1"/>
  <c r="I250" i="1"/>
  <c r="I252" i="1" s="1"/>
  <c r="H93" i="1"/>
  <c r="I371" i="1"/>
  <c r="J371" i="1" s="1"/>
  <c r="F380" i="1"/>
  <c r="H149" i="1" l="1"/>
  <c r="J250" i="1"/>
  <c r="J252" i="1" s="1"/>
  <c r="J93" i="1" s="1"/>
  <c r="I93" i="1"/>
  <c r="J108" i="1"/>
  <c r="H140" i="1"/>
  <c r="J139" i="1"/>
  <c r="I139" i="1"/>
  <c r="I58" i="1"/>
  <c r="J58" i="1" s="1"/>
  <c r="J220" i="1"/>
  <c r="J222" i="1" s="1"/>
  <c r="J117" i="1" s="1"/>
  <c r="I117" i="1"/>
  <c r="F28" i="1"/>
  <c r="F27" i="1" s="1"/>
  <c r="F168" i="1"/>
  <c r="F30" i="1"/>
  <c r="F29" i="1"/>
  <c r="F137" i="1"/>
  <c r="J260" i="1"/>
  <c r="J262" i="1" s="1"/>
  <c r="J111" i="1" s="1"/>
  <c r="I111" i="1"/>
  <c r="J157" i="1"/>
  <c r="H328" i="1"/>
  <c r="H87" i="1"/>
  <c r="I23" i="1"/>
  <c r="G318" i="1"/>
  <c r="G26" i="1"/>
  <c r="G84" i="1" s="1"/>
  <c r="I329" i="1"/>
  <c r="I88" i="1"/>
  <c r="J24" i="1"/>
  <c r="F84" i="1"/>
  <c r="H338" i="1"/>
  <c r="H366" i="1"/>
  <c r="I372" i="1"/>
  <c r="H367" i="1"/>
  <c r="J245" i="1"/>
  <c r="J247" i="1" s="1"/>
  <c r="J110" i="1" s="1"/>
  <c r="I110" i="1"/>
  <c r="I347" i="1" s="1"/>
  <c r="J171" i="1"/>
  <c r="I77" i="1"/>
  <c r="H82" i="1"/>
  <c r="J255" i="1"/>
  <c r="J257" i="1" s="1"/>
  <c r="J115" i="1" s="1"/>
  <c r="I115" i="1"/>
  <c r="I101" i="1"/>
  <c r="J210" i="1"/>
  <c r="J212" i="1" s="1"/>
  <c r="J101" i="1" s="1"/>
  <c r="I83" i="1"/>
  <c r="J83" i="1" s="1"/>
  <c r="G149" i="1"/>
  <c r="I147" i="1"/>
  <c r="J76" i="1"/>
  <c r="G380" i="1"/>
  <c r="J282" i="1"/>
  <c r="J284" i="1" s="1"/>
  <c r="I114" i="1"/>
  <c r="I287" i="1"/>
  <c r="I279" i="1" s="1"/>
  <c r="G368" i="1"/>
  <c r="I92" i="1"/>
  <c r="J200" i="1"/>
  <c r="J202" i="1" s="1"/>
  <c r="J92" i="1" s="1"/>
  <c r="J227" i="1"/>
  <c r="I226" i="1"/>
  <c r="I333" i="1" s="1"/>
  <c r="J225" i="1"/>
  <c r="I100" i="1"/>
  <c r="I75" i="1"/>
  <c r="J73" i="1"/>
  <c r="J75" i="1" s="1"/>
  <c r="J215" i="1"/>
  <c r="J217" i="1" s="1"/>
  <c r="J102" i="1" s="1"/>
  <c r="I102" i="1"/>
  <c r="F154" i="1" l="1"/>
  <c r="F145" i="1"/>
  <c r="J338" i="1"/>
  <c r="I149" i="1"/>
  <c r="J372" i="1"/>
  <c r="I367" i="1"/>
  <c r="I366" i="1"/>
  <c r="J329" i="1"/>
  <c r="J88" i="1"/>
  <c r="J140" i="1"/>
  <c r="J347" i="1"/>
  <c r="I338" i="1"/>
  <c r="J114" i="1"/>
  <c r="J287" i="1"/>
  <c r="J279" i="1" s="1"/>
  <c r="H26" i="1"/>
  <c r="H84" i="1" s="1"/>
  <c r="G30" i="1"/>
  <c r="G29" i="1"/>
  <c r="G28" i="1"/>
  <c r="G27" i="1" s="1"/>
  <c r="G168" i="1"/>
  <c r="G137" i="1"/>
  <c r="F163" i="1"/>
  <c r="F170" i="1"/>
  <c r="F164" i="1" s="1"/>
  <c r="F61" i="1" s="1"/>
  <c r="F332" i="1" s="1"/>
  <c r="H380" i="1"/>
  <c r="J147" i="1"/>
  <c r="H365" i="1"/>
  <c r="H368" i="1" s="1"/>
  <c r="G46" i="1"/>
  <c r="G48" i="1" s="1"/>
  <c r="J77" i="1"/>
  <c r="J82" i="1" s="1"/>
  <c r="I82" i="1"/>
  <c r="F91" i="1"/>
  <c r="G135" i="1"/>
  <c r="F136" i="1"/>
  <c r="F335" i="1" s="1"/>
  <c r="I140" i="1"/>
  <c r="I380" i="1" s="1"/>
  <c r="J226" i="1"/>
  <c r="J333" i="1" s="1"/>
  <c r="J100" i="1"/>
  <c r="I328" i="1"/>
  <c r="I87" i="1"/>
  <c r="J23" i="1"/>
  <c r="F301" i="1"/>
  <c r="F297" i="1" s="1"/>
  <c r="F298" i="1" s="1"/>
  <c r="F383" i="1"/>
  <c r="F34" i="1"/>
  <c r="H318" i="1"/>
  <c r="G301" i="1" l="1"/>
  <c r="G297" i="1" s="1"/>
  <c r="G163" i="1"/>
  <c r="G340" i="1" s="1"/>
  <c r="G341" i="1" s="1"/>
  <c r="G170" i="1"/>
  <c r="G164" i="1" s="1"/>
  <c r="G61" i="1" s="1"/>
  <c r="G332" i="1" s="1"/>
  <c r="G295" i="1"/>
  <c r="F120" i="1"/>
  <c r="F153" i="1"/>
  <c r="F337" i="1" s="1"/>
  <c r="G152" i="1"/>
  <c r="F107" i="1"/>
  <c r="J318" i="1"/>
  <c r="J328" i="1"/>
  <c r="J87" i="1"/>
  <c r="I318" i="1"/>
  <c r="I365" i="1"/>
  <c r="I368" i="1" s="1"/>
  <c r="H46" i="1"/>
  <c r="H48" i="1" s="1"/>
  <c r="F340" i="1"/>
  <c r="F341" i="1" s="1"/>
  <c r="F165" i="1"/>
  <c r="G383" i="1"/>
  <c r="G34" i="1"/>
  <c r="F384" i="1"/>
  <c r="F63" i="1"/>
  <c r="C415" i="1" s="1"/>
  <c r="I26" i="1"/>
  <c r="I84" i="1" s="1"/>
  <c r="J149" i="1"/>
  <c r="G136" i="1"/>
  <c r="G335" i="1" s="1"/>
  <c r="H135" i="1"/>
  <c r="G91" i="1"/>
  <c r="J380" i="1"/>
  <c r="J84" i="1"/>
  <c r="J26" i="1"/>
  <c r="H30" i="1"/>
  <c r="H29" i="1"/>
  <c r="H28" i="1"/>
  <c r="H27" i="1" s="1"/>
  <c r="H168" i="1"/>
  <c r="H137" i="1"/>
  <c r="J367" i="1"/>
  <c r="J366" i="1"/>
  <c r="F144" i="1"/>
  <c r="F336" i="1" s="1"/>
  <c r="F94" i="1"/>
  <c r="G143" i="1"/>
  <c r="F148" i="1"/>
  <c r="G154" i="1"/>
  <c r="G145" i="1"/>
  <c r="H301" i="1" l="1"/>
  <c r="H297" i="1" s="1"/>
  <c r="G298" i="1"/>
  <c r="H295" i="1" s="1"/>
  <c r="H383" i="1"/>
  <c r="H34" i="1"/>
  <c r="G384" i="1"/>
  <c r="G63" i="1"/>
  <c r="H143" i="1"/>
  <c r="G94" i="1"/>
  <c r="G144" i="1"/>
  <c r="G336" i="1" s="1"/>
  <c r="G148" i="1"/>
  <c r="H136" i="1"/>
  <c r="H335" i="1" s="1"/>
  <c r="H91" i="1"/>
  <c r="I135" i="1"/>
  <c r="J365" i="1"/>
  <c r="J368" i="1" s="1"/>
  <c r="J46" i="1" s="1"/>
  <c r="J48" i="1" s="1"/>
  <c r="I46" i="1"/>
  <c r="I48" i="1" s="1"/>
  <c r="H152" i="1"/>
  <c r="G107" i="1"/>
  <c r="G153" i="1"/>
  <c r="G337" i="1" s="1"/>
  <c r="H163" i="1"/>
  <c r="H340" i="1" s="1"/>
  <c r="H341" i="1" s="1"/>
  <c r="H170" i="1"/>
  <c r="H164" i="1" s="1"/>
  <c r="H61" i="1" s="1"/>
  <c r="H332" i="1" s="1"/>
  <c r="J28" i="1"/>
  <c r="J27" i="1" s="1"/>
  <c r="J30" i="1"/>
  <c r="J29" i="1"/>
  <c r="J168" i="1"/>
  <c r="J137" i="1"/>
  <c r="I29" i="1"/>
  <c r="I28" i="1"/>
  <c r="I27" i="1" s="1"/>
  <c r="I30" i="1"/>
  <c r="I168" i="1"/>
  <c r="I137" i="1"/>
  <c r="G162" i="1"/>
  <c r="G165" i="1" s="1"/>
  <c r="F99" i="1"/>
  <c r="H154" i="1"/>
  <c r="H145" i="1"/>
  <c r="H298" i="1" l="1"/>
  <c r="I295" i="1" s="1"/>
  <c r="G120" i="1"/>
  <c r="I301" i="1"/>
  <c r="I297" i="1" s="1"/>
  <c r="I154" i="1"/>
  <c r="I145" i="1"/>
  <c r="J154" i="1"/>
  <c r="J145" i="1"/>
  <c r="H144" i="1"/>
  <c r="H336" i="1" s="1"/>
  <c r="I143" i="1"/>
  <c r="H94" i="1"/>
  <c r="H148" i="1"/>
  <c r="J163" i="1"/>
  <c r="J340" i="1" s="1"/>
  <c r="J341" i="1" s="1"/>
  <c r="J170" i="1"/>
  <c r="J164" i="1" s="1"/>
  <c r="J61" i="1" s="1"/>
  <c r="J332" i="1" s="1"/>
  <c r="J383" i="1"/>
  <c r="J34" i="1"/>
  <c r="H153" i="1"/>
  <c r="H337" i="1" s="1"/>
  <c r="I152" i="1"/>
  <c r="H107" i="1"/>
  <c r="H162" i="1"/>
  <c r="H165" i="1" s="1"/>
  <c r="G99" i="1"/>
  <c r="J301" i="1"/>
  <c r="J297" i="1" s="1"/>
  <c r="J135" i="1"/>
  <c r="J136" i="1" s="1"/>
  <c r="J335" i="1" s="1"/>
  <c r="I91" i="1"/>
  <c r="I136" i="1"/>
  <c r="I335" i="1" s="1"/>
  <c r="I383" i="1"/>
  <c r="I34" i="1"/>
  <c r="H384" i="1"/>
  <c r="H63" i="1"/>
  <c r="I163" i="1"/>
  <c r="I340" i="1" s="1"/>
  <c r="I341" i="1" s="1"/>
  <c r="I170" i="1"/>
  <c r="I164" i="1" s="1"/>
  <c r="I61" i="1" s="1"/>
  <c r="I332" i="1" s="1"/>
  <c r="J91" i="1"/>
  <c r="H120" i="1" l="1"/>
  <c r="I298" i="1"/>
  <c r="J295" i="1" s="1"/>
  <c r="J298" i="1" s="1"/>
  <c r="J120" i="1" s="1"/>
  <c r="J107" i="1"/>
  <c r="I384" i="1"/>
  <c r="I63" i="1"/>
  <c r="I162" i="1"/>
  <c r="I165" i="1" s="1"/>
  <c r="H99" i="1"/>
  <c r="J63" i="1"/>
  <c r="J384" i="1"/>
  <c r="J94" i="1"/>
  <c r="J148" i="1"/>
  <c r="I144" i="1"/>
  <c r="I336" i="1" s="1"/>
  <c r="J143" i="1"/>
  <c r="J144" i="1" s="1"/>
  <c r="J336" i="1" s="1"/>
  <c r="I94" i="1"/>
  <c r="I148" i="1"/>
  <c r="I107" i="1"/>
  <c r="J152" i="1"/>
  <c r="J153" i="1" s="1"/>
  <c r="J337" i="1" s="1"/>
  <c r="I153" i="1"/>
  <c r="I337" i="1" s="1"/>
  <c r="I120" i="1" l="1"/>
  <c r="J162" i="1"/>
  <c r="J165" i="1" s="1"/>
  <c r="J99" i="1" s="1"/>
  <c r="I99" i="1"/>
  <c r="F35" i="1"/>
  <c r="G35" i="1"/>
  <c r="H35" i="1"/>
  <c r="I35" i="1"/>
  <c r="J35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2" i="1"/>
  <c r="G42" i="1"/>
  <c r="H42" i="1"/>
  <c r="I42" i="1"/>
  <c r="J42" i="1"/>
  <c r="F44" i="1"/>
  <c r="G44" i="1"/>
  <c r="H44" i="1"/>
  <c r="I44" i="1"/>
  <c r="J44" i="1"/>
  <c r="F50" i="1"/>
  <c r="G50" i="1"/>
  <c r="H50" i="1"/>
  <c r="I50" i="1"/>
  <c r="J50" i="1"/>
  <c r="F51" i="1"/>
  <c r="G51" i="1"/>
  <c r="H51" i="1"/>
  <c r="I51" i="1"/>
  <c r="J51" i="1"/>
  <c r="F90" i="1"/>
  <c r="G90" i="1"/>
  <c r="H90" i="1"/>
  <c r="I90" i="1"/>
  <c r="J90" i="1"/>
  <c r="F104" i="1"/>
  <c r="G104" i="1"/>
  <c r="H104" i="1"/>
  <c r="I104" i="1"/>
  <c r="J104" i="1"/>
  <c r="F106" i="1"/>
  <c r="G106" i="1"/>
  <c r="H106" i="1"/>
  <c r="I106" i="1"/>
  <c r="J106" i="1"/>
  <c r="F118" i="1"/>
  <c r="G118" i="1"/>
  <c r="H118" i="1"/>
  <c r="I118" i="1"/>
  <c r="J118" i="1"/>
  <c r="F122" i="1"/>
  <c r="G122" i="1"/>
  <c r="H122" i="1"/>
  <c r="I122" i="1"/>
  <c r="J122" i="1"/>
  <c r="F125" i="1"/>
  <c r="G125" i="1"/>
  <c r="H125" i="1"/>
  <c r="I125" i="1"/>
  <c r="J125" i="1"/>
  <c r="F127" i="1"/>
  <c r="G127" i="1"/>
  <c r="H127" i="1"/>
  <c r="I127" i="1"/>
  <c r="J127" i="1"/>
  <c r="F128" i="1"/>
  <c r="G128" i="1"/>
  <c r="H128" i="1"/>
  <c r="I128" i="1"/>
  <c r="J128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G272" i="1"/>
  <c r="H272" i="1"/>
  <c r="I272" i="1"/>
  <c r="J272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8" i="1"/>
  <c r="G278" i="1"/>
  <c r="H278" i="1"/>
  <c r="I278" i="1"/>
  <c r="J278" i="1"/>
  <c r="G312" i="1"/>
  <c r="H312" i="1"/>
  <c r="I312" i="1"/>
  <c r="J312" i="1"/>
  <c r="F313" i="1"/>
  <c r="G313" i="1"/>
  <c r="H313" i="1"/>
  <c r="I313" i="1"/>
  <c r="J313" i="1"/>
  <c r="F315" i="1"/>
  <c r="G315" i="1"/>
  <c r="H315" i="1"/>
  <c r="I315" i="1"/>
  <c r="J315" i="1"/>
  <c r="F317" i="1"/>
  <c r="G317" i="1"/>
  <c r="H317" i="1"/>
  <c r="I317" i="1"/>
  <c r="J317" i="1"/>
  <c r="F331" i="1"/>
  <c r="G331" i="1"/>
  <c r="H331" i="1"/>
  <c r="I331" i="1"/>
  <c r="J331" i="1"/>
  <c r="F339" i="1"/>
  <c r="G339" i="1"/>
  <c r="H339" i="1"/>
  <c r="I339" i="1"/>
  <c r="J339" i="1"/>
  <c r="F345" i="1"/>
  <c r="G345" i="1"/>
  <c r="H345" i="1"/>
  <c r="I345" i="1"/>
  <c r="J345" i="1"/>
  <c r="F348" i="1"/>
  <c r="G348" i="1"/>
  <c r="H348" i="1"/>
  <c r="I348" i="1"/>
  <c r="J348" i="1"/>
  <c r="F349" i="1"/>
  <c r="G349" i="1"/>
  <c r="H349" i="1"/>
  <c r="I349" i="1"/>
  <c r="J349" i="1"/>
  <c r="G350" i="1"/>
  <c r="H350" i="1"/>
  <c r="I350" i="1"/>
  <c r="J350" i="1"/>
  <c r="F351" i="1"/>
  <c r="G351" i="1"/>
  <c r="H351" i="1"/>
  <c r="I351" i="1"/>
  <c r="J351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9" i="1"/>
  <c r="G359" i="1"/>
  <c r="H359" i="1"/>
  <c r="I359" i="1"/>
  <c r="J359" i="1"/>
  <c r="F360" i="1"/>
  <c r="G360" i="1"/>
  <c r="H360" i="1"/>
  <c r="I360" i="1"/>
  <c r="J360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9" i="1"/>
  <c r="G399" i="1"/>
  <c r="H399" i="1"/>
  <c r="I399" i="1"/>
  <c r="J399" i="1"/>
  <c r="C4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Bank XYZ</author>
    <author>Author</author>
    <author>HP</author>
  </authors>
  <commentList>
    <comment ref="B5" authorId="0" shapeId="0" xr:uid="{CDE0D1BD-F26D-4544-9EC3-4177D591E163}">
      <text>
        <r>
          <rPr>
            <b/>
            <sz val="9"/>
            <color indexed="81"/>
            <rFont val="Tahoma"/>
            <family val="2"/>
          </rPr>
          <t>Apoorv Tiwari:</t>
        </r>
        <r>
          <rPr>
            <sz val="9"/>
            <color indexed="81"/>
            <rFont val="Tahoma"/>
            <family val="2"/>
          </rPr>
          <t xml:space="preserve">
In schedules , Blue stands for the drivers for that particular schedule</t>
        </r>
      </text>
    </comment>
    <comment ref="C26" authorId="1" shapeId="0" xr:uid="{B151D67A-E3C0-43C8-A88C-490E6121D9D1}">
      <text>
        <r>
          <rPr>
            <b/>
            <sz val="9"/>
            <color indexed="81"/>
            <rFont val="Tahoma"/>
            <family val="2"/>
          </rPr>
          <t>Apoorv Tiwari:</t>
        </r>
        <r>
          <rPr>
            <sz val="9"/>
            <color indexed="81"/>
            <rFont val="Tahoma"/>
            <family val="2"/>
          </rPr>
          <t xml:space="preserve">
Historically Input.
</t>
        </r>
      </text>
    </comment>
    <comment ref="F55" authorId="2" shapeId="0" xr:uid="{FD028DFC-9A33-46A8-AB15-807BA54CA757}">
      <text>
        <r>
          <rPr>
            <b/>
            <sz val="9"/>
            <color indexed="81"/>
            <rFont val="Tahoma"/>
            <family val="2"/>
          </rPr>
          <t xml:space="preserve">Apoorv: </t>
        </r>
        <r>
          <rPr>
            <sz val="9"/>
            <color indexed="81"/>
            <rFont val="Tahoma"/>
            <family val="2"/>
          </rPr>
          <t>Assumed to be straight line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8" authorId="2" shapeId="0" xr:uid="{AAA46DD0-5529-4DEB-8DFE-540056212DBF}">
      <text>
        <r>
          <rPr>
            <b/>
            <sz val="9"/>
            <color indexed="81"/>
            <rFont val="Tahoma"/>
            <family val="2"/>
          </rPr>
          <t>Apoorv:</t>
        </r>
        <r>
          <rPr>
            <sz val="9"/>
            <color indexed="81"/>
            <rFont val="Tahoma"/>
            <family val="2"/>
          </rPr>
          <t xml:space="preserve">
Refer brief summary of management report is MS word file (Avg of       -6% and 1%)
</t>
        </r>
      </text>
    </comment>
    <comment ref="F70" authorId="2" shapeId="0" xr:uid="{25CF3BCC-ADAB-4273-9E29-E06B72A7247C}">
      <text>
        <r>
          <rPr>
            <b/>
            <sz val="9"/>
            <color indexed="81"/>
            <rFont val="Tahoma"/>
            <family val="2"/>
          </rPr>
          <t xml:space="preserve">Apoorv: </t>
        </r>
        <r>
          <rPr>
            <sz val="9"/>
            <color indexed="81"/>
            <rFont val="Tahoma"/>
            <family val="2"/>
          </rPr>
          <t xml:space="preserve">
Refer brief summary of management report is MS word file (Avg of       6% and 9%)
</t>
        </r>
      </text>
    </comment>
    <comment ref="F72" authorId="2" shapeId="0" xr:uid="{828EF355-065E-4672-9DA0-A9AD27ABDB09}">
      <text>
        <r>
          <rPr>
            <b/>
            <sz val="9"/>
            <color indexed="81"/>
            <rFont val="Tahoma"/>
            <family val="2"/>
          </rPr>
          <t xml:space="preserve">Apoorv: </t>
        </r>
        <r>
          <rPr>
            <sz val="9"/>
            <color indexed="81"/>
            <rFont val="Tahoma"/>
            <family val="2"/>
          </rPr>
          <t xml:space="preserve">
Refer brief summary of management report is MS word file (Avg of       8% and 10%)
</t>
        </r>
      </text>
    </comment>
    <comment ref="F74" authorId="2" shapeId="0" xr:uid="{4FD1A778-AB9A-4682-B335-28AF83909753}">
      <text>
        <r>
          <rPr>
            <b/>
            <sz val="9"/>
            <color indexed="81"/>
            <rFont val="Tahoma"/>
            <family val="2"/>
          </rPr>
          <t xml:space="preserve">Apoorv: </t>
        </r>
        <r>
          <rPr>
            <sz val="9"/>
            <color indexed="81"/>
            <rFont val="Tahoma"/>
            <family val="2"/>
          </rPr>
          <t xml:space="preserve">
Refer brief summary of management report is MS word file (Avg of       5% and 6%)
</t>
        </r>
      </text>
    </comment>
    <comment ref="E167" authorId="2" shapeId="0" xr:uid="{BD057422-6BBA-4FD4-B3E8-3884BF4AA732}">
      <text>
        <r>
          <rPr>
            <b/>
            <sz val="9"/>
            <color indexed="81"/>
            <rFont val="Tahoma"/>
            <family val="2"/>
          </rPr>
          <t xml:space="preserve">Apoorv: </t>
        </r>
        <r>
          <rPr>
            <sz val="9"/>
            <color indexed="81"/>
            <rFont val="Tahoma"/>
            <family val="2"/>
          </rPr>
          <t xml:space="preserve">From Annual Report Note-13 Page-18
</t>
        </r>
      </text>
    </comment>
    <comment ref="B168" authorId="1" shapeId="0" xr:uid="{48A8D5C6-1B76-4862-898A-15AF01884765}">
      <text>
        <r>
          <rPr>
            <b/>
            <sz val="9"/>
            <color indexed="81"/>
            <rFont val="Tahoma"/>
            <family val="2"/>
          </rPr>
          <t>Apoorv Tiwari:</t>
        </r>
        <r>
          <rPr>
            <sz val="9"/>
            <color indexed="81"/>
            <rFont val="Tahoma"/>
            <family val="2"/>
          </rPr>
          <t xml:space="preserve">
Note that this method also eliminates the need to calculate Depreciation seperately</t>
        </r>
      </text>
    </comment>
    <comment ref="D168" authorId="2" shapeId="0" xr:uid="{A274CB3F-5B0F-4172-B5DB-269F1F0C3C0B}">
      <text>
        <r>
          <rPr>
            <b/>
            <sz val="9"/>
            <color indexed="81"/>
            <rFont val="Tahoma"/>
            <family val="2"/>
          </rPr>
          <t xml:space="preserve">Apoorv: </t>
        </r>
        <r>
          <rPr>
            <sz val="9"/>
            <color indexed="81"/>
            <rFont val="Tahoma"/>
            <family val="2"/>
          </rPr>
          <t xml:space="preserve">From Consolidated Cash flow statement 
</t>
        </r>
      </text>
    </comment>
    <comment ref="J286" authorId="2" shapeId="0" xr:uid="{A3C6DCAD-666C-4B10-999B-3D04DDDC6081}">
      <text>
        <r>
          <rPr>
            <b/>
            <sz val="9"/>
            <color indexed="81"/>
            <rFont val="Tahoma"/>
            <family val="2"/>
          </rPr>
          <t>Apoorv:</t>
        </r>
        <r>
          <rPr>
            <sz val="9"/>
            <color indexed="81"/>
            <rFont val="Tahoma"/>
            <family val="2"/>
          </rPr>
          <t xml:space="preserve">Assuming no repayment in next 5 years
</t>
        </r>
      </text>
    </comment>
    <comment ref="B372" authorId="2" shapeId="0" xr:uid="{0190B708-AAB4-4145-87BB-AD4283809364}">
      <text>
        <r>
          <rPr>
            <b/>
            <sz val="9"/>
            <color indexed="81"/>
            <rFont val="Tahoma"/>
            <family val="2"/>
          </rPr>
          <t xml:space="preserve">Apoorv: </t>
        </r>
        <r>
          <rPr>
            <sz val="9"/>
            <color indexed="81"/>
            <rFont val="Tahoma"/>
            <family val="2"/>
          </rPr>
          <t xml:space="preserve">Used as proxy of entire year share price
</t>
        </r>
      </text>
    </comment>
  </commentList>
</comments>
</file>

<file path=xl/sharedStrings.xml><?xml version="1.0" encoding="utf-8"?>
<sst xmlns="http://schemas.openxmlformats.org/spreadsheetml/2006/main" count="357" uniqueCount="238">
  <si>
    <t>Cover</t>
  </si>
  <si>
    <r>
      <t xml:space="preserve">A </t>
    </r>
    <r>
      <rPr>
        <i/>
        <sz val="12"/>
        <color theme="1"/>
        <rFont val="Calibri"/>
        <family val="2"/>
        <scheme val="minor"/>
      </rPr>
      <t>for Actual</t>
    </r>
    <r>
      <rPr>
        <b/>
        <i/>
        <sz val="12"/>
        <color theme="1"/>
        <rFont val="Calibri"/>
        <family val="2"/>
        <scheme val="minor"/>
      </rPr>
      <t xml:space="preserve">; E </t>
    </r>
    <r>
      <rPr>
        <i/>
        <sz val="12"/>
        <color theme="1"/>
        <rFont val="Calibri"/>
        <family val="2"/>
        <scheme val="minor"/>
      </rPr>
      <t>for Estimated</t>
    </r>
  </si>
  <si>
    <r>
      <rPr>
        <b/>
        <i/>
        <sz val="11"/>
        <color rgb="FF0000FF"/>
        <rFont val="Calibri"/>
        <family val="2"/>
        <scheme val="minor"/>
      </rPr>
      <t>BLUE</t>
    </r>
    <r>
      <rPr>
        <i/>
        <sz val="11"/>
        <color rgb="FF0000FF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for hard coded values, </t>
    </r>
    <r>
      <rPr>
        <b/>
        <i/>
        <sz val="11"/>
        <color theme="1"/>
        <rFont val="Calibri"/>
        <family val="2"/>
        <scheme val="minor"/>
      </rPr>
      <t>BLACK</t>
    </r>
    <r>
      <rPr>
        <i/>
        <sz val="11"/>
        <color theme="1"/>
        <rFont val="Calibri"/>
        <family val="2"/>
        <scheme val="minor"/>
      </rPr>
      <t xml:space="preserve"> for formulas, </t>
    </r>
    <r>
      <rPr>
        <b/>
        <i/>
        <sz val="11"/>
        <color theme="5" tint="-0.249977111117893"/>
        <rFont val="Calibri"/>
        <family val="2"/>
        <scheme val="minor"/>
      </rPr>
      <t>RED</t>
    </r>
    <r>
      <rPr>
        <i/>
        <sz val="11"/>
        <color theme="1"/>
        <rFont val="Calibri"/>
        <family val="2"/>
        <scheme val="minor"/>
      </rPr>
      <t xml:space="preserve"> for References to other sheets</t>
    </r>
  </si>
  <si>
    <t>Company name</t>
  </si>
  <si>
    <t>Siemens</t>
  </si>
  <si>
    <t>Ticker</t>
  </si>
  <si>
    <t>SIE.DE</t>
  </si>
  <si>
    <t>Share price as of last close</t>
  </si>
  <si>
    <t>Latest closing share price date</t>
  </si>
  <si>
    <t>Latest fiscal year end date</t>
  </si>
  <si>
    <t>Circuit breaker:</t>
  </si>
  <si>
    <t>No. of days in the accounting year</t>
  </si>
  <si>
    <t>Index</t>
  </si>
  <si>
    <t>1.  Income Statement</t>
  </si>
  <si>
    <t>2.  Balance Sheet</t>
  </si>
  <si>
    <t>3.  Cash Flow Statement</t>
  </si>
  <si>
    <t>4.  Ratio Analysis</t>
  </si>
  <si>
    <t>5.  Sensitivity Analsyis</t>
  </si>
  <si>
    <t>6.  Scenario Analysis</t>
  </si>
  <si>
    <t>INCOME STATEMENT</t>
  </si>
  <si>
    <t>Back to the top</t>
  </si>
  <si>
    <t xml:space="preserve">Fiscal year  </t>
  </si>
  <si>
    <t>Fiscal year end date</t>
  </si>
  <si>
    <t>(€ mm except per share)</t>
  </si>
  <si>
    <t>Sales / Turnover / Revenue</t>
  </si>
  <si>
    <t>Cost of sales (enter as -)</t>
  </si>
  <si>
    <t>Gross Profit</t>
  </si>
  <si>
    <t>Research &amp; development (enter as -)</t>
  </si>
  <si>
    <t>Selling, general &amp; administrative (enter as -)</t>
  </si>
  <si>
    <t>Other operating Income</t>
  </si>
  <si>
    <t>Other operating Expense (enter as -)</t>
  </si>
  <si>
    <t>Income from Investments</t>
  </si>
  <si>
    <t>Operating profit (EBIT)</t>
  </si>
  <si>
    <t>Interest income</t>
  </si>
  <si>
    <t>Interest expense (enter as -)</t>
  </si>
  <si>
    <t>Other financial income / (expense)</t>
  </si>
  <si>
    <t>Pretax profit</t>
  </si>
  <si>
    <t>Taxes (enter expense as -)</t>
  </si>
  <si>
    <t>Net income from continued operations</t>
  </si>
  <si>
    <t>Income for Discontinued Operations, net of taxes</t>
  </si>
  <si>
    <t>Net income</t>
  </si>
  <si>
    <t xml:space="preserve">     - attributable to non controlling interests</t>
  </si>
  <si>
    <t xml:space="preserve">     - attributable to share holders</t>
  </si>
  <si>
    <t>Basic shares outstanding</t>
  </si>
  <si>
    <t>Impact of dilutive securities</t>
  </si>
  <si>
    <t>Diluted shares outstanding</t>
  </si>
  <si>
    <t>Basic EPS</t>
  </si>
  <si>
    <t>Diluted EPS</t>
  </si>
  <si>
    <t>Growth rates &amp; margins</t>
  </si>
  <si>
    <t>Revenue growth</t>
  </si>
  <si>
    <t>NA</t>
  </si>
  <si>
    <t>Gross profit as % of sales</t>
  </si>
  <si>
    <t>R&amp;D margin</t>
  </si>
  <si>
    <t>SG&amp;A margin</t>
  </si>
  <si>
    <t>Tax rate</t>
  </si>
  <si>
    <t>EBITDA reconciliation</t>
  </si>
  <si>
    <t>Depreciation &amp; amortization</t>
  </si>
  <si>
    <t>Stock based compensation</t>
  </si>
  <si>
    <t>EBITDA</t>
  </si>
  <si>
    <t>SEGMENTS</t>
  </si>
  <si>
    <t>Product</t>
  </si>
  <si>
    <t>Digital Industries</t>
  </si>
  <si>
    <t>Smart Infrastructure</t>
  </si>
  <si>
    <t>Mobility</t>
  </si>
  <si>
    <t>Siemens Healthineers</t>
  </si>
  <si>
    <t>Industrial Business</t>
  </si>
  <si>
    <t>Financial Services</t>
  </si>
  <si>
    <t>Portfolio Companies</t>
  </si>
  <si>
    <t>Reconciliation to consolidated Financial Statements</t>
  </si>
  <si>
    <t>Total</t>
  </si>
  <si>
    <t>% growth</t>
  </si>
  <si>
    <t>Check</t>
  </si>
  <si>
    <t>BALANCE SHEET</t>
  </si>
  <si>
    <t>Cash &amp; equivalents</t>
  </si>
  <si>
    <t>Trade &amp; Other receivables</t>
  </si>
  <si>
    <t>Other Current Financial Assetsq</t>
  </si>
  <si>
    <t>Contract Assets</t>
  </si>
  <si>
    <t>Inventory</t>
  </si>
  <si>
    <t>Current Income Tax assets</t>
  </si>
  <si>
    <t xml:space="preserve">Other current assets </t>
  </si>
  <si>
    <t>Assets classified as held for disposal</t>
  </si>
  <si>
    <t>Goodwill</t>
  </si>
  <si>
    <t>Property, plant &amp; equipment and Intangible Assets</t>
  </si>
  <si>
    <t>Investments using Equity method</t>
  </si>
  <si>
    <t>Deferred tax assets</t>
  </si>
  <si>
    <t>Other assets</t>
  </si>
  <si>
    <t>Other Financial Assets</t>
  </si>
  <si>
    <t>Total assets</t>
  </si>
  <si>
    <t>Short term debt and current maturities of long term debt</t>
  </si>
  <si>
    <t>Trade payable</t>
  </si>
  <si>
    <t>Other current financial liabilities</t>
  </si>
  <si>
    <t>Contract Liabilities</t>
  </si>
  <si>
    <t>Provisions (current and non-current)</t>
  </si>
  <si>
    <t>Current Income Tax liabilities</t>
  </si>
  <si>
    <t>Other current liabilities</t>
  </si>
  <si>
    <t>Liabilities associated with assets classified as held for disposal</t>
  </si>
  <si>
    <t>Long term debt</t>
  </si>
  <si>
    <t>Deferred tax liabilities</t>
  </si>
  <si>
    <t>Other Financial Liabilities(Long)</t>
  </si>
  <si>
    <t>Other non-current liabilities</t>
  </si>
  <si>
    <t>Total liabilities</t>
  </si>
  <si>
    <t>Common stock</t>
  </si>
  <si>
    <t>Capital Reserve</t>
  </si>
  <si>
    <t>Retained earnings / accumulated deficit</t>
  </si>
  <si>
    <t>Treasury stock</t>
  </si>
  <si>
    <t>Other comprehensive income / (loss)</t>
  </si>
  <si>
    <t>Total equity (attributable to shareholders)</t>
  </si>
  <si>
    <t>Non Controlling Interest</t>
  </si>
  <si>
    <t>Total equity</t>
  </si>
  <si>
    <t>Balance check</t>
  </si>
  <si>
    <t>Balance Sheet Schedules</t>
  </si>
  <si>
    <t>WORKING CAPITAL</t>
  </si>
  <si>
    <t>Accounts receivable</t>
  </si>
  <si>
    <t>Beginning of period</t>
  </si>
  <si>
    <t>Increases / (decreases)</t>
  </si>
  <si>
    <t>End of period</t>
  </si>
  <si>
    <t>AR as % of sales</t>
  </si>
  <si>
    <t>Days sales outstanding (DSO)</t>
  </si>
  <si>
    <t xml:space="preserve">Inventory </t>
  </si>
  <si>
    <t>Inventory as % of COGS</t>
  </si>
  <si>
    <t>Inventory turnover</t>
  </si>
  <si>
    <t>Days Inventory outstanding (DIO)</t>
  </si>
  <si>
    <t>Accounts payable</t>
  </si>
  <si>
    <t>AP as % of COGS</t>
  </si>
  <si>
    <t>Days payables outstanding (DPO)</t>
  </si>
  <si>
    <t>PROPERTY, PLANT &amp; EQUIPMENT and INTANGIBLE ASSETS</t>
  </si>
  <si>
    <t>Plus: Capital expenditures</t>
  </si>
  <si>
    <t>Less: Depreciation and Amortization</t>
  </si>
  <si>
    <t>Gross Carrying amount</t>
  </si>
  <si>
    <t>Capex (enter as +)</t>
  </si>
  <si>
    <t>Capital expenditures as % of revenue</t>
  </si>
  <si>
    <t>Depreciation and Amortization (enter as -)</t>
  </si>
  <si>
    <t>Depreciation and Amortization as a % of capital expenditures</t>
  </si>
  <si>
    <t>Depreciation Schedule</t>
  </si>
  <si>
    <t>Gross PP&amp;E</t>
  </si>
  <si>
    <t>Less: Land</t>
  </si>
  <si>
    <t>Accumulated Depreciation</t>
  </si>
  <si>
    <t>Net PP&amp;E</t>
  </si>
  <si>
    <t>Average Life of the assets</t>
  </si>
  <si>
    <t>Depreciation from existing PP&amp;E</t>
  </si>
  <si>
    <t>Depreciation due to capital expenditures in XXXXX</t>
  </si>
  <si>
    <t>Total depreciation</t>
  </si>
  <si>
    <t>OTHER ASSETS / LIABILITIES &amp; DEFERRED TAXES</t>
  </si>
  <si>
    <t>Other current assets (inc. non-trade receivables)</t>
  </si>
  <si>
    <t>Deferred tax assets (DTAs)</t>
  </si>
  <si>
    <t>Other non current liabilities</t>
  </si>
  <si>
    <t>Liabilities associated with assets held for disposal</t>
  </si>
  <si>
    <t>Provisions</t>
  </si>
  <si>
    <t>DEBT SCHEDULE</t>
  </si>
  <si>
    <t>Short term debt and current portions of long term debt</t>
  </si>
  <si>
    <t>Cash Availability</t>
  </si>
  <si>
    <t>Initial Cash</t>
  </si>
  <si>
    <t>Less: Minimum cash required</t>
  </si>
  <si>
    <t>Equals: Cash available</t>
  </si>
  <si>
    <t>Add: Cash Generated due to operating activities</t>
  </si>
  <si>
    <t>Totals: Cash available to pay down short term debt</t>
  </si>
  <si>
    <t>Interest expense on short term debt</t>
  </si>
  <si>
    <t>Weighted average interest rate</t>
  </si>
  <si>
    <t xml:space="preserve">Long term debt </t>
  </si>
  <si>
    <t xml:space="preserve">Additional borrowing / (pay down) </t>
  </si>
  <si>
    <t>Interest expense on long term debt</t>
  </si>
  <si>
    <t>% of interest expense paid in cash</t>
  </si>
  <si>
    <t>% of interest expense accrues as PIK</t>
  </si>
  <si>
    <t>EQUITY SCHEDULE</t>
  </si>
  <si>
    <t>Common stock / APIC</t>
  </si>
  <si>
    <t>Plus: new share issuances</t>
  </si>
  <si>
    <t>Plus: Stock based compensation</t>
  </si>
  <si>
    <t>New share issuance</t>
  </si>
  <si>
    <t>SBC as % of all operating expenses</t>
  </si>
  <si>
    <t>Less: Stock repurchases</t>
  </si>
  <si>
    <t>Stock repurchases</t>
  </si>
  <si>
    <t>Retained earnings</t>
  </si>
  <si>
    <t>Plus: Net income</t>
  </si>
  <si>
    <t>Less: Common dividends</t>
  </si>
  <si>
    <t>Dividend payout ratio</t>
  </si>
  <si>
    <t>Common dividends</t>
  </si>
  <si>
    <t>Plus: Income / (loss)</t>
  </si>
  <si>
    <t>CASH FLOW STATEMENT</t>
  </si>
  <si>
    <t>Depreciation and amortization</t>
  </si>
  <si>
    <t>(Income) loss related to investing activities</t>
  </si>
  <si>
    <t>Working Capital</t>
  </si>
  <si>
    <t xml:space="preserve">   Accounts receivable</t>
  </si>
  <si>
    <t xml:space="preserve">   Inventory</t>
  </si>
  <si>
    <t xml:space="preserve">   Accounts payable</t>
  </si>
  <si>
    <t>Other Assets</t>
  </si>
  <si>
    <t>Cash from operating activities - CFO</t>
  </si>
  <si>
    <t>Additions to intangible assets and property, plant and equipment</t>
  </si>
  <si>
    <t>Cash from investing activities - CFI</t>
  </si>
  <si>
    <t>Purchase of treasury shares</t>
  </si>
  <si>
    <t xml:space="preserve">Issuance of long-term debt </t>
  </si>
  <si>
    <t>Repayment of long-term debt (including current maturities of long-term debt</t>
  </si>
  <si>
    <t>Change in short-term debt and other financing activities</t>
  </si>
  <si>
    <t>Dividends paid to shareholders of Siemens AG</t>
  </si>
  <si>
    <t>Other Liabilities</t>
  </si>
  <si>
    <t>Cash from financing activities - CFF</t>
  </si>
  <si>
    <t>Change in cash and cash equivalents</t>
  </si>
  <si>
    <t>Cash and cash equivalents at beginning of period</t>
  </si>
  <si>
    <t>Cash and cash equivalents at end of period</t>
  </si>
  <si>
    <t>Cash</t>
  </si>
  <si>
    <t>+/- additions</t>
  </si>
  <si>
    <t>Interest rate on cash</t>
  </si>
  <si>
    <t>SHARES OUTSTANDING</t>
  </si>
  <si>
    <t>+ new shares issued</t>
  </si>
  <si>
    <t>- shares repurchased</t>
  </si>
  <si>
    <t>Consensus EPS</t>
  </si>
  <si>
    <t>% change in EPS, year-over-year</t>
  </si>
  <si>
    <t>Share price as on 12th July 2025</t>
  </si>
  <si>
    <t>RATIO ANALYSIS</t>
  </si>
  <si>
    <t>Liquidity Ratios</t>
  </si>
  <si>
    <t>Current Ratio</t>
  </si>
  <si>
    <t>Quick Ratio</t>
  </si>
  <si>
    <t>Cash Ratio</t>
  </si>
  <si>
    <t>Cash Conversion Cycle</t>
  </si>
  <si>
    <t>Profitabilty Ratios</t>
  </si>
  <si>
    <t>Gross profit margin</t>
  </si>
  <si>
    <t>Operating profit margin</t>
  </si>
  <si>
    <t>Net profit margin</t>
  </si>
  <si>
    <t>Return on assets (ROA)</t>
  </si>
  <si>
    <t>Return on book equity (ROE)</t>
  </si>
  <si>
    <t>Dupont Equation</t>
  </si>
  <si>
    <t xml:space="preserve">    Profit margin</t>
  </si>
  <si>
    <t xml:space="preserve">    Total Asset Turnover</t>
  </si>
  <si>
    <t xml:space="preserve">    Financial Leverage</t>
  </si>
  <si>
    <t>Solvency Ratios</t>
  </si>
  <si>
    <t>Net debt</t>
  </si>
  <si>
    <t>Debt to Equity Ratio</t>
  </si>
  <si>
    <t>Debt Ratio</t>
  </si>
  <si>
    <t>Operating Performance Ratios</t>
  </si>
  <si>
    <t>Asset turnover (Revenue / Total assets)</t>
  </si>
  <si>
    <t>SENSITIVITY ANALYSIS</t>
  </si>
  <si>
    <t>Revenue Growth Rate</t>
  </si>
  <si>
    <t>Gross Profit Margin</t>
  </si>
  <si>
    <t>R&amp;D Margin</t>
  </si>
  <si>
    <t>SCENARIO ANALYSIS</t>
  </si>
  <si>
    <t>Select an option:</t>
  </si>
  <si>
    <t>Base case</t>
  </si>
  <si>
    <t>Best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</si>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</sst>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3" formatCode="_(* #,##0.00_);_(* \(#,##0.00\);_(* &quot;-&quot;??_);_(@_)"/>
    <numFmt numFmtId="164" formatCode="&quot; &quot;"/>
    <numFmt numFmtId="165" formatCode="\€##.##"/>
    <numFmt numFmtId="166" formatCode="#,##0.0_);\(#,##0.0\);@_)"/>
    <numFmt numFmtId="167" formatCode="[$-409]d/mmm/yy;@"/>
    <numFmt numFmtId="168" formatCode="#,##0_);\(#,##0\);@_)"/>
    <numFmt numFmtId="169" formatCode="General&quot;A&quot;"/>
    <numFmt numFmtId="170" formatCode="####&quot;C&quot;"/>
    <numFmt numFmtId="171" formatCode="0\A;[Red]0\A"/>
    <numFmt numFmtId="172" formatCode="####&quot;A&quot;"/>
    <numFmt numFmtId="173" formatCode="####&quot;E&quot;"/>
    <numFmt numFmtId="174" formatCode="m/d/yy;@"/>
    <numFmt numFmtId="175" formatCode="_(* #,##0_);_(* \(#,##0\);_(* &quot;-&quot;??_);_(@_)"/>
    <numFmt numFmtId="176" formatCode="0.0%_);\(0.0%\);@_)"/>
    <numFmt numFmtId="177" formatCode="#.#%;\(#.#%\)"/>
    <numFmt numFmtId="178" formatCode="0.0%;\(0.0%\)"/>
    <numFmt numFmtId="179" formatCode="0.0%"/>
    <numFmt numFmtId="180" formatCode="##;\(##\)"/>
    <numFmt numFmtId="181" formatCode="&quot;$&quot;#,##0.0_);\(&quot;$&quot;#,##0.0\)"/>
    <numFmt numFmtId="182" formatCode="#,##0.0_);\(#,##0.0\)"/>
    <numFmt numFmtId="183" formatCode="0\ &quot;Days&quot;"/>
    <numFmt numFmtId="184" formatCode="0.0\x"/>
    <numFmt numFmtId="185" formatCode="0&quot; days&quot;"/>
    <numFmt numFmtId="186" formatCode="0\ &quot;days&quot;"/>
    <numFmt numFmtId="187" formatCode="##.##"/>
    <numFmt numFmtId="188" formatCode="#,##0.00_);\(#,##0.00\);@_)"/>
    <numFmt numFmtId="189" formatCode="0.00\x"/>
    <numFmt numFmtId="190" formatCode="0.00\x_);\(0.00\x\);@_)"/>
    <numFmt numFmtId="191" formatCode="0\P_);\(0\P\)"/>
    <numFmt numFmtId="192" formatCode="0.0%;\ \(0.0%\)"/>
    <numFmt numFmtId="193" formatCode="0%_);\(0%\);@_)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FF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sz val="12"/>
      <color theme="10"/>
      <name val="Calibri"/>
      <family val="2"/>
    </font>
    <font>
      <b/>
      <sz val="20"/>
      <color theme="3"/>
      <name val="Calibri"/>
      <family val="2"/>
      <scheme val="minor"/>
    </font>
    <font>
      <i/>
      <sz val="12"/>
      <color theme="10"/>
      <name val="Calibri"/>
      <family val="2"/>
    </font>
    <font>
      <sz val="13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i/>
      <sz val="13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u/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color rgb="FF008000"/>
      <name val="Calibri"/>
      <family val="2"/>
      <scheme val="minor"/>
    </font>
    <font>
      <i/>
      <sz val="13"/>
      <color rgb="FF00000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3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3"/>
      <color theme="10"/>
      <name val="Calibri"/>
      <family val="2"/>
    </font>
    <font>
      <sz val="13"/>
      <color rgb="FF008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9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4" fillId="0" borderId="1" xfId="0" applyFont="1" applyBorder="1"/>
    <xf numFmtId="14" fontId="6" fillId="0" borderId="0" xfId="0" applyNumberFormat="1" applyFont="1"/>
    <xf numFmtId="0" fontId="7" fillId="0" borderId="0" xfId="0" applyFont="1"/>
    <xf numFmtId="14" fontId="8" fillId="0" borderId="0" xfId="0" applyNumberFormat="1" applyFont="1"/>
    <xf numFmtId="0" fontId="0" fillId="0" borderId="0" xfId="0" applyAlignment="1">
      <alignment vertical="center"/>
    </xf>
    <xf numFmtId="14" fontId="9" fillId="0" borderId="0" xfId="0" applyNumberFormat="1" applyFont="1"/>
    <xf numFmtId="0" fontId="7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right"/>
    </xf>
    <xf numFmtId="0" fontId="17" fillId="0" borderId="0" xfId="3" applyAlignment="1" applyProtection="1"/>
    <xf numFmtId="37" fontId="14" fillId="0" borderId="0" xfId="0" applyNumberFormat="1" applyFont="1"/>
    <xf numFmtId="164" fontId="14" fillId="0" borderId="0" xfId="0" applyNumberFormat="1" applyFont="1"/>
    <xf numFmtId="165" fontId="16" fillId="0" borderId="0" xfId="0" applyNumberFormat="1" applyFont="1" applyAlignment="1">
      <alignment horizontal="right"/>
    </xf>
    <xf numFmtId="0" fontId="18" fillId="0" borderId="0" xfId="0" applyFont="1"/>
    <xf numFmtId="166" fontId="19" fillId="0" borderId="0" xfId="0" applyNumberFormat="1" applyFont="1" applyAlignment="1">
      <alignment horizontal="right"/>
    </xf>
    <xf numFmtId="167" fontId="16" fillId="0" borderId="0" xfId="0" applyNumberFormat="1" applyFont="1" applyAlignment="1">
      <alignment horizontal="right"/>
    </xf>
    <xf numFmtId="168" fontId="16" fillId="0" borderId="0" xfId="0" applyNumberFormat="1" applyFont="1" applyAlignment="1">
      <alignment horizontal="right"/>
    </xf>
    <xf numFmtId="169" fontId="14" fillId="0" borderId="0" xfId="0" applyNumberFormat="1" applyFont="1"/>
    <xf numFmtId="170" fontId="14" fillId="0" borderId="0" xfId="0" applyNumberFormat="1" applyFont="1"/>
    <xf numFmtId="0" fontId="20" fillId="0" borderId="0" xfId="0" applyFont="1"/>
    <xf numFmtId="0" fontId="21" fillId="0" borderId="0" xfId="3" applyFont="1" applyFill="1" applyBorder="1" applyAlignment="1" applyProtection="1"/>
    <xf numFmtId="0" fontId="22" fillId="0" borderId="2" xfId="0" applyFont="1" applyBorder="1"/>
    <xf numFmtId="0" fontId="23" fillId="0" borderId="2" xfId="3" applyFont="1" applyBorder="1" applyAlignment="1" applyProtection="1">
      <alignment vertical="center"/>
    </xf>
    <xf numFmtId="0" fontId="0" fillId="0" borderId="2" xfId="0" applyBorder="1"/>
    <xf numFmtId="0" fontId="24" fillId="2" borderId="0" xfId="0" applyFont="1" applyFill="1"/>
    <xf numFmtId="171" fontId="25" fillId="2" borderId="0" xfId="0" applyNumberFormat="1" applyFont="1" applyFill="1"/>
    <xf numFmtId="172" fontId="25" fillId="2" borderId="0" xfId="0" applyNumberFormat="1" applyFont="1" applyFill="1"/>
    <xf numFmtId="173" fontId="25" fillId="2" borderId="0" xfId="0" applyNumberFormat="1" applyFont="1" applyFill="1"/>
    <xf numFmtId="0" fontId="26" fillId="0" borderId="0" xfId="0" applyFont="1"/>
    <xf numFmtId="0" fontId="27" fillId="0" borderId="2" xfId="0" applyFont="1" applyBorder="1"/>
    <xf numFmtId="174" fontId="28" fillId="0" borderId="2" xfId="0" applyNumberFormat="1" applyFont="1" applyBorder="1"/>
    <xf numFmtId="174" fontId="27" fillId="0" borderId="2" xfId="0" applyNumberFormat="1" applyFont="1" applyBorder="1"/>
    <xf numFmtId="0" fontId="8" fillId="0" borderId="0" xfId="0" applyFont="1"/>
    <xf numFmtId="174" fontId="28" fillId="0" borderId="0" xfId="0" applyNumberFormat="1" applyFont="1"/>
    <xf numFmtId="174" fontId="27" fillId="0" borderId="0" xfId="0" applyNumberFormat="1" applyFont="1"/>
    <xf numFmtId="37" fontId="29" fillId="0" borderId="0" xfId="0" applyNumberFormat="1" applyFont="1"/>
    <xf numFmtId="175" fontId="29" fillId="0" borderId="0" xfId="1" applyNumberFormat="1" applyFont="1" applyFill="1" applyBorder="1"/>
    <xf numFmtId="37" fontId="30" fillId="0" borderId="0" xfId="0" applyNumberFormat="1" applyFont="1"/>
    <xf numFmtId="0" fontId="31" fillId="0" borderId="0" xfId="0" applyFont="1"/>
    <xf numFmtId="37" fontId="32" fillId="0" borderId="0" xfId="0" applyNumberFormat="1" applyFont="1"/>
    <xf numFmtId="37" fontId="26" fillId="0" borderId="0" xfId="0" applyNumberFormat="1" applyFont="1"/>
    <xf numFmtId="39" fontId="29" fillId="0" borderId="0" xfId="0" applyNumberFormat="1" applyFont="1"/>
    <xf numFmtId="9" fontId="26" fillId="0" borderId="0" xfId="2" applyFont="1"/>
    <xf numFmtId="10" fontId="26" fillId="0" borderId="0" xfId="2" applyNumberFormat="1" applyFont="1"/>
    <xf numFmtId="3" fontId="29" fillId="0" borderId="0" xfId="0" applyNumberFormat="1" applyFont="1" applyAlignment="1">
      <alignment wrapText="1"/>
    </xf>
    <xf numFmtId="168" fontId="26" fillId="0" borderId="0" xfId="0" applyNumberFormat="1" applyFont="1" applyAlignment="1">
      <alignment wrapText="1"/>
    </xf>
    <xf numFmtId="3" fontId="30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39" fontId="26" fillId="0" borderId="0" xfId="0" applyNumberFormat="1" applyFont="1" applyAlignment="1">
      <alignment wrapText="1"/>
    </xf>
    <xf numFmtId="39" fontId="26" fillId="0" borderId="0" xfId="0" applyNumberFormat="1" applyFont="1" applyAlignment="1">
      <alignment horizontal="right" wrapText="1"/>
    </xf>
    <xf numFmtId="39" fontId="3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3" fillId="0" borderId="0" xfId="0" applyFont="1"/>
    <xf numFmtId="0" fontId="26" fillId="0" borderId="0" xfId="0" applyFont="1" applyAlignment="1">
      <alignment horizontal="left" indent="1"/>
    </xf>
    <xf numFmtId="176" fontId="30" fillId="0" borderId="0" xfId="0" applyNumberFormat="1" applyFont="1" applyAlignment="1">
      <alignment wrapText="1"/>
    </xf>
    <xf numFmtId="176" fontId="34" fillId="0" borderId="0" xfId="0" applyNumberFormat="1" applyFont="1" applyAlignment="1">
      <alignment wrapText="1"/>
    </xf>
    <xf numFmtId="0" fontId="31" fillId="0" borderId="0" xfId="0" applyFont="1" applyAlignment="1">
      <alignment horizontal="left" indent="1"/>
    </xf>
    <xf numFmtId="3" fontId="32" fillId="0" borderId="0" xfId="0" applyNumberFormat="1" applyFont="1" applyAlignment="1">
      <alignment wrapText="1"/>
    </xf>
    <xf numFmtId="3" fontId="26" fillId="0" borderId="0" xfId="0" applyNumberFormat="1" applyFont="1" applyAlignment="1">
      <alignment wrapText="1"/>
    </xf>
    <xf numFmtId="0" fontId="31" fillId="3" borderId="2" xfId="0" applyFont="1" applyFill="1" applyBorder="1"/>
    <xf numFmtId="0" fontId="35" fillId="0" borderId="2" xfId="0" applyFont="1" applyBorder="1" applyAlignment="1">
      <alignment wrapText="1"/>
    </xf>
    <xf numFmtId="0" fontId="26" fillId="0" borderId="2" xfId="0" applyFont="1" applyBorder="1" applyAlignment="1">
      <alignment wrapText="1"/>
    </xf>
    <xf numFmtId="37" fontId="30" fillId="0" borderId="0" xfId="0" applyNumberFormat="1" applyFont="1" applyAlignment="1">
      <alignment wrapText="1"/>
    </xf>
    <xf numFmtId="177" fontId="26" fillId="0" borderId="0" xfId="2" applyNumberFormat="1" applyFont="1" applyFill="1" applyAlignment="1">
      <alignment horizontal="right" wrapText="1"/>
    </xf>
    <xf numFmtId="178" fontId="26" fillId="0" borderId="0" xfId="0" applyNumberFormat="1" applyFont="1" applyAlignment="1">
      <alignment wrapText="1"/>
    </xf>
    <xf numFmtId="179" fontId="26" fillId="0" borderId="0" xfId="2" applyNumberFormat="1" applyFont="1"/>
    <xf numFmtId="3" fontId="31" fillId="0" borderId="0" xfId="0" applyNumberFormat="1" applyFont="1" applyAlignment="1">
      <alignment wrapText="1"/>
    </xf>
    <xf numFmtId="3" fontId="29" fillId="0" borderId="0" xfId="0" applyNumberFormat="1" applyFont="1" applyAlignment="1">
      <alignment horizontal="right" wrapText="1"/>
    </xf>
    <xf numFmtId="37" fontId="26" fillId="0" borderId="0" xfId="0" applyNumberFormat="1" applyFont="1" applyAlignment="1">
      <alignment wrapText="1"/>
    </xf>
    <xf numFmtId="37" fontId="29" fillId="0" borderId="0" xfId="0" applyNumberFormat="1" applyFont="1" applyAlignment="1">
      <alignment wrapText="1"/>
    </xf>
    <xf numFmtId="0" fontId="26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176" fontId="0" fillId="0" borderId="0" xfId="0" applyNumberFormat="1" applyAlignment="1">
      <alignment horizontal="right" wrapText="1"/>
    </xf>
    <xf numFmtId="3" fontId="0" fillId="0" borderId="0" xfId="0" applyNumberFormat="1" applyAlignment="1">
      <alignment wrapText="1"/>
    </xf>
    <xf numFmtId="0" fontId="23" fillId="0" borderId="2" xfId="3" applyFont="1" applyFill="1" applyBorder="1" applyAlignment="1" applyProtection="1">
      <alignment vertical="center" wrapText="1"/>
    </xf>
    <xf numFmtId="174" fontId="6" fillId="0" borderId="2" xfId="0" applyNumberFormat="1" applyFont="1" applyBorder="1" applyAlignment="1">
      <alignment wrapText="1"/>
    </xf>
    <xf numFmtId="0" fontId="0" fillId="0" borderId="2" xfId="0" applyBorder="1" applyAlignment="1">
      <alignment wrapText="1"/>
    </xf>
    <xf numFmtId="171" fontId="25" fillId="4" borderId="0" xfId="0" applyNumberFormat="1" applyFont="1" applyFill="1" applyAlignment="1">
      <alignment wrapText="1"/>
    </xf>
    <xf numFmtId="173" fontId="25" fillId="4" borderId="0" xfId="0" applyNumberFormat="1" applyFont="1" applyFill="1" applyAlignment="1">
      <alignment wrapText="1"/>
    </xf>
    <xf numFmtId="180" fontId="26" fillId="0" borderId="0" xfId="0" applyNumberFormat="1" applyFont="1"/>
    <xf numFmtId="0" fontId="26" fillId="0" borderId="2" xfId="0" applyFont="1" applyBorder="1"/>
    <xf numFmtId="174" fontId="36" fillId="0" borderId="2" xfId="0" applyNumberFormat="1" applyFont="1" applyBorder="1" applyAlignment="1">
      <alignment wrapText="1"/>
    </xf>
    <xf numFmtId="0" fontId="27" fillId="0" borderId="0" xfId="0" applyFont="1"/>
    <xf numFmtId="174" fontId="36" fillId="0" borderId="0" xfId="0" applyNumberFormat="1" applyFont="1" applyAlignment="1">
      <alignment wrapText="1"/>
    </xf>
    <xf numFmtId="181" fontId="29" fillId="0" borderId="0" xfId="0" applyNumberFormat="1" applyFont="1" applyAlignment="1">
      <alignment wrapText="1"/>
    </xf>
    <xf numFmtId="181" fontId="26" fillId="0" borderId="0" xfId="0" applyNumberFormat="1" applyFont="1"/>
    <xf numFmtId="166" fontId="29" fillId="0" borderId="0" xfId="0" applyNumberFormat="1" applyFont="1" applyAlignment="1">
      <alignment wrapText="1"/>
    </xf>
    <xf numFmtId="0" fontId="26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181" fontId="32" fillId="0" borderId="0" xfId="0" applyNumberFormat="1" applyFont="1" applyAlignment="1">
      <alignment horizontal="right" wrapText="1"/>
    </xf>
    <xf numFmtId="166" fontId="26" fillId="0" borderId="0" xfId="0" applyNumberFormat="1" applyFont="1" applyAlignment="1">
      <alignment horizontal="left" wrapText="1"/>
    </xf>
    <xf numFmtId="181" fontId="29" fillId="0" borderId="0" xfId="0" applyNumberFormat="1" applyFont="1" applyAlignment="1">
      <alignment horizontal="right" wrapText="1"/>
    </xf>
    <xf numFmtId="181" fontId="32" fillId="0" borderId="0" xfId="0" applyNumberFormat="1" applyFont="1" applyAlignment="1">
      <alignment horizontal="left" wrapText="1"/>
    </xf>
    <xf numFmtId="182" fontId="32" fillId="0" borderId="0" xfId="0" applyNumberFormat="1" applyFont="1" applyAlignment="1">
      <alignment wrapText="1"/>
    </xf>
    <xf numFmtId="37" fontId="32" fillId="0" borderId="0" xfId="0" applyNumberFormat="1" applyFont="1" applyAlignment="1">
      <alignment wrapText="1"/>
    </xf>
    <xf numFmtId="168" fontId="26" fillId="0" borderId="0" xfId="0" applyNumberFormat="1" applyFont="1"/>
    <xf numFmtId="166" fontId="29" fillId="0" borderId="0" xfId="0" applyNumberFormat="1" applyFont="1" applyAlignment="1">
      <alignment horizontal="right" wrapText="1"/>
    </xf>
    <xf numFmtId="181" fontId="31" fillId="0" borderId="0" xfId="0" applyNumberFormat="1" applyFont="1" applyAlignment="1">
      <alignment horizontal="right" wrapText="1"/>
    </xf>
    <xf numFmtId="166" fontId="27" fillId="0" borderId="0" xfId="0" applyNumberFormat="1" applyFont="1" applyAlignment="1">
      <alignment wrapText="1"/>
    </xf>
    <xf numFmtId="37" fontId="27" fillId="0" borderId="0" xfId="0" applyNumberFormat="1" applyFont="1"/>
    <xf numFmtId="176" fontId="26" fillId="0" borderId="0" xfId="0" applyNumberFormat="1" applyFont="1" applyAlignment="1">
      <alignment wrapText="1"/>
    </xf>
    <xf numFmtId="0" fontId="31" fillId="0" borderId="0" xfId="0" applyFont="1" applyAlignment="1">
      <alignment horizontal="center" vertical="center"/>
    </xf>
    <xf numFmtId="181" fontId="26" fillId="0" borderId="0" xfId="0" applyNumberFormat="1" applyFont="1" applyAlignment="1">
      <alignment wrapText="1"/>
    </xf>
    <xf numFmtId="0" fontId="37" fillId="0" borderId="0" xfId="0" applyFont="1" applyAlignment="1">
      <alignment horizontal="center" vertical="center"/>
    </xf>
    <xf numFmtId="174" fontId="27" fillId="0" borderId="0" xfId="0" applyNumberFormat="1" applyFont="1" applyAlignment="1">
      <alignment wrapText="1"/>
    </xf>
    <xf numFmtId="0" fontId="31" fillId="0" borderId="0" xfId="0" applyFont="1" applyAlignment="1">
      <alignment wrapText="1"/>
    </xf>
    <xf numFmtId="0" fontId="26" fillId="0" borderId="0" xfId="0" quotePrefix="1" applyFont="1" applyAlignment="1">
      <alignment horizontal="left" indent="1"/>
    </xf>
    <xf numFmtId="181" fontId="31" fillId="0" borderId="0" xfId="0" applyNumberFormat="1" applyFont="1" applyAlignment="1">
      <alignment wrapText="1"/>
    </xf>
    <xf numFmtId="166" fontId="26" fillId="0" borderId="0" xfId="0" applyNumberFormat="1" applyFont="1" applyAlignment="1">
      <alignment wrapText="1"/>
    </xf>
    <xf numFmtId="176" fontId="29" fillId="0" borderId="0" xfId="0" applyNumberFormat="1" applyFont="1" applyAlignment="1">
      <alignment wrapText="1"/>
    </xf>
    <xf numFmtId="183" fontId="26" fillId="0" borderId="0" xfId="0" applyNumberFormat="1" applyFont="1" applyAlignment="1">
      <alignment wrapText="1"/>
    </xf>
    <xf numFmtId="184" fontId="26" fillId="0" borderId="0" xfId="0" applyNumberFormat="1" applyFont="1" applyAlignment="1">
      <alignment wrapText="1"/>
    </xf>
    <xf numFmtId="185" fontId="26" fillId="0" borderId="0" xfId="0" applyNumberFormat="1" applyFont="1" applyAlignment="1">
      <alignment wrapText="1"/>
    </xf>
    <xf numFmtId="186" fontId="26" fillId="0" borderId="0" xfId="0" applyNumberFormat="1" applyFont="1" applyAlignment="1">
      <alignment wrapText="1"/>
    </xf>
    <xf numFmtId="176" fontId="0" fillId="0" borderId="0" xfId="0" applyNumberFormat="1" applyAlignment="1">
      <alignment wrapText="1"/>
    </xf>
    <xf numFmtId="0" fontId="38" fillId="0" borderId="0" xfId="0" applyFont="1" applyAlignment="1">
      <alignment horizontal="left" indent="1"/>
    </xf>
    <xf numFmtId="37" fontId="34" fillId="0" borderId="0" xfId="0" applyNumberFormat="1" applyFont="1" applyAlignment="1">
      <alignment wrapText="1"/>
    </xf>
    <xf numFmtId="0" fontId="39" fillId="6" borderId="0" xfId="0" applyFont="1" applyFill="1"/>
    <xf numFmtId="0" fontId="26" fillId="6" borderId="0" xfId="0" applyFont="1" applyFill="1" applyAlignment="1">
      <alignment wrapText="1"/>
    </xf>
    <xf numFmtId="0" fontId="26" fillId="6" borderId="0" xfId="0" applyFont="1" applyFill="1" applyAlignment="1">
      <alignment horizontal="left" indent="1"/>
    </xf>
    <xf numFmtId="37" fontId="26" fillId="6" borderId="0" xfId="0" applyNumberFormat="1" applyFont="1" applyFill="1" applyAlignment="1">
      <alignment wrapText="1"/>
    </xf>
    <xf numFmtId="0" fontId="26" fillId="6" borderId="0" xfId="0" quotePrefix="1" applyFont="1" applyFill="1" applyAlignment="1">
      <alignment horizontal="left" indent="1"/>
    </xf>
    <xf numFmtId="175" fontId="26" fillId="6" borderId="0" xfId="0" applyNumberFormat="1" applyFont="1" applyFill="1" applyAlignment="1">
      <alignment wrapText="1"/>
    </xf>
    <xf numFmtId="37" fontId="31" fillId="6" borderId="0" xfId="0" applyNumberFormat="1" applyFont="1" applyFill="1" applyAlignment="1">
      <alignment wrapText="1"/>
    </xf>
    <xf numFmtId="0" fontId="26" fillId="6" borderId="0" xfId="0" applyFont="1" applyFill="1"/>
    <xf numFmtId="175" fontId="29" fillId="6" borderId="0" xfId="1" applyNumberFormat="1" applyFont="1" applyFill="1" applyAlignment="1">
      <alignment wrapText="1"/>
    </xf>
    <xf numFmtId="1" fontId="26" fillId="6" borderId="0" xfId="0" applyNumberFormat="1" applyFont="1" applyFill="1" applyAlignment="1">
      <alignment wrapText="1"/>
    </xf>
    <xf numFmtId="0" fontId="31" fillId="6" borderId="0" xfId="0" applyFont="1" applyFill="1" applyAlignment="1">
      <alignment horizontal="right" wrapText="1"/>
    </xf>
    <xf numFmtId="175" fontId="26" fillId="6" borderId="0" xfId="1" applyNumberFormat="1" applyFont="1" applyFill="1" applyAlignment="1">
      <alignment wrapText="1"/>
    </xf>
    <xf numFmtId="0" fontId="31" fillId="6" borderId="0" xfId="0" applyFont="1" applyFill="1"/>
    <xf numFmtId="175" fontId="31" fillId="6" borderId="0" xfId="0" applyNumberFormat="1" applyFont="1" applyFill="1" applyAlignment="1">
      <alignment wrapText="1"/>
    </xf>
    <xf numFmtId="0" fontId="0" fillId="0" borderId="0" xfId="0" applyAlignment="1">
      <alignment horizontal="left" indent="1"/>
    </xf>
    <xf numFmtId="37" fontId="0" fillId="0" borderId="0" xfId="0" applyNumberFormat="1" applyAlignment="1">
      <alignment wrapText="1"/>
    </xf>
    <xf numFmtId="175" fontId="26" fillId="0" borderId="0" xfId="1" applyNumberFormat="1" applyFont="1" applyFill="1" applyAlignment="1">
      <alignment wrapText="1"/>
    </xf>
    <xf numFmtId="175" fontId="29" fillId="0" borderId="0" xfId="1" applyNumberFormat="1" applyFont="1" applyAlignment="1">
      <alignment wrapText="1"/>
    </xf>
    <xf numFmtId="1" fontId="29" fillId="0" borderId="0" xfId="0" applyNumberFormat="1" applyFont="1" applyAlignment="1">
      <alignment wrapText="1"/>
    </xf>
    <xf numFmtId="179" fontId="26" fillId="0" borderId="0" xfId="2" applyNumberFormat="1" applyFont="1" applyFill="1" applyAlignment="1">
      <alignment wrapText="1"/>
    </xf>
    <xf numFmtId="9" fontId="29" fillId="0" borderId="0" xfId="2" applyFont="1" applyAlignment="1">
      <alignment wrapText="1"/>
    </xf>
    <xf numFmtId="0" fontId="26" fillId="5" borderId="0" xfId="0" applyFont="1" applyFill="1" applyAlignment="1">
      <alignment horizontal="left" indent="1"/>
    </xf>
    <xf numFmtId="0" fontId="29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172" fontId="24" fillId="2" borderId="0" xfId="0" applyNumberFormat="1" applyFont="1" applyFill="1"/>
    <xf numFmtId="173" fontId="24" fillId="2" borderId="0" xfId="0" applyNumberFormat="1" applyFont="1" applyFill="1"/>
    <xf numFmtId="175" fontId="26" fillId="0" borderId="0" xfId="1" applyNumberFormat="1" applyFont="1" applyFill="1" applyBorder="1" applyAlignment="1">
      <alignment wrapText="1"/>
    </xf>
    <xf numFmtId="175" fontId="31" fillId="0" borderId="0" xfId="1" applyNumberFormat="1" applyFont="1" applyFill="1" applyAlignment="1">
      <alignment wrapText="1"/>
    </xf>
    <xf numFmtId="175" fontId="31" fillId="0" borderId="0" xfId="1" applyNumberFormat="1" applyFont="1"/>
    <xf numFmtId="37" fontId="31" fillId="0" borderId="0" xfId="0" applyNumberFormat="1" applyFont="1" applyAlignment="1">
      <alignment wrapText="1"/>
    </xf>
    <xf numFmtId="0" fontId="31" fillId="0" borderId="3" xfId="0" applyFont="1" applyBorder="1" applyAlignment="1">
      <alignment horizontal="left"/>
    </xf>
    <xf numFmtId="0" fontId="26" fillId="0" borderId="0" xfId="0" quotePrefix="1" applyFont="1"/>
    <xf numFmtId="10" fontId="29" fillId="0" borderId="0" xfId="0" applyNumberFormat="1" applyFont="1" applyAlignment="1">
      <alignment wrapText="1"/>
    </xf>
    <xf numFmtId="0" fontId="31" fillId="0" borderId="2" xfId="0" applyFont="1" applyBorder="1"/>
    <xf numFmtId="187" fontId="34" fillId="0" borderId="0" xfId="0" applyNumberFormat="1" applyFont="1" applyAlignment="1">
      <alignment horizontal="right" wrapText="1"/>
    </xf>
    <xf numFmtId="187" fontId="29" fillId="0" borderId="0" xfId="0" applyNumberFormat="1" applyFont="1" applyAlignment="1">
      <alignment horizontal="right" wrapText="1"/>
    </xf>
    <xf numFmtId="188" fontId="29" fillId="0" borderId="0" xfId="0" applyNumberFormat="1" applyFont="1" applyAlignment="1">
      <alignment horizontal="right" wrapText="1"/>
    </xf>
    <xf numFmtId="188" fontId="26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189" fontId="26" fillId="0" borderId="0" xfId="0" applyNumberFormat="1" applyFont="1" applyAlignment="1">
      <alignment wrapText="1"/>
    </xf>
    <xf numFmtId="186" fontId="4" fillId="0" borderId="0" xfId="0" applyNumberFormat="1" applyFont="1" applyAlignment="1">
      <alignment wrapText="1"/>
    </xf>
    <xf numFmtId="190" fontId="26" fillId="0" borderId="0" xfId="0" applyNumberFormat="1" applyFont="1" applyAlignment="1">
      <alignment wrapText="1"/>
    </xf>
    <xf numFmtId="0" fontId="40" fillId="0" borderId="2" xfId="0" applyFont="1" applyBorder="1" applyAlignment="1">
      <alignment wrapText="1"/>
    </xf>
    <xf numFmtId="0" fontId="41" fillId="0" borderId="0" xfId="0" applyFont="1"/>
    <xf numFmtId="0" fontId="2" fillId="0" borderId="0" xfId="0" applyFont="1"/>
    <xf numFmtId="191" fontId="31" fillId="0" borderId="4" xfId="0" applyNumberFormat="1" applyFont="1" applyBorder="1"/>
    <xf numFmtId="191" fontId="31" fillId="0" borderId="4" xfId="0" applyNumberFormat="1" applyFont="1" applyBorder="1" applyAlignment="1">
      <alignment wrapText="1"/>
    </xf>
    <xf numFmtId="0" fontId="26" fillId="0" borderId="4" xfId="0" applyFont="1" applyBorder="1" applyAlignment="1">
      <alignment wrapText="1"/>
    </xf>
    <xf numFmtId="0" fontId="26" fillId="0" borderId="0" xfId="0" applyFont="1" applyAlignment="1">
      <alignment horizontal="center" wrapText="1"/>
    </xf>
    <xf numFmtId="0" fontId="31" fillId="0" borderId="0" xfId="0" applyFont="1" applyAlignment="1">
      <alignment horizontal="centerContinuous"/>
    </xf>
    <xf numFmtId="165" fontId="42" fillId="0" borderId="5" xfId="0" applyNumberFormat="1" applyFont="1" applyBorder="1" applyAlignment="1">
      <alignment horizontal="right" wrapText="1"/>
    </xf>
    <xf numFmtId="178" fontId="29" fillId="0" borderId="6" xfId="0" applyNumberFormat="1" applyFont="1" applyBorder="1" applyAlignment="1">
      <alignment wrapText="1"/>
    </xf>
    <xf numFmtId="192" fontId="29" fillId="0" borderId="7" xfId="0" applyNumberFormat="1" applyFont="1" applyBorder="1" applyAlignment="1">
      <alignment wrapText="1"/>
    </xf>
    <xf numFmtId="0" fontId="31" fillId="0" borderId="4" xfId="0" applyFont="1" applyBorder="1"/>
    <xf numFmtId="0" fontId="26" fillId="0" borderId="0" xfId="0" applyFont="1" applyAlignment="1">
      <alignment horizontal="center" vertical="center"/>
    </xf>
    <xf numFmtId="0" fontId="31" fillId="0" borderId="2" xfId="0" applyFont="1" applyBorder="1" applyAlignment="1">
      <alignment wrapText="1"/>
    </xf>
    <xf numFmtId="171" fontId="25" fillId="0" borderId="0" xfId="0" applyNumberFormat="1" applyFont="1" applyAlignment="1">
      <alignment wrapText="1"/>
    </xf>
    <xf numFmtId="173" fontId="25" fillId="0" borderId="0" xfId="0" applyNumberFormat="1" applyFont="1" applyAlignment="1">
      <alignment wrapText="1"/>
    </xf>
    <xf numFmtId="174" fontId="28" fillId="0" borderId="2" xfId="0" applyNumberFormat="1" applyFont="1" applyBorder="1" applyAlignment="1">
      <alignment wrapText="1"/>
    </xf>
    <xf numFmtId="174" fontId="43" fillId="0" borderId="2" xfId="0" applyNumberFormat="1" applyFont="1" applyBorder="1" applyAlignment="1">
      <alignment wrapText="1"/>
    </xf>
    <xf numFmtId="0" fontId="34" fillId="0" borderId="0" xfId="0" applyFont="1"/>
    <xf numFmtId="0" fontId="44" fillId="0" borderId="8" xfId="0" applyFont="1" applyBorder="1"/>
    <xf numFmtId="0" fontId="45" fillId="0" borderId="1" xfId="0" applyFont="1" applyBorder="1" applyAlignment="1">
      <alignment wrapText="1"/>
    </xf>
    <xf numFmtId="14" fontId="46" fillId="0" borderId="9" xfId="0" applyNumberFormat="1" applyFont="1" applyBorder="1" applyAlignment="1">
      <alignment horizontal="right" wrapText="1"/>
    </xf>
    <xf numFmtId="0" fontId="45" fillId="0" borderId="0" xfId="0" applyFont="1" applyAlignment="1">
      <alignment wrapText="1"/>
    </xf>
    <xf numFmtId="0" fontId="47" fillId="0" borderId="0" xfId="3" applyFont="1" applyFill="1" applyAlignment="1" applyProtection="1">
      <alignment wrapText="1"/>
    </xf>
    <xf numFmtId="0" fontId="45" fillId="0" borderId="0" xfId="0" applyFont="1"/>
    <xf numFmtId="176" fontId="48" fillId="0" borderId="0" xfId="0" applyNumberFormat="1" applyFont="1" applyAlignment="1">
      <alignment wrapText="1"/>
    </xf>
    <xf numFmtId="176" fontId="29" fillId="0" borderId="0" xfId="0" applyNumberFormat="1" applyFont="1"/>
    <xf numFmtId="193" fontId="26" fillId="0" borderId="0" xfId="0" applyNumberFormat="1" applyFont="1" applyAlignment="1">
      <alignment wrapText="1"/>
    </xf>
    <xf numFmtId="0" fontId="3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9">
    <dxf>
      <font>
        <color rgb="FFFF0000"/>
      </font>
    </dxf>
    <dxf>
      <font>
        <color auto="1"/>
      </font>
    </dxf>
    <dxf>
      <font>
        <color rgb="FF008000"/>
      </font>
    </dxf>
    <dxf>
      <font>
        <color rgb="FF008000"/>
      </font>
    </dxf>
    <dxf>
      <font>
        <condense val="0"/>
        <extend val="0"/>
        <color rgb="FF9C0006"/>
      </font>
    </dxf>
    <dxf>
      <font>
        <color theme="1"/>
      </font>
    </dxf>
    <dxf>
      <fill>
        <patternFill>
          <bgColor theme="8"/>
        </patternFill>
      </fill>
      <border>
        <left/>
        <right/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8"/>
        </patternFill>
      </fill>
      <border>
        <left/>
        <right/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theme="8"/>
        </patternFill>
      </fill>
      <border>
        <left/>
        <right/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Owner/LOCALS~1/Temp/Rar$DI00.921/Valuation_2010_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kumar.WSP/Downloads/DataSet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F307-2C06-4333-950F-2ACE6A6BF2BD}">
  <dimension ref="A1:R452"/>
  <sheetViews>
    <sheetView showGridLines="0" tabSelected="1" zoomScale="70" zoomScaleNormal="70" workbookViewId="0">
      <selection activeCell="M12" sqref="M12"/>
    </sheetView>
  </sheetViews>
  <sheetFormatPr defaultColWidth="9.109375" defaultRowHeight="15.6" outlineLevelRow="1" x14ac:dyDescent="0.3"/>
  <cols>
    <col min="1" max="1" width="1.6640625" style="2" customWidth="1"/>
    <col min="2" max="2" width="85.33203125" style="2" bestFit="1" customWidth="1"/>
    <col min="3" max="3" width="16.6640625" style="2" customWidth="1"/>
    <col min="4" max="4" width="13.5546875" style="2" customWidth="1"/>
    <col min="5" max="5" width="14.6640625" style="2" customWidth="1"/>
    <col min="6" max="10" width="11.44140625" style="2" customWidth="1"/>
    <col min="11" max="11" width="9.109375" style="2"/>
    <col min="12" max="12" width="10.88671875" style="2" bestFit="1" customWidth="1"/>
    <col min="13" max="13" width="9.109375" style="2" customWidth="1"/>
    <col min="14" max="14" width="9.109375" style="2"/>
    <col min="15" max="15" width="27.44140625" style="2" bestFit="1" customWidth="1"/>
    <col min="16" max="16384" width="9.109375" style="2"/>
  </cols>
  <sheetData>
    <row r="1" spans="1:10" ht="16.2" thickBot="1" x14ac:dyDescent="0.35">
      <c r="A1" s="1" t="s">
        <v>0</v>
      </c>
    </row>
    <row r="2" spans="1:10" ht="25.2" thickBot="1" x14ac:dyDescent="0.45">
      <c r="B2" s="3" t="str">
        <f>"Financial Statement Modeling for "&amp;C6</f>
        <v>Financial Statement Modeling for Siemens</v>
      </c>
      <c r="C2" s="4"/>
      <c r="D2" s="4"/>
      <c r="E2" s="4"/>
      <c r="F2" s="4"/>
      <c r="G2" s="4"/>
      <c r="H2" s="4"/>
      <c r="I2" s="4"/>
      <c r="J2" s="4"/>
    </row>
    <row r="3" spans="1:10" x14ac:dyDescent="0.3">
      <c r="B3" s="5"/>
      <c r="C3" s="6"/>
      <c r="D3"/>
      <c r="E3"/>
      <c r="F3"/>
      <c r="G3"/>
      <c r="H3"/>
      <c r="I3"/>
      <c r="J3"/>
    </row>
    <row r="4" spans="1:10" x14ac:dyDescent="0.3">
      <c r="B4" s="7" t="s">
        <v>1</v>
      </c>
      <c r="C4" s="6"/>
      <c r="D4"/>
      <c r="E4"/>
      <c r="F4"/>
      <c r="G4"/>
      <c r="H4"/>
      <c r="I4"/>
      <c r="J4"/>
    </row>
    <row r="5" spans="1:10" s="8" customFormat="1" ht="18" customHeight="1" x14ac:dyDescent="0.3">
      <c r="B5" s="9" t="s">
        <v>2</v>
      </c>
      <c r="C5" s="10"/>
    </row>
    <row r="6" spans="1:10" s="11" customFormat="1" ht="18" x14ac:dyDescent="0.35">
      <c r="B6" s="12" t="s">
        <v>3</v>
      </c>
      <c r="C6" s="13" t="s">
        <v>4</v>
      </c>
      <c r="H6" s="14"/>
    </row>
    <row r="7" spans="1:10" s="11" customFormat="1" ht="18" x14ac:dyDescent="0.35">
      <c r="B7" s="12" t="s">
        <v>5</v>
      </c>
      <c r="C7" s="13" t="s">
        <v>6</v>
      </c>
      <c r="E7" s="15"/>
    </row>
    <row r="8" spans="1:10" s="11" customFormat="1" ht="18" x14ac:dyDescent="0.35">
      <c r="B8" s="16" t="s">
        <v>7</v>
      </c>
      <c r="C8" s="17">
        <v>223.05</v>
      </c>
      <c r="G8" s="18"/>
      <c r="I8" s="19"/>
    </row>
    <row r="9" spans="1:10" s="11" customFormat="1" ht="18" x14ac:dyDescent="0.35">
      <c r="B9" s="12" t="s">
        <v>8</v>
      </c>
      <c r="C9" s="20">
        <v>45850</v>
      </c>
    </row>
    <row r="10" spans="1:10" s="11" customFormat="1" ht="18" x14ac:dyDescent="0.35">
      <c r="B10" s="12" t="s">
        <v>9</v>
      </c>
      <c r="C10" s="20">
        <v>45565</v>
      </c>
    </row>
    <row r="11" spans="1:10" s="11" customFormat="1" ht="18" x14ac:dyDescent="0.35">
      <c r="B11" s="12" t="s">
        <v>10</v>
      </c>
      <c r="C11" s="21">
        <v>0</v>
      </c>
      <c r="I11" s="22"/>
    </row>
    <row r="12" spans="1:10" ht="18" x14ac:dyDescent="0.35">
      <c r="B12" s="12" t="s">
        <v>11</v>
      </c>
      <c r="C12" s="21">
        <v>365</v>
      </c>
      <c r="D12"/>
      <c r="E12"/>
      <c r="F12"/>
      <c r="G12"/>
      <c r="H12"/>
      <c r="I12" s="23"/>
      <c r="J12"/>
    </row>
    <row r="13" spans="1:10" ht="18" x14ac:dyDescent="0.35">
      <c r="B13"/>
      <c r="C13"/>
      <c r="D13"/>
      <c r="E13"/>
      <c r="F13"/>
      <c r="G13"/>
      <c r="H13"/>
      <c r="I13" s="11"/>
      <c r="J13"/>
    </row>
    <row r="14" spans="1:10" ht="18" x14ac:dyDescent="0.35">
      <c r="B14" s="24" t="s">
        <v>12</v>
      </c>
      <c r="C14"/>
      <c r="D14"/>
      <c r="E14"/>
      <c r="F14"/>
      <c r="G14"/>
      <c r="H14"/>
      <c r="I14"/>
      <c r="J14"/>
    </row>
    <row r="15" spans="1:10" x14ac:dyDescent="0.3">
      <c r="B15" s="25" t="s">
        <v>13</v>
      </c>
      <c r="C15"/>
      <c r="D15"/>
      <c r="E15"/>
      <c r="F15"/>
      <c r="G15"/>
      <c r="H15"/>
      <c r="I15"/>
      <c r="J15"/>
    </row>
    <row r="16" spans="1:10" x14ac:dyDescent="0.3">
      <c r="B16" s="25" t="s">
        <v>14</v>
      </c>
      <c r="C16"/>
      <c r="D16"/>
      <c r="E16"/>
      <c r="F16"/>
      <c r="G16"/>
      <c r="H16"/>
      <c r="I16"/>
      <c r="J16"/>
    </row>
    <row r="17" spans="2:10" x14ac:dyDescent="0.3">
      <c r="B17" s="25" t="s">
        <v>15</v>
      </c>
      <c r="C17"/>
      <c r="D17"/>
      <c r="E17"/>
      <c r="F17"/>
      <c r="G17"/>
      <c r="H17"/>
      <c r="I17"/>
      <c r="J17"/>
    </row>
    <row r="18" spans="2:10" x14ac:dyDescent="0.3">
      <c r="B18" s="25" t="s">
        <v>16</v>
      </c>
      <c r="C18"/>
      <c r="D18"/>
      <c r="E18"/>
      <c r="F18"/>
      <c r="G18"/>
      <c r="H18"/>
      <c r="I18"/>
      <c r="J18"/>
    </row>
    <row r="19" spans="2:10" x14ac:dyDescent="0.3">
      <c r="B19" s="25" t="s">
        <v>17</v>
      </c>
      <c r="C19"/>
      <c r="D19"/>
      <c r="E19"/>
      <c r="F19"/>
      <c r="G19"/>
      <c r="H19"/>
      <c r="I19"/>
      <c r="J19"/>
    </row>
    <row r="20" spans="2:10" x14ac:dyDescent="0.3">
      <c r="B20" s="25" t="s">
        <v>18</v>
      </c>
      <c r="C20"/>
      <c r="D20"/>
      <c r="E20"/>
      <c r="F20"/>
      <c r="G20"/>
      <c r="H20"/>
      <c r="I20"/>
      <c r="J20"/>
    </row>
    <row r="21" spans="2:10" x14ac:dyDescent="0.3">
      <c r="B21"/>
      <c r="C21"/>
      <c r="D21"/>
      <c r="E21"/>
      <c r="F21"/>
      <c r="G21"/>
      <c r="H21"/>
      <c r="I21"/>
      <c r="J21"/>
    </row>
    <row r="22" spans="2:10" ht="25.8" x14ac:dyDescent="0.5">
      <c r="B22" s="26" t="s">
        <v>19</v>
      </c>
      <c r="C22" s="27" t="s">
        <v>20</v>
      </c>
      <c r="D22" s="28"/>
      <c r="E22" s="28"/>
      <c r="F22" s="28"/>
      <c r="G22" s="28"/>
      <c r="H22" s="28"/>
      <c r="I22" s="28"/>
      <c r="J22" s="28"/>
    </row>
    <row r="23" spans="2:10" s="33" customFormat="1" ht="17.399999999999999" x14ac:dyDescent="0.35">
      <c r="B23" s="29" t="s">
        <v>21</v>
      </c>
      <c r="C23" s="30">
        <f>D23-1</f>
        <v>2022</v>
      </c>
      <c r="D23" s="30">
        <f>E23-1</f>
        <v>2023</v>
      </c>
      <c r="E23" s="31">
        <f>YEAR(C10)</f>
        <v>2024</v>
      </c>
      <c r="F23" s="32">
        <f>E23+1</f>
        <v>2025</v>
      </c>
      <c r="G23" s="32">
        <f t="shared" ref="G23:J23" si="0">F23+1</f>
        <v>2026</v>
      </c>
      <c r="H23" s="32">
        <f t="shared" si="0"/>
        <v>2027</v>
      </c>
      <c r="I23" s="32">
        <f t="shared" si="0"/>
        <v>2028</v>
      </c>
      <c r="J23" s="32">
        <f t="shared" si="0"/>
        <v>2029</v>
      </c>
    </row>
    <row r="24" spans="2:10" s="33" customFormat="1" ht="17.399999999999999" x14ac:dyDescent="0.35">
      <c r="B24" s="34" t="s">
        <v>22</v>
      </c>
      <c r="C24" s="35">
        <v>44834</v>
      </c>
      <c r="D24" s="35">
        <v>45199</v>
      </c>
      <c r="E24" s="35">
        <f>'Financial Model-Siemens'!C10</f>
        <v>45565</v>
      </c>
      <c r="F24" s="36">
        <f>EOMONTH(E24,12)</f>
        <v>45930</v>
      </c>
      <c r="G24" s="36">
        <f t="shared" ref="G24:J24" si="1">EOMONTH(F24,12)</f>
        <v>46295</v>
      </c>
      <c r="H24" s="36">
        <f t="shared" si="1"/>
        <v>46660</v>
      </c>
      <c r="I24" s="36">
        <f t="shared" si="1"/>
        <v>47026</v>
      </c>
      <c r="J24" s="36">
        <f t="shared" si="1"/>
        <v>47391</v>
      </c>
    </row>
    <row r="25" spans="2:10" s="33" customFormat="1" ht="17.399999999999999" x14ac:dyDescent="0.35">
      <c r="B25" s="37" t="s">
        <v>23</v>
      </c>
      <c r="C25" s="38"/>
      <c r="D25" s="38"/>
      <c r="E25" s="39"/>
      <c r="F25" s="39"/>
      <c r="G25" s="39"/>
      <c r="H25" s="39"/>
      <c r="I25" s="39"/>
      <c r="J25" s="39"/>
    </row>
    <row r="26" spans="2:10" s="33" customFormat="1" ht="17.399999999999999" x14ac:dyDescent="0.35">
      <c r="B26" s="33" t="s">
        <v>24</v>
      </c>
      <c r="C26" s="40">
        <v>71977</v>
      </c>
      <c r="D26" s="40">
        <v>74882</v>
      </c>
      <c r="E26" s="41">
        <v>75930</v>
      </c>
      <c r="F26" s="42">
        <f>F82</f>
        <v>79062.770405807882</v>
      </c>
      <c r="G26" s="42">
        <f t="shared" ref="G26:J26" si="2">G82</f>
        <v>81697.901714533538</v>
      </c>
      <c r="H26" s="42">
        <f t="shared" si="2"/>
        <v>85146.258863319803</v>
      </c>
      <c r="I26" s="42">
        <f t="shared" si="2"/>
        <v>88703.424153603031</v>
      </c>
      <c r="J26" s="42">
        <f t="shared" si="2"/>
        <v>92741.654791513312</v>
      </c>
    </row>
    <row r="27" spans="2:10" s="33" customFormat="1" ht="17.399999999999999" x14ac:dyDescent="0.35">
      <c r="B27" s="33" t="s">
        <v>25</v>
      </c>
      <c r="C27" s="40">
        <v>-46130</v>
      </c>
      <c r="D27" s="40">
        <v>-45766</v>
      </c>
      <c r="E27" s="40">
        <v>-46107</v>
      </c>
      <c r="F27" s="42">
        <f ca="1">-(F26-F28)</f>
        <v>-47437.662243484723</v>
      </c>
      <c r="G27" s="42">
        <f t="shared" ref="G27:J27" ca="1" si="3">-(G26-G28)</f>
        <v>-49018.74102872012</v>
      </c>
      <c r="H27" s="42">
        <f t="shared" ca="1" si="3"/>
        <v>-51087.755317991883</v>
      </c>
      <c r="I27" s="42">
        <f t="shared" ca="1" si="3"/>
        <v>-53222.05449216182</v>
      </c>
      <c r="J27" s="42">
        <f t="shared" ca="1" si="3"/>
        <v>-55644.992874907985</v>
      </c>
    </row>
    <row r="28" spans="2:10" s="33" customFormat="1" ht="17.399999999999999" x14ac:dyDescent="0.35">
      <c r="B28" s="43" t="s">
        <v>26</v>
      </c>
      <c r="C28" s="44">
        <f>SUM(C26:C27)</f>
        <v>25847</v>
      </c>
      <c r="D28" s="44">
        <f>SUM(D26:D27)</f>
        <v>29116</v>
      </c>
      <c r="E28" s="44">
        <f>SUM(E26:E27)</f>
        <v>29823</v>
      </c>
      <c r="F28" s="44">
        <f ca="1">F26*F55</f>
        <v>31625.108162323155</v>
      </c>
      <c r="G28" s="44">
        <f t="shared" ref="G28:J28" ca="1" si="4">G26*G55</f>
        <v>32679.160685813418</v>
      </c>
      <c r="H28" s="44">
        <f t="shared" ca="1" si="4"/>
        <v>34058.50354532792</v>
      </c>
      <c r="I28" s="44">
        <f t="shared" ca="1" si="4"/>
        <v>35481.369661441211</v>
      </c>
      <c r="J28" s="44">
        <f t="shared" ca="1" si="4"/>
        <v>37096.661916605328</v>
      </c>
    </row>
    <row r="29" spans="2:10" s="33" customFormat="1" ht="17.399999999999999" x14ac:dyDescent="0.35">
      <c r="B29" s="33" t="s">
        <v>27</v>
      </c>
      <c r="C29" s="40">
        <v>-5591</v>
      </c>
      <c r="D29" s="40">
        <v>-6113</v>
      </c>
      <c r="E29" s="40">
        <v>-6276</v>
      </c>
      <c r="F29" s="42">
        <f ca="1">-F26*F56</f>
        <v>-7115.6493365227088</v>
      </c>
      <c r="G29" s="42">
        <f t="shared" ref="G29:J29" ca="1" si="5">-G26*G56</f>
        <v>-7352.8111543080186</v>
      </c>
      <c r="H29" s="42">
        <f t="shared" ca="1" si="5"/>
        <v>-7663.1632976987821</v>
      </c>
      <c r="I29" s="42">
        <f t="shared" ca="1" si="5"/>
        <v>-7983.3081738242727</v>
      </c>
      <c r="J29" s="42">
        <f t="shared" ca="1" si="5"/>
        <v>-8346.7489312361977</v>
      </c>
    </row>
    <row r="30" spans="2:10" s="33" customFormat="1" ht="17.399999999999999" x14ac:dyDescent="0.35">
      <c r="B30" s="33" t="s">
        <v>28</v>
      </c>
      <c r="C30" s="40">
        <v>-12857</v>
      </c>
      <c r="D30" s="40">
        <v>-13553</v>
      </c>
      <c r="E30" s="40">
        <v>-13984</v>
      </c>
      <c r="F30" s="42">
        <f ca="1">-F26*F57</f>
        <v>-15021.926377103498</v>
      </c>
      <c r="G30" s="42">
        <f t="shared" ref="G30:J30" ca="1" si="6">-G26*G57</f>
        <v>-15522.601325761372</v>
      </c>
      <c r="H30" s="42">
        <f t="shared" ca="1" si="6"/>
        <v>-16177.789184030762</v>
      </c>
      <c r="I30" s="42">
        <f t="shared" ca="1" si="6"/>
        <v>-16853.650589184577</v>
      </c>
      <c r="J30" s="42">
        <f t="shared" ca="1" si="6"/>
        <v>-17620.91441038753</v>
      </c>
    </row>
    <row r="31" spans="2:10" s="33" customFormat="1" ht="17.399999999999999" x14ac:dyDescent="0.35">
      <c r="B31" s="33" t="s">
        <v>29</v>
      </c>
      <c r="C31" s="40">
        <v>2171</v>
      </c>
      <c r="D31" s="40">
        <v>572</v>
      </c>
      <c r="E31" s="40">
        <v>544</v>
      </c>
      <c r="F31" s="42">
        <f>E31</f>
        <v>544</v>
      </c>
      <c r="G31" s="42">
        <f t="shared" ref="G31:J31" si="7">F31</f>
        <v>544</v>
      </c>
      <c r="H31" s="42">
        <f t="shared" si="7"/>
        <v>544</v>
      </c>
      <c r="I31" s="42">
        <f t="shared" si="7"/>
        <v>544</v>
      </c>
      <c r="J31" s="42">
        <f t="shared" si="7"/>
        <v>544</v>
      </c>
    </row>
    <row r="32" spans="2:10" s="33" customFormat="1" ht="17.399999999999999" x14ac:dyDescent="0.35">
      <c r="B32" s="33" t="s">
        <v>30</v>
      </c>
      <c r="C32" s="40">
        <v>-285</v>
      </c>
      <c r="D32" s="40">
        <v>-447</v>
      </c>
      <c r="E32" s="40">
        <v>-514</v>
      </c>
      <c r="F32" s="42">
        <f t="shared" ref="F32:J33" si="8">E32</f>
        <v>-514</v>
      </c>
      <c r="G32" s="42">
        <f t="shared" si="8"/>
        <v>-514</v>
      </c>
      <c r="H32" s="42">
        <f t="shared" si="8"/>
        <v>-514</v>
      </c>
      <c r="I32" s="42">
        <f t="shared" si="8"/>
        <v>-514</v>
      </c>
      <c r="J32" s="42">
        <f t="shared" si="8"/>
        <v>-514</v>
      </c>
    </row>
    <row r="33" spans="2:17" s="33" customFormat="1" ht="17.399999999999999" x14ac:dyDescent="0.35">
      <c r="B33" s="33" t="s">
        <v>31</v>
      </c>
      <c r="C33" s="40">
        <v>-2085</v>
      </c>
      <c r="D33" s="40">
        <v>906</v>
      </c>
      <c r="E33" s="40">
        <v>827</v>
      </c>
      <c r="F33" s="42">
        <f t="shared" si="8"/>
        <v>827</v>
      </c>
      <c r="G33" s="42">
        <f t="shared" si="8"/>
        <v>827</v>
      </c>
      <c r="H33" s="42">
        <f t="shared" si="8"/>
        <v>827</v>
      </c>
      <c r="I33" s="42">
        <f t="shared" si="8"/>
        <v>827</v>
      </c>
      <c r="J33" s="42">
        <f t="shared" si="8"/>
        <v>827</v>
      </c>
    </row>
    <row r="34" spans="2:17" s="33" customFormat="1" ht="17.399999999999999" x14ac:dyDescent="0.35">
      <c r="B34" s="43" t="s">
        <v>32</v>
      </c>
      <c r="C34" s="44">
        <f>SUM(C28:C33)</f>
        <v>7200</v>
      </c>
      <c r="D34" s="44">
        <f>SUM(D28:D33)</f>
        <v>10481</v>
      </c>
      <c r="E34" s="44">
        <f>SUM(E28:E33)</f>
        <v>10420</v>
      </c>
      <c r="F34" s="44">
        <f t="shared" ref="F34:J34" ca="1" si="9">SUM(F28:F33)</f>
        <v>10344.532448696946</v>
      </c>
      <c r="G34" s="44">
        <f t="shared" ca="1" si="9"/>
        <v>10660.748205744027</v>
      </c>
      <c r="H34" s="44">
        <f t="shared" ca="1" si="9"/>
        <v>11074.551063598376</v>
      </c>
      <c r="I34" s="44">
        <f t="shared" ca="1" si="9"/>
        <v>11501.410898432361</v>
      </c>
      <c r="J34" s="44">
        <f t="shared" ca="1" si="9"/>
        <v>11985.998574981601</v>
      </c>
    </row>
    <row r="35" spans="2:17" s="33" customFormat="1" ht="17.399999999999999" x14ac:dyDescent="0.35">
      <c r="B35" s="33" t="s">
        <v>33</v>
      </c>
      <c r="C35" s="40">
        <v>1632</v>
      </c>
      <c r="D35" s="40">
        <v>2402</v>
      </c>
      <c r="E35" s="40">
        <v>2833</v>
      </c>
      <c r="F35" s="45">
        <f ca="1">F360</f>
        <v>2976.9157005276948</v>
      </c>
      <c r="G35" s="45">
        <f t="shared" ref="G35:J35" ca="1" si="10">G360</f>
        <v>5741.8375388274426</v>
      </c>
      <c r="H35" s="45">
        <f t="shared" ca="1" si="10"/>
        <v>9827.0407106786424</v>
      </c>
      <c r="I35" s="45">
        <f t="shared" ca="1" si="10"/>
        <v>15256.137244954582</v>
      </c>
      <c r="J35" s="45">
        <f t="shared" ca="1" si="10"/>
        <v>21721.640150242642</v>
      </c>
      <c r="L35" s="45"/>
      <c r="M35" s="45"/>
      <c r="N35" s="45"/>
      <c r="O35" s="45"/>
      <c r="P35" s="45"/>
    </row>
    <row r="36" spans="2:17" s="33" customFormat="1" ht="17.399999999999999" x14ac:dyDescent="0.35">
      <c r="B36" s="33" t="s">
        <v>34</v>
      </c>
      <c r="C36" s="40">
        <v>-689</v>
      </c>
      <c r="D36" s="40">
        <v>-1369</v>
      </c>
      <c r="E36" s="40">
        <v>-1785</v>
      </c>
      <c r="F36" s="45">
        <f>-F286</f>
        <v>-1004</v>
      </c>
      <c r="G36" s="45">
        <f t="shared" ref="G36:J36" si="11">-G286</f>
        <v>-1004</v>
      </c>
      <c r="H36" s="45">
        <f t="shared" si="11"/>
        <v>-1004</v>
      </c>
      <c r="I36" s="45">
        <f t="shared" si="11"/>
        <v>-1004</v>
      </c>
      <c r="J36" s="45">
        <f t="shared" si="11"/>
        <v>-1004</v>
      </c>
      <c r="L36" s="45"/>
      <c r="M36" s="45"/>
      <c r="N36" s="45"/>
      <c r="O36" s="45"/>
      <c r="P36" s="45"/>
      <c r="Q36" s="45"/>
    </row>
    <row r="37" spans="2:17" s="33" customFormat="1" ht="17.399999999999999" x14ac:dyDescent="0.35">
      <c r="B37" s="33" t="s">
        <v>35</v>
      </c>
      <c r="C37" s="40">
        <v>-987</v>
      </c>
      <c r="D37" s="40">
        <v>-388</v>
      </c>
      <c r="E37" s="40">
        <v>-240</v>
      </c>
      <c r="F37" s="45">
        <f>E37</f>
        <v>-240</v>
      </c>
      <c r="G37" s="45">
        <f t="shared" ref="G37:J37" si="12">F37</f>
        <v>-240</v>
      </c>
      <c r="H37" s="45">
        <f t="shared" si="12"/>
        <v>-240</v>
      </c>
      <c r="I37" s="45">
        <f t="shared" si="12"/>
        <v>-240</v>
      </c>
      <c r="J37" s="45">
        <f t="shared" si="12"/>
        <v>-240</v>
      </c>
    </row>
    <row r="38" spans="2:17" s="33" customFormat="1" ht="17.399999999999999" x14ac:dyDescent="0.35">
      <c r="B38" s="43" t="s">
        <v>36</v>
      </c>
      <c r="C38" s="44">
        <f>SUM(C34:C37)</f>
        <v>7156</v>
      </c>
      <c r="D38" s="44">
        <f>SUM(D34:D37)</f>
        <v>11126</v>
      </c>
      <c r="E38" s="44">
        <f>SUM(E34:E37)</f>
        <v>11228</v>
      </c>
      <c r="F38" s="44">
        <f t="shared" ref="F38:J38" ca="1" si="13">SUM(F34:F37)</f>
        <v>12077.448149224641</v>
      </c>
      <c r="G38" s="44">
        <f t="shared" ca="1" si="13"/>
        <v>15158.585744571468</v>
      </c>
      <c r="H38" s="44">
        <f t="shared" ca="1" si="13"/>
        <v>19657.591774277018</v>
      </c>
      <c r="I38" s="44">
        <f t="shared" ca="1" si="13"/>
        <v>25513.548143386943</v>
      </c>
      <c r="J38" s="44">
        <f t="shared" ca="1" si="13"/>
        <v>32463.638725224242</v>
      </c>
    </row>
    <row r="39" spans="2:17" s="33" customFormat="1" ht="17.399999999999999" x14ac:dyDescent="0.35">
      <c r="B39" s="33" t="s">
        <v>37</v>
      </c>
      <c r="C39" s="40">
        <v>-2741</v>
      </c>
      <c r="D39" s="40">
        <v>-2600</v>
      </c>
      <c r="E39" s="40">
        <v>-2320</v>
      </c>
      <c r="F39" s="42">
        <f ca="1">-F38*F58</f>
        <v>-2658.9296254476581</v>
      </c>
      <c r="G39" s="42">
        <f t="shared" ref="G39:J39" ca="1" si="14">-G38*G58</f>
        <v>-3234.712341302451</v>
      </c>
      <c r="H39" s="42">
        <f t="shared" ca="1" si="14"/>
        <v>-4261.2548874806962</v>
      </c>
      <c r="I39" s="42">
        <f t="shared" ca="1" si="14"/>
        <v>-5487.5233053762931</v>
      </c>
      <c r="J39" s="42">
        <f t="shared" ca="1" si="14"/>
        <v>-7009.8203257628165</v>
      </c>
    </row>
    <row r="40" spans="2:17" s="33" customFormat="1" ht="17.399999999999999" x14ac:dyDescent="0.35">
      <c r="B40" s="43" t="s">
        <v>38</v>
      </c>
      <c r="C40" s="44">
        <f>SUM(C38:C39)</f>
        <v>4415</v>
      </c>
      <c r="D40" s="44">
        <f>SUM(D38:D39)</f>
        <v>8526</v>
      </c>
      <c r="E40" s="44">
        <f>SUM(E38:E39)</f>
        <v>8908</v>
      </c>
      <c r="F40" s="44">
        <f t="shared" ref="F40:J40" ca="1" si="15">SUM(F38:F39)</f>
        <v>9418.5185237769838</v>
      </c>
      <c r="G40" s="44">
        <f t="shared" ca="1" si="15"/>
        <v>11923.873403269017</v>
      </c>
      <c r="H40" s="44">
        <f t="shared" ca="1" si="15"/>
        <v>15396.336886796322</v>
      </c>
      <c r="I40" s="44">
        <f t="shared" ca="1" si="15"/>
        <v>20026.02483801065</v>
      </c>
      <c r="J40" s="44">
        <f t="shared" ca="1" si="15"/>
        <v>25453.818399461426</v>
      </c>
    </row>
    <row r="41" spans="2:17" s="33" customFormat="1" ht="17.399999999999999" x14ac:dyDescent="0.35">
      <c r="B41" s="33" t="s">
        <v>39</v>
      </c>
      <c r="C41" s="40">
        <v>-21</v>
      </c>
      <c r="D41" s="40">
        <v>3</v>
      </c>
      <c r="E41" s="46">
        <v>85</v>
      </c>
      <c r="F41" s="42">
        <f>AVERAGE(D41:E41)</f>
        <v>44</v>
      </c>
      <c r="G41" s="42">
        <f t="shared" ref="G41:J41" si="16">F41</f>
        <v>44</v>
      </c>
      <c r="H41" s="42">
        <f t="shared" si="16"/>
        <v>44</v>
      </c>
      <c r="I41" s="42">
        <f t="shared" si="16"/>
        <v>44</v>
      </c>
      <c r="J41" s="42">
        <f t="shared" si="16"/>
        <v>44</v>
      </c>
    </row>
    <row r="42" spans="2:17" s="33" customFormat="1" ht="17.399999999999999" x14ac:dyDescent="0.35">
      <c r="B42" s="43" t="s">
        <v>40</v>
      </c>
      <c r="C42" s="44">
        <f>SUM(C40:C41)</f>
        <v>4394</v>
      </c>
      <c r="D42" s="44">
        <f>SUM(D40:D41)</f>
        <v>8529</v>
      </c>
      <c r="E42" s="44">
        <f>SUM(E40:E41)</f>
        <v>8993</v>
      </c>
      <c r="F42" s="44">
        <f t="shared" ref="F42:J42" ca="1" si="17">SUM(F40:F41)</f>
        <v>9462.5185237769838</v>
      </c>
      <c r="G42" s="44">
        <f t="shared" ca="1" si="17"/>
        <v>11967.873403269017</v>
      </c>
      <c r="H42" s="44">
        <f t="shared" ca="1" si="17"/>
        <v>15440.336886796322</v>
      </c>
      <c r="I42" s="44">
        <f t="shared" ca="1" si="17"/>
        <v>20070.02483801065</v>
      </c>
      <c r="J42" s="44">
        <f t="shared" ca="1" si="17"/>
        <v>25497.818399461426</v>
      </c>
    </row>
    <row r="43" spans="2:17" s="33" customFormat="1" ht="17.399999999999999" x14ac:dyDescent="0.35">
      <c r="B43" s="33" t="s">
        <v>41</v>
      </c>
      <c r="C43" s="40">
        <v>669</v>
      </c>
      <c r="D43" s="40">
        <v>579</v>
      </c>
      <c r="E43" s="40">
        <v>691</v>
      </c>
      <c r="F43" s="42">
        <f>E43</f>
        <v>691</v>
      </c>
      <c r="G43" s="42">
        <f t="shared" ref="G43:J43" si="18">F43</f>
        <v>691</v>
      </c>
      <c r="H43" s="42">
        <f t="shared" si="18"/>
        <v>691</v>
      </c>
      <c r="I43" s="42">
        <f t="shared" si="18"/>
        <v>691</v>
      </c>
      <c r="J43" s="42">
        <f t="shared" si="18"/>
        <v>691</v>
      </c>
    </row>
    <row r="44" spans="2:17" s="33" customFormat="1" ht="17.399999999999999" x14ac:dyDescent="0.35">
      <c r="B44" s="33" t="s">
        <v>42</v>
      </c>
      <c r="C44" s="44">
        <f>C42-C43</f>
        <v>3725</v>
      </c>
      <c r="D44" s="44">
        <f>D42-D43</f>
        <v>7950</v>
      </c>
      <c r="E44" s="44">
        <f>E42-E43</f>
        <v>8302</v>
      </c>
      <c r="F44" s="44">
        <f t="shared" ref="F44:J44" ca="1" si="19">F42-F43</f>
        <v>8771.5185237769838</v>
      </c>
      <c r="G44" s="44">
        <f t="shared" ca="1" si="19"/>
        <v>11276.873403269017</v>
      </c>
      <c r="H44" s="44">
        <f t="shared" ca="1" si="19"/>
        <v>14749.336886796322</v>
      </c>
      <c r="I44" s="44">
        <f t="shared" ca="1" si="19"/>
        <v>19379.02483801065</v>
      </c>
      <c r="J44" s="44">
        <f t="shared" ca="1" si="19"/>
        <v>24806.818399461426</v>
      </c>
    </row>
    <row r="45" spans="2:17" s="33" customFormat="1" ht="17.399999999999999" x14ac:dyDescent="0.35">
      <c r="E45" s="47"/>
      <c r="F45" s="47"/>
      <c r="G45" s="48"/>
    </row>
    <row r="46" spans="2:17" s="33" customFormat="1" ht="17.399999999999999" x14ac:dyDescent="0.35">
      <c r="B46" s="33" t="s">
        <v>43</v>
      </c>
      <c r="C46" s="49">
        <v>801</v>
      </c>
      <c r="D46" s="49">
        <v>791</v>
      </c>
      <c r="E46" s="49">
        <v>788</v>
      </c>
      <c r="F46" s="50">
        <f>F368</f>
        <v>788</v>
      </c>
      <c r="G46" s="50">
        <f t="shared" ref="G46:J46" si="20">G368</f>
        <v>788</v>
      </c>
      <c r="H46" s="50">
        <f t="shared" si="20"/>
        <v>788</v>
      </c>
      <c r="I46" s="50">
        <f t="shared" si="20"/>
        <v>788</v>
      </c>
      <c r="J46" s="50">
        <f t="shared" si="20"/>
        <v>788</v>
      </c>
    </row>
    <row r="47" spans="2:17" s="33" customFormat="1" ht="17.399999999999999" x14ac:dyDescent="0.35">
      <c r="B47" s="33" t="s">
        <v>44</v>
      </c>
      <c r="C47" s="51">
        <f t="shared" ref="C47:D47" si="21">C48-C46</f>
        <v>8</v>
      </c>
      <c r="D47" s="51">
        <f t="shared" si="21"/>
        <v>10</v>
      </c>
      <c r="E47" s="51">
        <f>E48-E46</f>
        <v>10</v>
      </c>
      <c r="F47" s="50">
        <f>E47</f>
        <v>10</v>
      </c>
      <c r="G47" s="50">
        <f t="shared" ref="G47:J47" si="22">F47</f>
        <v>10</v>
      </c>
      <c r="H47" s="50">
        <f t="shared" si="22"/>
        <v>10</v>
      </c>
      <c r="I47" s="50">
        <f t="shared" si="22"/>
        <v>10</v>
      </c>
      <c r="J47" s="50">
        <f t="shared" si="22"/>
        <v>10</v>
      </c>
    </row>
    <row r="48" spans="2:17" s="33" customFormat="1" ht="17.399999999999999" x14ac:dyDescent="0.35">
      <c r="B48" s="33" t="s">
        <v>45</v>
      </c>
      <c r="C48" s="49">
        <v>809</v>
      </c>
      <c r="D48" s="49">
        <v>801</v>
      </c>
      <c r="E48" s="49">
        <v>798</v>
      </c>
      <c r="F48" s="50">
        <f>F46+F47</f>
        <v>798</v>
      </c>
      <c r="G48" s="50">
        <f t="shared" ref="G48:J48" si="23">G46+G47</f>
        <v>798</v>
      </c>
      <c r="H48" s="50">
        <f t="shared" si="23"/>
        <v>798</v>
      </c>
      <c r="I48" s="50">
        <f t="shared" si="23"/>
        <v>798</v>
      </c>
      <c r="J48" s="50">
        <f t="shared" si="23"/>
        <v>798</v>
      </c>
    </row>
    <row r="49" spans="2:10" s="33" customFormat="1" ht="17.399999999999999" x14ac:dyDescent="0.35">
      <c r="C49" s="52"/>
      <c r="D49" s="52"/>
      <c r="E49" s="52"/>
      <c r="F49" s="52"/>
      <c r="G49" s="52"/>
      <c r="H49" s="52"/>
      <c r="I49" s="52"/>
      <c r="J49" s="52"/>
    </row>
    <row r="50" spans="2:10" s="33" customFormat="1" ht="17.399999999999999" x14ac:dyDescent="0.35">
      <c r="B50" s="33" t="s">
        <v>46</v>
      </c>
      <c r="C50" s="53">
        <v>4.67</v>
      </c>
      <c r="D50" s="53">
        <v>10.039999999999999</v>
      </c>
      <c r="E50" s="53">
        <v>10.42</v>
      </c>
      <c r="F50" s="54">
        <f ca="1">IFERROR(F44/F46,"NA")</f>
        <v>11.131368684996172</v>
      </c>
      <c r="G50" s="54">
        <f t="shared" ref="G50:J50" ca="1" si="24">IFERROR(G44/G46,"NA")</f>
        <v>14.310753049833778</v>
      </c>
      <c r="H50" s="54">
        <f t="shared" ca="1" si="24"/>
        <v>18.717432597457261</v>
      </c>
      <c r="I50" s="54">
        <f t="shared" ca="1" si="24"/>
        <v>24.592671114226711</v>
      </c>
      <c r="J50" s="54">
        <f t="shared" ca="1" si="24"/>
        <v>31.480734009468815</v>
      </c>
    </row>
    <row r="51" spans="2:10" s="33" customFormat="1" ht="17.399999999999999" x14ac:dyDescent="0.35">
      <c r="B51" s="43" t="s">
        <v>47</v>
      </c>
      <c r="C51" s="55">
        <v>4.62</v>
      </c>
      <c r="D51" s="55">
        <v>9.91</v>
      </c>
      <c r="E51" s="55">
        <v>10.27</v>
      </c>
      <c r="F51" s="55">
        <f ca="1">F44/F48</f>
        <v>10.991877849344592</v>
      </c>
      <c r="G51" s="55">
        <f t="shared" ref="G51:J51" ca="1" si="25">G44/G48</f>
        <v>14.131420304848392</v>
      </c>
      <c r="H51" s="55">
        <f t="shared" ca="1" si="25"/>
        <v>18.482878304256044</v>
      </c>
      <c r="I51" s="55">
        <f t="shared" ca="1" si="25"/>
        <v>24.284492278208834</v>
      </c>
      <c r="J51" s="55">
        <f t="shared" ca="1" si="25"/>
        <v>31.086238595816322</v>
      </c>
    </row>
    <row r="52" spans="2:10" outlineLevel="1" x14ac:dyDescent="0.3">
      <c r="B52"/>
      <c r="C52" s="56"/>
      <c r="D52" s="56"/>
      <c r="E52" s="56"/>
      <c r="F52" s="56"/>
      <c r="G52" s="56"/>
      <c r="H52" s="56"/>
      <c r="I52" s="56"/>
      <c r="J52" s="56"/>
    </row>
    <row r="53" spans="2:10" s="33" customFormat="1" ht="17.399999999999999" outlineLevel="1" x14ac:dyDescent="0.35">
      <c r="B53" s="57" t="s">
        <v>48</v>
      </c>
      <c r="C53" s="52"/>
      <c r="D53" s="52"/>
      <c r="E53" s="52"/>
      <c r="F53" s="52"/>
      <c r="G53" s="52"/>
      <c r="H53" s="52"/>
      <c r="I53" s="52"/>
      <c r="J53" s="52"/>
    </row>
    <row r="54" spans="2:10" s="33" customFormat="1" ht="17.399999999999999" outlineLevel="1" x14ac:dyDescent="0.35">
      <c r="B54" s="58" t="s">
        <v>49</v>
      </c>
      <c r="C54" s="59" t="s">
        <v>50</v>
      </c>
      <c r="D54" s="59">
        <f>D26/C26-1</f>
        <v>4.0360115036747857E-2</v>
      </c>
      <c r="E54" s="59">
        <f>E26/D26-1</f>
        <v>1.399535268822949E-2</v>
      </c>
      <c r="F54" s="59">
        <f ca="1">F430</f>
        <v>4.1258664635952513E-2</v>
      </c>
      <c r="G54" s="59">
        <f t="shared" ref="G54:J57" ca="1" si="26">G430</f>
        <v>3.3329610070583549E-2</v>
      </c>
      <c r="H54" s="59">
        <f t="shared" ca="1" si="26"/>
        <v>4.2208637877082955E-2</v>
      </c>
      <c r="I54" s="59">
        <f t="shared" ca="1" si="26"/>
        <v>4.1777117841352629E-2</v>
      </c>
      <c r="J54" s="59">
        <f t="shared" ca="1" si="26"/>
        <v>4.5525081770434239E-2</v>
      </c>
    </row>
    <row r="55" spans="2:10" s="33" customFormat="1" ht="17.399999999999999" outlineLevel="1" x14ac:dyDescent="0.35">
      <c r="B55" s="58" t="s">
        <v>51</v>
      </c>
      <c r="C55" s="59">
        <f>C28/C26</f>
        <v>0.35910082387429315</v>
      </c>
      <c r="D55" s="59">
        <f>D28/D26</f>
        <v>0.38882508480008549</v>
      </c>
      <c r="E55" s="59">
        <f>E28/E$26</f>
        <v>0.39276965626234689</v>
      </c>
      <c r="F55" s="59">
        <f t="shared" ref="F55:F57" ca="1" si="27">F431</f>
        <v>0.4</v>
      </c>
      <c r="G55" s="59">
        <f t="shared" ca="1" si="26"/>
        <v>0.4</v>
      </c>
      <c r="H55" s="59">
        <f t="shared" ca="1" si="26"/>
        <v>0.4</v>
      </c>
      <c r="I55" s="59">
        <f t="shared" ca="1" si="26"/>
        <v>0.4</v>
      </c>
      <c r="J55" s="59">
        <f t="shared" ca="1" si="26"/>
        <v>0.4</v>
      </c>
    </row>
    <row r="56" spans="2:10" s="33" customFormat="1" ht="17.399999999999999" outlineLevel="1" x14ac:dyDescent="0.35">
      <c r="B56" s="58" t="s">
        <v>52</v>
      </c>
      <c r="C56" s="59">
        <f>-C29/C$26</f>
        <v>7.7677591452825212E-2</v>
      </c>
      <c r="D56" s="59">
        <f>-D29/D$26</f>
        <v>8.1635105899949253E-2</v>
      </c>
      <c r="E56" s="59">
        <f>-E29/E$26</f>
        <v>8.2655077044646391E-2</v>
      </c>
      <c r="F56" s="59">
        <f t="shared" ca="1" si="27"/>
        <v>0.09</v>
      </c>
      <c r="G56" s="59">
        <f t="shared" ca="1" si="26"/>
        <v>0.09</v>
      </c>
      <c r="H56" s="59">
        <f t="shared" ca="1" si="26"/>
        <v>0.09</v>
      </c>
      <c r="I56" s="59">
        <f t="shared" ca="1" si="26"/>
        <v>0.09</v>
      </c>
      <c r="J56" s="59">
        <f t="shared" ca="1" si="26"/>
        <v>0.09</v>
      </c>
    </row>
    <row r="57" spans="2:10" s="33" customFormat="1" ht="17.399999999999999" outlineLevel="1" x14ac:dyDescent="0.35">
      <c r="B57" s="58" t="s">
        <v>53</v>
      </c>
      <c r="C57" s="59">
        <f>-C30/C26</f>
        <v>0.17862650568931743</v>
      </c>
      <c r="D57" s="59">
        <f>-D30/D26</f>
        <v>0.18099142651104405</v>
      </c>
      <c r="E57" s="59">
        <f>-E30/E26</f>
        <v>0.18416962992229685</v>
      </c>
      <c r="F57" s="59">
        <f t="shared" ca="1" si="27"/>
        <v>0.19</v>
      </c>
      <c r="G57" s="59">
        <f t="shared" ca="1" si="26"/>
        <v>0.19</v>
      </c>
      <c r="H57" s="59">
        <f t="shared" ca="1" si="26"/>
        <v>0.19</v>
      </c>
      <c r="I57" s="59">
        <f t="shared" ca="1" si="26"/>
        <v>0.19</v>
      </c>
      <c r="J57" s="59">
        <f t="shared" ca="1" si="26"/>
        <v>0.19</v>
      </c>
    </row>
    <row r="58" spans="2:10" s="33" customFormat="1" ht="17.399999999999999" outlineLevel="1" x14ac:dyDescent="0.35">
      <c r="B58" s="58" t="s">
        <v>54</v>
      </c>
      <c r="C58" s="59">
        <f>-C39/C38</f>
        <v>0.38303521520402461</v>
      </c>
      <c r="D58" s="59">
        <f>-D39/D38</f>
        <v>0.2336868596081251</v>
      </c>
      <c r="E58" s="59">
        <f>-E39/E38</f>
        <v>0.20662629141432134</v>
      </c>
      <c r="F58" s="60">
        <f>AVERAGE(D58:E58)</f>
        <v>0.22015657551122322</v>
      </c>
      <c r="G58" s="60">
        <f t="shared" ref="G58:J58" si="28">AVERAGE(E58:F58)</f>
        <v>0.21339143346277228</v>
      </c>
      <c r="H58" s="60">
        <f t="shared" si="28"/>
        <v>0.21677400448699774</v>
      </c>
      <c r="I58" s="60">
        <f t="shared" si="28"/>
        <v>0.21508271897488501</v>
      </c>
      <c r="J58" s="60">
        <f t="shared" si="28"/>
        <v>0.21592836173094138</v>
      </c>
    </row>
    <row r="59" spans="2:10" s="33" customFormat="1" ht="17.399999999999999" outlineLevel="1" x14ac:dyDescent="0.35">
      <c r="C59" s="52"/>
      <c r="D59" s="52"/>
      <c r="E59" s="52"/>
      <c r="F59" s="52"/>
      <c r="G59" s="52"/>
      <c r="H59" s="52"/>
      <c r="I59" s="52"/>
      <c r="J59" s="52"/>
    </row>
    <row r="60" spans="2:10" s="33" customFormat="1" ht="17.399999999999999" outlineLevel="1" x14ac:dyDescent="0.35">
      <c r="B60" s="57" t="s">
        <v>55</v>
      </c>
      <c r="C60" s="52"/>
      <c r="D60" s="52"/>
      <c r="E60" s="52"/>
      <c r="F60" s="52"/>
      <c r="G60" s="52"/>
      <c r="H60" s="52"/>
      <c r="I60" s="52"/>
      <c r="J60" s="52"/>
    </row>
    <row r="61" spans="2:10" s="33" customFormat="1" ht="17.399999999999999" outlineLevel="1" x14ac:dyDescent="0.35">
      <c r="B61" s="58" t="s">
        <v>56</v>
      </c>
      <c r="C61" s="49">
        <v>3158</v>
      </c>
      <c r="D61" s="49">
        <v>3544</v>
      </c>
      <c r="E61" s="49">
        <v>3561</v>
      </c>
      <c r="F61" s="50">
        <f>-F164</f>
        <v>3490.5072955926403</v>
      </c>
      <c r="G61" s="50">
        <f t="shared" ref="G61:J61" si="29">-G164</f>
        <v>3382.1833827138771</v>
      </c>
      <c r="H61" s="50">
        <f t="shared" si="29"/>
        <v>3290.7969348123042</v>
      </c>
      <c r="I61" s="50">
        <f t="shared" si="29"/>
        <v>3184.351291424879</v>
      </c>
      <c r="J61" s="50">
        <f t="shared" si="29"/>
        <v>3074.28875425048</v>
      </c>
    </row>
    <row r="62" spans="2:10" s="33" customFormat="1" ht="17.399999999999999" outlineLevel="1" x14ac:dyDescent="0.35">
      <c r="B62" s="58" t="s">
        <v>57</v>
      </c>
      <c r="C62" s="49">
        <v>0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</row>
    <row r="63" spans="2:10" s="33" customFormat="1" ht="17.399999999999999" outlineLevel="1" x14ac:dyDescent="0.35">
      <c r="B63" s="61" t="s">
        <v>58</v>
      </c>
      <c r="C63" s="62">
        <f>C34+C61+C62</f>
        <v>10358</v>
      </c>
      <c r="D63" s="62">
        <f t="shared" ref="D63:J63" si="30">D34+D61+D62</f>
        <v>14025</v>
      </c>
      <c r="E63" s="62">
        <f t="shared" si="30"/>
        <v>13981</v>
      </c>
      <c r="F63" s="62">
        <f t="shared" ca="1" si="30"/>
        <v>13835.039744289586</v>
      </c>
      <c r="G63" s="62">
        <f t="shared" ca="1" si="30"/>
        <v>14042.931588457905</v>
      </c>
      <c r="H63" s="62">
        <f t="shared" ca="1" si="30"/>
        <v>14365.34799841068</v>
      </c>
      <c r="I63" s="62">
        <f t="shared" ca="1" si="30"/>
        <v>14685.76218985724</v>
      </c>
      <c r="J63" s="62">
        <f t="shared" ca="1" si="30"/>
        <v>15060.28732923208</v>
      </c>
    </row>
    <row r="64" spans="2:10" s="33" customFormat="1" ht="17.399999999999999" outlineLevel="1" x14ac:dyDescent="0.35">
      <c r="C64" s="63"/>
      <c r="D64" s="63"/>
      <c r="E64" s="63"/>
      <c r="F64" s="52"/>
      <c r="G64" s="52"/>
      <c r="H64" s="52"/>
      <c r="I64" s="52"/>
      <c r="J64" s="52"/>
    </row>
    <row r="65" spans="2:17" s="33" customFormat="1" ht="17.399999999999999" outlineLevel="1" x14ac:dyDescent="0.35">
      <c r="B65" s="64" t="s">
        <v>59</v>
      </c>
      <c r="C65" s="65"/>
      <c r="D65" s="66"/>
      <c r="E65" s="66"/>
      <c r="F65" s="66"/>
      <c r="G65" s="66"/>
      <c r="H65" s="66"/>
      <c r="I65" s="66"/>
      <c r="J65" s="66"/>
    </row>
    <row r="66" spans="2:17" s="33" customFormat="1" ht="17.399999999999999" outlineLevel="1" x14ac:dyDescent="0.35">
      <c r="B66" s="43" t="s">
        <v>60</v>
      </c>
      <c r="C66" s="52"/>
      <c r="D66" s="52"/>
      <c r="E66" s="52"/>
      <c r="F66" s="52"/>
      <c r="G66" s="52"/>
      <c r="H66" s="52"/>
      <c r="I66" s="52"/>
      <c r="J66" s="52"/>
    </row>
    <row r="67" spans="2:17" s="33" customFormat="1" ht="17.399999999999999" outlineLevel="1" x14ac:dyDescent="0.35">
      <c r="B67" s="58" t="s">
        <v>61</v>
      </c>
      <c r="C67" s="49">
        <v>19098</v>
      </c>
      <c r="D67" s="49">
        <v>20196</v>
      </c>
      <c r="E67" s="49">
        <v>18154</v>
      </c>
      <c r="F67" s="67">
        <f>E67*(1+F68)</f>
        <v>17700.149999999998</v>
      </c>
      <c r="G67" s="67">
        <f>F67*(1+G68)</f>
        <v>16584.074736705286</v>
      </c>
      <c r="H67" s="67">
        <f>G67*(1+H68)</f>
        <v>15853.922991111607</v>
      </c>
      <c r="I67" s="67">
        <f t="shared" ref="I67:J67" si="31">H67*(1+I68)</f>
        <v>15005.089306009291</v>
      </c>
      <c r="J67" s="67">
        <f t="shared" si="31"/>
        <v>14273.079479462574</v>
      </c>
    </row>
    <row r="68" spans="2:17" s="33" customFormat="1" ht="17.399999999999999" outlineLevel="1" x14ac:dyDescent="0.35">
      <c r="B68" s="58"/>
      <c r="C68" s="68" t="s">
        <v>50</v>
      </c>
      <c r="D68" s="68">
        <f>D67/C67-1</f>
        <v>5.7492931196984065E-2</v>
      </c>
      <c r="E68" s="68">
        <f>E67/D67-1</f>
        <v>-0.10110913052089521</v>
      </c>
      <c r="F68" s="69">
        <v>-2.5000000000000001E-2</v>
      </c>
      <c r="G68" s="69">
        <f t="shared" ref="G68:J68" si="32">AVERAGE(E68:F68)</f>
        <v>-6.3054565260447601E-2</v>
      </c>
      <c r="H68" s="69">
        <f t="shared" si="32"/>
        <v>-4.4027282630223805E-2</v>
      </c>
      <c r="I68" s="69">
        <f t="shared" si="32"/>
        <v>-5.3540923945335703E-2</v>
      </c>
      <c r="J68" s="69">
        <f t="shared" si="32"/>
        <v>-4.8784103287779754E-2</v>
      </c>
    </row>
    <row r="69" spans="2:17" s="33" customFormat="1" ht="17.399999999999999" outlineLevel="1" x14ac:dyDescent="0.35">
      <c r="B69" s="58" t="s">
        <v>62</v>
      </c>
      <c r="C69" s="49">
        <v>16987</v>
      </c>
      <c r="D69" s="49">
        <v>19564</v>
      </c>
      <c r="E69" s="49">
        <v>21005</v>
      </c>
      <c r="F69" s="67">
        <f>E69*(1+F70)</f>
        <v>22580.375</v>
      </c>
      <c r="G69" s="67">
        <f>F69*(1+G70)</f>
        <v>24258.725659693828</v>
      </c>
      <c r="H69" s="67">
        <f>G69*(1+H70)</f>
        <v>26069.977297357713</v>
      </c>
      <c r="I69" s="67">
        <f>H69*(1+I70)</f>
        <v>28012.083335863023</v>
      </c>
      <c r="J69" s="67">
        <f t="shared" ref="J69" si="33">I69*(1+J70)</f>
        <v>30101.221833552408</v>
      </c>
    </row>
    <row r="70" spans="2:17" s="33" customFormat="1" ht="17.399999999999999" outlineLevel="1" x14ac:dyDescent="0.35">
      <c r="B70" s="58"/>
      <c r="C70" s="68"/>
      <c r="D70" s="68">
        <f>D69/C69-1</f>
        <v>0.1517042444222052</v>
      </c>
      <c r="E70" s="68">
        <f>E69/D69-1</f>
        <v>7.3655694132079397E-2</v>
      </c>
      <c r="F70" s="69">
        <v>7.4999999999999997E-2</v>
      </c>
      <c r="G70" s="69">
        <f>AVERAGE(E70:F70)</f>
        <v>7.4327847066039704E-2</v>
      </c>
      <c r="H70" s="69">
        <f t="shared" ref="H70:J70" si="34">AVERAGE(F70:G70)</f>
        <v>7.4663923533019844E-2</v>
      </c>
      <c r="I70" s="69">
        <f t="shared" si="34"/>
        <v>7.4495885299529774E-2</v>
      </c>
      <c r="J70" s="69">
        <f t="shared" si="34"/>
        <v>7.4579904416274809E-2</v>
      </c>
    </row>
    <row r="71" spans="2:17" s="33" customFormat="1" ht="17.399999999999999" outlineLevel="1" x14ac:dyDescent="0.35">
      <c r="B71" s="58" t="s">
        <v>63</v>
      </c>
      <c r="C71" s="49">
        <v>9683</v>
      </c>
      <c r="D71" s="49">
        <v>10537</v>
      </c>
      <c r="E71" s="49">
        <v>11406</v>
      </c>
      <c r="F71" s="67">
        <f>E71*(1+F72)</f>
        <v>12432.54</v>
      </c>
      <c r="G71" s="67">
        <f t="shared" ref="G71:J71" si="35">F71*(1+G72)</f>
        <v>13504.668116076684</v>
      </c>
      <c r="H71" s="67">
        <f t="shared" si="35"/>
        <v>14694.67006958403</v>
      </c>
      <c r="I71" s="67">
        <f t="shared" si="35"/>
        <v>15975.703418815889</v>
      </c>
      <c r="J71" s="67">
        <f t="shared" si="35"/>
        <v>17375.930347789847</v>
      </c>
      <c r="N71" s="70"/>
      <c r="O71" s="70"/>
      <c r="P71" s="70"/>
      <c r="Q71" s="70"/>
    </row>
    <row r="72" spans="2:17" s="33" customFormat="1" ht="17.399999999999999" outlineLevel="1" x14ac:dyDescent="0.35">
      <c r="B72" s="58"/>
      <c r="C72" s="68"/>
      <c r="D72" s="68">
        <f>D71/C71-1</f>
        <v>8.819580708458119E-2</v>
      </c>
      <c r="E72" s="68">
        <f>E71/D71-1</f>
        <v>8.2471291638986477E-2</v>
      </c>
      <c r="F72" s="69">
        <v>0.09</v>
      </c>
      <c r="G72" s="69">
        <f t="shared" ref="G72:J72" si="36">AVERAGE(E72:F72)</f>
        <v>8.6235645819493237E-2</v>
      </c>
      <c r="H72" s="69">
        <f t="shared" si="36"/>
        <v>8.8117822909746624E-2</v>
      </c>
      <c r="I72" s="69">
        <f t="shared" si="36"/>
        <v>8.7176734364619923E-2</v>
      </c>
      <c r="J72" s="69">
        <f t="shared" si="36"/>
        <v>8.7647278637183273E-2</v>
      </c>
    </row>
    <row r="73" spans="2:17" s="33" customFormat="1" ht="17.399999999999999" outlineLevel="1" x14ac:dyDescent="0.35">
      <c r="B73" s="58" t="s">
        <v>64</v>
      </c>
      <c r="C73" s="49">
        <v>21630</v>
      </c>
      <c r="D73" s="49">
        <v>21574</v>
      </c>
      <c r="E73" s="49">
        <v>22314</v>
      </c>
      <c r="F73" s="67">
        <f>E73*(1+F74)</f>
        <v>23541.269999999997</v>
      </c>
      <c r="G73" s="67">
        <f t="shared" ref="G73:J73" si="37">F73*(1+G74)</f>
        <v>24592.394143503749</v>
      </c>
      <c r="H73" s="67">
        <f t="shared" si="37"/>
        <v>25817.713544435013</v>
      </c>
      <c r="I73" s="67">
        <f t="shared" si="37"/>
        <v>27037.283083409864</v>
      </c>
      <c r="J73" s="67">
        <f t="shared" si="37"/>
        <v>28349.440849354156</v>
      </c>
    </row>
    <row r="74" spans="2:17" s="33" customFormat="1" ht="17.399999999999999" outlineLevel="1" x14ac:dyDescent="0.35">
      <c r="C74" s="68"/>
      <c r="D74" s="68">
        <f>D73/C73-1</f>
        <v>-2.5889967637540146E-3</v>
      </c>
      <c r="E74" s="68">
        <f>E73/D73-1</f>
        <v>3.4300546954667555E-2</v>
      </c>
      <c r="F74" s="69">
        <v>5.5E-2</v>
      </c>
      <c r="G74" s="69">
        <f>AVERAGE(E74:F74)</f>
        <v>4.4650273477333774E-2</v>
      </c>
      <c r="H74" s="69">
        <f>AVERAGE(F74:G74)</f>
        <v>4.9825136738666884E-2</v>
      </c>
      <c r="I74" s="69">
        <f>AVERAGE(G74:H74)</f>
        <v>4.7237705108000329E-2</v>
      </c>
      <c r="J74" s="69">
        <f>AVERAGE(H74:I74)</f>
        <v>4.853142092333361E-2</v>
      </c>
    </row>
    <row r="75" spans="2:17" s="33" customFormat="1" ht="17.399999999999999" outlineLevel="1" x14ac:dyDescent="0.35">
      <c r="B75" s="43" t="s">
        <v>65</v>
      </c>
      <c r="C75" s="71">
        <f>C73+C71+C69+C67</f>
        <v>67398</v>
      </c>
      <c r="D75" s="71">
        <f>D73+D71+D69+D67</f>
        <v>71871</v>
      </c>
      <c r="E75" s="71">
        <f>E73+E71+E69+E67</f>
        <v>72879</v>
      </c>
      <c r="F75" s="71">
        <f>F73+F71+F69+F67</f>
        <v>76254.334999999992</v>
      </c>
      <c r="G75" s="71">
        <f t="shared" ref="G75:J75" si="38">G73+G71+G69+G67</f>
        <v>78939.862655979538</v>
      </c>
      <c r="H75" s="71">
        <f t="shared" si="38"/>
        <v>82436.283902488358</v>
      </c>
      <c r="I75" s="71">
        <f t="shared" si="38"/>
        <v>86030.15914409807</v>
      </c>
      <c r="J75" s="71">
        <f t="shared" si="38"/>
        <v>90099.672510158984</v>
      </c>
    </row>
    <row r="76" spans="2:17" s="33" customFormat="1" ht="17.399999999999999" outlineLevel="1" x14ac:dyDescent="0.35">
      <c r="B76" s="43"/>
      <c r="C76" s="68"/>
      <c r="D76" s="68">
        <f>D75/C75-1</f>
        <v>6.6366954509035958E-2</v>
      </c>
      <c r="E76" s="68">
        <f>E75/D75-1</f>
        <v>1.4025128354969274E-2</v>
      </c>
      <c r="F76" s="69">
        <f>AVERAGE(D76:E76)</f>
        <v>4.0196041432002616E-2</v>
      </c>
      <c r="G76" s="69">
        <f t="shared" ref="G76:J76" si="39">AVERAGE(E76:F76)</f>
        <v>2.7110584893485945E-2</v>
      </c>
      <c r="H76" s="69">
        <f t="shared" si="39"/>
        <v>3.3653313162744281E-2</v>
      </c>
      <c r="I76" s="69">
        <f t="shared" si="39"/>
        <v>3.0381949028115113E-2</v>
      </c>
      <c r="J76" s="69">
        <f t="shared" si="39"/>
        <v>3.2017631095429697E-2</v>
      </c>
    </row>
    <row r="77" spans="2:17" s="33" customFormat="1" ht="17.399999999999999" outlineLevel="1" x14ac:dyDescent="0.35">
      <c r="B77" s="58" t="s">
        <v>66</v>
      </c>
      <c r="C77" s="49">
        <v>632</v>
      </c>
      <c r="D77" s="49">
        <v>442</v>
      </c>
      <c r="E77" s="49">
        <v>390</v>
      </c>
      <c r="F77" s="67">
        <f>E77*(1+F78)</f>
        <v>308.43540580789278</v>
      </c>
      <c r="G77" s="67">
        <f t="shared" ref="G77:J77" si="40">F77*(1+G78)</f>
        <v>258.03905855400637</v>
      </c>
      <c r="H77" s="67">
        <f t="shared" si="40"/>
        <v>209.97496083144443</v>
      </c>
      <c r="I77" s="67">
        <f t="shared" si="40"/>
        <v>173.26500950495853</v>
      </c>
      <c r="J77" s="67">
        <f t="shared" si="40"/>
        <v>141.98228135433143</v>
      </c>
    </row>
    <row r="78" spans="2:17" s="33" customFormat="1" ht="17.399999999999999" outlineLevel="1" x14ac:dyDescent="0.35">
      <c r="B78" s="58"/>
      <c r="C78" s="49"/>
      <c r="D78" s="68">
        <f>D77/C77-1</f>
        <v>-0.30063291139240511</v>
      </c>
      <c r="E78" s="68">
        <f>E77/D77-1</f>
        <v>-0.11764705882352944</v>
      </c>
      <c r="F78" s="69">
        <f>AVERAGE(D78:E78)</f>
        <v>-0.20913998510796727</v>
      </c>
      <c r="G78" s="69">
        <f t="shared" ref="G78:J78" si="41">AVERAGE(E78:F78)</f>
        <v>-0.16339352196574836</v>
      </c>
      <c r="H78" s="69">
        <f t="shared" si="41"/>
        <v>-0.18626675353685782</v>
      </c>
      <c r="I78" s="69">
        <f t="shared" si="41"/>
        <v>-0.17483013775130307</v>
      </c>
      <c r="J78" s="69">
        <f t="shared" si="41"/>
        <v>-0.18054844564408046</v>
      </c>
    </row>
    <row r="79" spans="2:17" s="33" customFormat="1" ht="17.399999999999999" outlineLevel="1" x14ac:dyDescent="0.35">
      <c r="B79" s="58" t="s">
        <v>67</v>
      </c>
      <c r="C79" s="49">
        <v>3056</v>
      </c>
      <c r="D79" s="72" t="s">
        <v>50</v>
      </c>
      <c r="E79" s="72" t="s">
        <v>50</v>
      </c>
      <c r="F79" s="72" t="s">
        <v>50</v>
      </c>
      <c r="G79" s="72" t="s">
        <v>50</v>
      </c>
      <c r="H79" s="72" t="s">
        <v>50</v>
      </c>
      <c r="I79" s="72" t="s">
        <v>50</v>
      </c>
      <c r="J79" s="72" t="s">
        <v>50</v>
      </c>
    </row>
    <row r="80" spans="2:17" s="33" customFormat="1" ht="17.399999999999999" outlineLevel="1" x14ac:dyDescent="0.35">
      <c r="B80" s="58"/>
      <c r="C80" s="68"/>
      <c r="D80" s="68" t="e">
        <f>D79/C79-1</f>
        <v>#VALUE!</v>
      </c>
      <c r="E80" s="68" t="e">
        <f>E79/D79-1</f>
        <v>#VALUE!</v>
      </c>
      <c r="F80" s="69"/>
      <c r="G80" s="69"/>
      <c r="H80" s="69"/>
      <c r="I80" s="69"/>
      <c r="J80" s="69"/>
    </row>
    <row r="81" spans="2:13" s="33" customFormat="1" ht="17.399999999999999" outlineLevel="1" x14ac:dyDescent="0.35">
      <c r="B81" s="58" t="s">
        <v>68</v>
      </c>
      <c r="C81" s="73">
        <v>892</v>
      </c>
      <c r="D81" s="74">
        <v>2568</v>
      </c>
      <c r="E81" s="74">
        <v>2660</v>
      </c>
      <c r="F81" s="67">
        <v>2500</v>
      </c>
      <c r="G81" s="67">
        <f>F81</f>
        <v>2500</v>
      </c>
      <c r="H81" s="67">
        <f t="shared" ref="H81:J81" si="42">G81</f>
        <v>2500</v>
      </c>
      <c r="I81" s="67">
        <f t="shared" si="42"/>
        <v>2500</v>
      </c>
      <c r="J81" s="67">
        <f t="shared" si="42"/>
        <v>2500</v>
      </c>
    </row>
    <row r="82" spans="2:13" s="33" customFormat="1" ht="17.399999999999999" outlineLevel="1" x14ac:dyDescent="0.35">
      <c r="B82" s="43" t="s">
        <v>69</v>
      </c>
      <c r="C82" s="62">
        <f>C81+C77+C75+C79</f>
        <v>71978</v>
      </c>
      <c r="D82" s="62">
        <f>D81+D77+D75</f>
        <v>74881</v>
      </c>
      <c r="E82" s="62">
        <f>E81+E77+E75</f>
        <v>75929</v>
      </c>
      <c r="F82" s="62">
        <f>F81+F77+F75</f>
        <v>79062.770405807882</v>
      </c>
      <c r="G82" s="62">
        <f t="shared" ref="G82:J82" si="43">G81+G77+G75</f>
        <v>81697.901714533538</v>
      </c>
      <c r="H82" s="62">
        <f t="shared" si="43"/>
        <v>85146.258863319803</v>
      </c>
      <c r="I82" s="62">
        <f t="shared" si="43"/>
        <v>88703.424153603031</v>
      </c>
      <c r="J82" s="62">
        <f t="shared" si="43"/>
        <v>92741.654791513312</v>
      </c>
    </row>
    <row r="83" spans="2:13" s="33" customFormat="1" ht="17.399999999999999" outlineLevel="1" x14ac:dyDescent="0.35">
      <c r="B83" s="75" t="s">
        <v>70</v>
      </c>
      <c r="C83" s="68"/>
      <c r="D83" s="68">
        <f>D82/C82-1</f>
        <v>4.0331768040234417E-2</v>
      </c>
      <c r="E83" s="68">
        <f>E82/D82-1</f>
        <v>1.3995539589481965E-2</v>
      </c>
      <c r="F83" s="69">
        <f>AVERAGE(D83:E83)</f>
        <v>2.7163653814858191E-2</v>
      </c>
      <c r="G83" s="69">
        <f t="shared" ref="G83:J83" si="44">AVERAGE(E83:F83)</f>
        <v>2.0579596702170078E-2</v>
      </c>
      <c r="H83" s="69">
        <f t="shared" si="44"/>
        <v>2.3871625258514134E-2</v>
      </c>
      <c r="I83" s="69">
        <f t="shared" si="44"/>
        <v>2.2225610980342106E-2</v>
      </c>
      <c r="J83" s="69">
        <f t="shared" si="44"/>
        <v>2.304861811942812E-2</v>
      </c>
    </row>
    <row r="84" spans="2:13" outlineLevel="1" x14ac:dyDescent="0.3">
      <c r="B84" s="76" t="s">
        <v>71</v>
      </c>
      <c r="C84" s="77" t="str">
        <f>IF(ABS(C82-C26)&lt;2,"Ok","Not Ok")</f>
        <v>Ok</v>
      </c>
      <c r="D84" s="77" t="str">
        <f>IF(ABS(D82-D26)&lt;2,"Ok","Not Ok")</f>
        <v>Ok</v>
      </c>
      <c r="E84" s="77" t="str">
        <f>IF(ABS(E82-E26)&lt;2,"Ok","Not Ok")</f>
        <v>Ok</v>
      </c>
      <c r="F84" s="77" t="str">
        <f>IF(ABS(F82-F26)&lt;2,"Ok","Not Ok")</f>
        <v>Ok</v>
      </c>
      <c r="G84" s="77" t="str">
        <f t="shared" ref="G84:J84" si="45">IF(ABS(G82-G26)&lt;2,"Ok","Not Ok")</f>
        <v>Ok</v>
      </c>
      <c r="H84" s="77" t="str">
        <f t="shared" si="45"/>
        <v>Ok</v>
      </c>
      <c r="I84" s="77" t="str">
        <f t="shared" si="45"/>
        <v>Ok</v>
      </c>
      <c r="J84" s="77" t="str">
        <f t="shared" si="45"/>
        <v>Ok</v>
      </c>
    </row>
    <row r="85" spans="2:13" x14ac:dyDescent="0.3">
      <c r="B85"/>
      <c r="C85" s="78"/>
      <c r="D85" s="78"/>
      <c r="E85" s="78"/>
      <c r="F85" s="56"/>
      <c r="G85" s="56"/>
      <c r="H85" s="56"/>
      <c r="I85" s="56"/>
      <c r="J85" s="56"/>
    </row>
    <row r="86" spans="2:13" ht="25.8" x14ac:dyDescent="0.5">
      <c r="B86" s="26" t="s">
        <v>72</v>
      </c>
      <c r="C86" s="79"/>
      <c r="D86" s="80"/>
      <c r="E86" s="80"/>
      <c r="F86" s="81"/>
      <c r="G86" s="81"/>
      <c r="H86" s="81"/>
      <c r="I86" s="81"/>
      <c r="J86" s="81"/>
    </row>
    <row r="87" spans="2:13" s="33" customFormat="1" ht="17.399999999999999" x14ac:dyDescent="0.35">
      <c r="B87" s="29" t="str">
        <f>B23</f>
        <v xml:space="preserve">Fiscal year  </v>
      </c>
      <c r="C87" s="82">
        <f>C23</f>
        <v>2022</v>
      </c>
      <c r="D87" s="82">
        <f t="shared" ref="D87:J88" si="46">D23</f>
        <v>2023</v>
      </c>
      <c r="E87" s="82">
        <f t="shared" si="46"/>
        <v>2024</v>
      </c>
      <c r="F87" s="83">
        <f>F23</f>
        <v>2025</v>
      </c>
      <c r="G87" s="83">
        <f t="shared" si="46"/>
        <v>2026</v>
      </c>
      <c r="H87" s="83">
        <f t="shared" si="46"/>
        <v>2027</v>
      </c>
      <c r="I87" s="83">
        <f t="shared" si="46"/>
        <v>2028</v>
      </c>
      <c r="J87" s="83">
        <f t="shared" si="46"/>
        <v>2029</v>
      </c>
      <c r="M87" s="84"/>
    </row>
    <row r="88" spans="2:13" s="33" customFormat="1" ht="17.399999999999999" x14ac:dyDescent="0.35">
      <c r="B88" s="85" t="str">
        <f>B24</f>
        <v>Fiscal year end date</v>
      </c>
      <c r="C88" s="86">
        <f>C24</f>
        <v>44834</v>
      </c>
      <c r="D88" s="86">
        <f t="shared" si="46"/>
        <v>45199</v>
      </c>
      <c r="E88" s="86">
        <f t="shared" si="46"/>
        <v>45565</v>
      </c>
      <c r="F88" s="86">
        <f t="shared" si="46"/>
        <v>45930</v>
      </c>
      <c r="G88" s="86">
        <f t="shared" si="46"/>
        <v>46295</v>
      </c>
      <c r="H88" s="86">
        <f t="shared" si="46"/>
        <v>46660</v>
      </c>
      <c r="I88" s="86">
        <f t="shared" si="46"/>
        <v>47026</v>
      </c>
      <c r="J88" s="86">
        <f t="shared" si="46"/>
        <v>47391</v>
      </c>
    </row>
    <row r="89" spans="2:13" s="33" customFormat="1" ht="17.399999999999999" x14ac:dyDescent="0.35">
      <c r="B89" s="87" t="s">
        <v>23</v>
      </c>
      <c r="C89" s="88"/>
      <c r="D89" s="88"/>
      <c r="E89" s="88"/>
      <c r="F89" s="88"/>
      <c r="G89" s="88"/>
      <c r="H89" s="88"/>
      <c r="I89" s="88"/>
      <c r="J89" s="88"/>
    </row>
    <row r="90" spans="2:13" s="33" customFormat="1" ht="17.399999999999999" x14ac:dyDescent="0.35">
      <c r="B90" s="33" t="s">
        <v>73</v>
      </c>
      <c r="C90" s="89">
        <v>10465</v>
      </c>
      <c r="D90" s="89">
        <v>10084</v>
      </c>
      <c r="E90" s="89">
        <v>9156</v>
      </c>
      <c r="F90" s="89">
        <f ca="1">F351</f>
        <v>13384.723844325208</v>
      </c>
      <c r="G90" s="89">
        <f t="shared" ref="G90:J90" ca="1" si="47">G351</f>
        <v>27729.181920396106</v>
      </c>
      <c r="H90" s="89">
        <f t="shared" ca="1" si="47"/>
        <v>44601.558319958</v>
      </c>
      <c r="I90" s="89">
        <f t="shared" ca="1" si="47"/>
        <v>66143.000364301581</v>
      </c>
      <c r="J90" s="89">
        <f t="shared" ca="1" si="47"/>
        <v>92627.991835176173</v>
      </c>
      <c r="K90" s="45"/>
      <c r="L90" s="90"/>
    </row>
    <row r="91" spans="2:13" s="33" customFormat="1" ht="17.399999999999999" x14ac:dyDescent="0.35">
      <c r="B91" s="33" t="s">
        <v>74</v>
      </c>
      <c r="C91" s="91">
        <v>16701</v>
      </c>
      <c r="D91" s="74">
        <v>17405</v>
      </c>
      <c r="E91" s="74">
        <v>16963</v>
      </c>
      <c r="F91" s="67">
        <f>F137</f>
        <v>18019.808530645758</v>
      </c>
      <c r="G91" s="67">
        <f t="shared" ref="G91:J91" si="48">G137</f>
        <v>18435.984522418552</v>
      </c>
      <c r="H91" s="67">
        <f t="shared" si="48"/>
        <v>19310.242916491592</v>
      </c>
      <c r="I91" s="67">
        <f t="shared" si="48"/>
        <v>20066.911507595516</v>
      </c>
      <c r="J91" s="67">
        <f t="shared" si="48"/>
        <v>21006.627586746388</v>
      </c>
      <c r="K91" s="45"/>
    </row>
    <row r="92" spans="2:13" s="33" customFormat="1" ht="17.399999999999999" x14ac:dyDescent="0.35">
      <c r="B92" s="33" t="s">
        <v>75</v>
      </c>
      <c r="C92" s="91">
        <v>9696</v>
      </c>
      <c r="D92" s="74">
        <v>10605</v>
      </c>
      <c r="E92" s="74">
        <v>10492</v>
      </c>
      <c r="F92" s="67">
        <f>F202</f>
        <v>10492</v>
      </c>
      <c r="G92" s="67">
        <f t="shared" ref="G92:J92" si="49">G202</f>
        <v>10492</v>
      </c>
      <c r="H92" s="67">
        <f t="shared" si="49"/>
        <v>10492</v>
      </c>
      <c r="I92" s="67">
        <f t="shared" si="49"/>
        <v>10492</v>
      </c>
      <c r="J92" s="67">
        <f t="shared" si="49"/>
        <v>10492</v>
      </c>
      <c r="K92" s="45"/>
    </row>
    <row r="93" spans="2:13" s="33" customFormat="1" ht="17.399999999999999" x14ac:dyDescent="0.35">
      <c r="B93" s="33" t="s">
        <v>76</v>
      </c>
      <c r="C93" s="91">
        <v>7559</v>
      </c>
      <c r="D93" s="74">
        <v>7581</v>
      </c>
      <c r="E93" s="74">
        <v>7985</v>
      </c>
      <c r="F93" s="67">
        <f>F252</f>
        <v>7985</v>
      </c>
      <c r="G93" s="67">
        <f t="shared" ref="G93:J93" si="50">G252</f>
        <v>7985</v>
      </c>
      <c r="H93" s="67">
        <f t="shared" si="50"/>
        <v>7985</v>
      </c>
      <c r="I93" s="67">
        <f t="shared" si="50"/>
        <v>7985</v>
      </c>
      <c r="J93" s="67">
        <f t="shared" si="50"/>
        <v>7985</v>
      </c>
      <c r="K93" s="45"/>
    </row>
    <row r="94" spans="2:13" s="33" customFormat="1" ht="17.399999999999999" x14ac:dyDescent="0.35">
      <c r="B94" s="33" t="s">
        <v>77</v>
      </c>
      <c r="C94" s="91">
        <v>10626</v>
      </c>
      <c r="D94" s="74">
        <v>11548</v>
      </c>
      <c r="E94" s="74">
        <v>10923</v>
      </c>
      <c r="F94" s="67">
        <f ca="1">F145</f>
        <v>11604.023380253075</v>
      </c>
      <c r="G94" s="67">
        <f t="shared" ref="G94:J94" ca="1" si="51">G145</f>
        <v>11801.794149892043</v>
      </c>
      <c r="H94" s="67">
        <f t="shared" ca="1" si="51"/>
        <v>12398.413645707369</v>
      </c>
      <c r="I94" s="67">
        <f t="shared" ca="1" si="51"/>
        <v>12865.085569786068</v>
      </c>
      <c r="J94" s="67">
        <f t="shared" ca="1" si="51"/>
        <v>13477.586348531715</v>
      </c>
      <c r="K94" s="45"/>
    </row>
    <row r="95" spans="2:13" s="33" customFormat="1" ht="17.399999999999999" x14ac:dyDescent="0.35">
      <c r="B95" s="33" t="s">
        <v>78</v>
      </c>
      <c r="C95" s="91">
        <v>1432</v>
      </c>
      <c r="D95" s="74">
        <v>1363</v>
      </c>
      <c r="E95" s="74">
        <v>1767</v>
      </c>
      <c r="F95" s="67">
        <f>E95</f>
        <v>1767</v>
      </c>
      <c r="G95" s="67">
        <f t="shared" ref="G95:J96" si="52">F95</f>
        <v>1767</v>
      </c>
      <c r="H95" s="67">
        <f t="shared" si="52"/>
        <v>1767</v>
      </c>
      <c r="I95" s="67">
        <f t="shared" si="52"/>
        <v>1767</v>
      </c>
      <c r="J95" s="67">
        <f t="shared" si="52"/>
        <v>1767</v>
      </c>
      <c r="K95" s="45"/>
    </row>
    <row r="96" spans="2:13" s="33" customFormat="1" ht="17.399999999999999" x14ac:dyDescent="0.35">
      <c r="B96" s="33" t="s">
        <v>79</v>
      </c>
      <c r="C96" s="91">
        <v>1935</v>
      </c>
      <c r="D96" s="74">
        <v>1955</v>
      </c>
      <c r="E96" s="74">
        <v>1632</v>
      </c>
      <c r="F96" s="67">
        <f>E96</f>
        <v>1632</v>
      </c>
      <c r="G96" s="67">
        <f t="shared" si="52"/>
        <v>1632</v>
      </c>
      <c r="H96" s="67">
        <f t="shared" si="52"/>
        <v>1632</v>
      </c>
      <c r="I96" s="67">
        <f t="shared" si="52"/>
        <v>1632</v>
      </c>
      <c r="J96" s="67">
        <f t="shared" si="52"/>
        <v>1632</v>
      </c>
      <c r="K96" s="45"/>
    </row>
    <row r="97" spans="2:11" s="33" customFormat="1" ht="17.399999999999999" x14ac:dyDescent="0.35">
      <c r="B97" s="33" t="s">
        <v>80</v>
      </c>
      <c r="C97" s="91">
        <v>413</v>
      </c>
      <c r="D97" s="74">
        <v>99</v>
      </c>
      <c r="E97" s="74">
        <v>2433</v>
      </c>
      <c r="F97" s="67">
        <f>F237</f>
        <v>2433</v>
      </c>
      <c r="G97" s="67">
        <f t="shared" ref="G97:J97" si="53">G237</f>
        <v>2433</v>
      </c>
      <c r="H97" s="67">
        <f t="shared" si="53"/>
        <v>2433</v>
      </c>
      <c r="I97" s="67">
        <f t="shared" si="53"/>
        <v>2433</v>
      </c>
      <c r="J97" s="67">
        <f t="shared" si="53"/>
        <v>2433</v>
      </c>
      <c r="K97" s="45"/>
    </row>
    <row r="98" spans="2:11" s="33" customFormat="1" ht="17.399999999999999" x14ac:dyDescent="0.35">
      <c r="B98" s="33" t="s">
        <v>81</v>
      </c>
      <c r="C98" s="91">
        <v>33861</v>
      </c>
      <c r="D98" s="74">
        <v>32224</v>
      </c>
      <c r="E98" s="74">
        <v>31384</v>
      </c>
      <c r="F98" s="67">
        <f>E98</f>
        <v>31384</v>
      </c>
      <c r="G98" s="67">
        <f t="shared" ref="G98:J98" si="54">F98</f>
        <v>31384</v>
      </c>
      <c r="H98" s="67">
        <f t="shared" si="54"/>
        <v>31384</v>
      </c>
      <c r="I98" s="67">
        <f t="shared" si="54"/>
        <v>31384</v>
      </c>
      <c r="J98" s="67">
        <f t="shared" si="54"/>
        <v>31384</v>
      </c>
      <c r="K98" s="45"/>
    </row>
    <row r="99" spans="2:11" s="33" customFormat="1" ht="17.399999999999999" x14ac:dyDescent="0.35">
      <c r="B99" s="33" t="s">
        <v>82</v>
      </c>
      <c r="C99" s="91">
        <f>11733+12196</f>
        <v>23929</v>
      </c>
      <c r="D99" s="74">
        <f>11938+10641</f>
        <v>22579</v>
      </c>
      <c r="E99" s="74">
        <f>12242+9593</f>
        <v>21835</v>
      </c>
      <c r="F99" s="67">
        <f>F165</f>
        <v>20518.640796167227</v>
      </c>
      <c r="G99" s="67">
        <f t="shared" ref="G99:J99" si="55">G165</f>
        <v>19383.069013347278</v>
      </c>
      <c r="H99" s="67">
        <f t="shared" si="55"/>
        <v>18433.710093899281</v>
      </c>
      <c r="I99" s="67">
        <f t="shared" si="55"/>
        <v>17688.615349724805</v>
      </c>
      <c r="J99" s="67">
        <f t="shared" si="55"/>
        <v>17164.630496497371</v>
      </c>
      <c r="K99" s="45"/>
    </row>
    <row r="100" spans="2:11" s="33" customFormat="1" ht="17.399999999999999" x14ac:dyDescent="0.35">
      <c r="B100" s="33" t="s">
        <v>83</v>
      </c>
      <c r="C100" s="91">
        <v>4955</v>
      </c>
      <c r="D100" s="74">
        <v>3014</v>
      </c>
      <c r="E100" s="74">
        <v>980</v>
      </c>
      <c r="F100" s="67">
        <f ca="1">F227</f>
        <v>1020.4334913432334</v>
      </c>
      <c r="G100" s="67">
        <f t="shared" ref="G100:J100" ca="1" si="56">G227</f>
        <v>1054.4441417126675</v>
      </c>
      <c r="H100" s="67">
        <f t="shared" ca="1" si="56"/>
        <v>1098.950792651829</v>
      </c>
      <c r="I100" s="67">
        <f t="shared" ca="1" si="56"/>
        <v>1144.8617894182923</v>
      </c>
      <c r="J100" s="67">
        <f t="shared" ca="1" si="56"/>
        <v>1196.9817159974057</v>
      </c>
      <c r="K100" s="45"/>
    </row>
    <row r="101" spans="2:11" s="33" customFormat="1" ht="17.399999999999999" x14ac:dyDescent="0.35">
      <c r="B101" s="33" t="s">
        <v>84</v>
      </c>
      <c r="C101" s="91">
        <v>2459</v>
      </c>
      <c r="D101" s="74">
        <v>2231</v>
      </c>
      <c r="E101" s="74">
        <v>2677</v>
      </c>
      <c r="F101" s="67">
        <f>F212</f>
        <v>2677</v>
      </c>
      <c r="G101" s="67">
        <f t="shared" ref="G101:J101" si="57">G212</f>
        <v>2677</v>
      </c>
      <c r="H101" s="67">
        <f t="shared" si="57"/>
        <v>2677</v>
      </c>
      <c r="I101" s="67">
        <f t="shared" si="57"/>
        <v>2677</v>
      </c>
      <c r="J101" s="67">
        <f t="shared" si="57"/>
        <v>2677</v>
      </c>
      <c r="K101" s="45"/>
    </row>
    <row r="102" spans="2:11" s="33" customFormat="1" ht="17.399999999999999" x14ac:dyDescent="0.35">
      <c r="B102" s="92" t="s">
        <v>85</v>
      </c>
      <c r="C102" s="91">
        <v>1565</v>
      </c>
      <c r="D102" s="74">
        <v>1523</v>
      </c>
      <c r="E102" s="74">
        <v>2196</v>
      </c>
      <c r="F102" s="67">
        <f>F217</f>
        <v>2196</v>
      </c>
      <c r="G102" s="67">
        <f t="shared" ref="G102:J102" si="58">G217</f>
        <v>2196</v>
      </c>
      <c r="H102" s="67">
        <f t="shared" si="58"/>
        <v>2196</v>
      </c>
      <c r="I102" s="67">
        <f t="shared" si="58"/>
        <v>2196</v>
      </c>
      <c r="J102" s="67">
        <f t="shared" si="58"/>
        <v>2196</v>
      </c>
      <c r="K102" s="45"/>
    </row>
    <row r="103" spans="2:11" s="33" customFormat="1" ht="17.399999999999999" x14ac:dyDescent="0.35">
      <c r="B103" s="33" t="s">
        <v>86</v>
      </c>
      <c r="C103" s="91">
        <v>25903</v>
      </c>
      <c r="D103" s="74">
        <v>22855</v>
      </c>
      <c r="E103" s="74">
        <v>27388</v>
      </c>
      <c r="F103" s="67">
        <f>E103</f>
        <v>27388</v>
      </c>
      <c r="G103" s="67">
        <f t="shared" ref="G103:J103" si="59">F103</f>
        <v>27388</v>
      </c>
      <c r="H103" s="67">
        <f t="shared" si="59"/>
        <v>27388</v>
      </c>
      <c r="I103" s="67">
        <f t="shared" si="59"/>
        <v>27388</v>
      </c>
      <c r="J103" s="67">
        <f t="shared" si="59"/>
        <v>27388</v>
      </c>
      <c r="K103" s="45"/>
    </row>
    <row r="104" spans="2:11" s="33" customFormat="1" ht="17.399999999999999" x14ac:dyDescent="0.35">
      <c r="B104" s="93" t="s">
        <v>87</v>
      </c>
      <c r="C104" s="94">
        <f>SUM(C90:C103)</f>
        <v>151499</v>
      </c>
      <c r="D104" s="94">
        <f>SUM(D90:D103)</f>
        <v>145066</v>
      </c>
      <c r="E104" s="94">
        <f>SUM(E90:E103)</f>
        <v>147811</v>
      </c>
      <c r="F104" s="94">
        <f ca="1">SUM(F90:F103)</f>
        <v>152501.6300427345</v>
      </c>
      <c r="G104" s="94">
        <f t="shared" ref="G104:J104" ca="1" si="60">SUM(G90:G103)</f>
        <v>166358.47374776666</v>
      </c>
      <c r="H104" s="94">
        <f t="shared" ca="1" si="60"/>
        <v>183796.87576870807</v>
      </c>
      <c r="I104" s="94">
        <f t="shared" ca="1" si="60"/>
        <v>205862.47458082627</v>
      </c>
      <c r="J104" s="94">
        <f t="shared" ca="1" si="60"/>
        <v>233427.81798294905</v>
      </c>
    </row>
    <row r="105" spans="2:11" s="33" customFormat="1" ht="17.399999999999999" x14ac:dyDescent="0.35">
      <c r="B105" s="92"/>
      <c r="C105" s="95"/>
      <c r="D105" s="73"/>
      <c r="E105" s="73"/>
      <c r="F105" s="73"/>
      <c r="G105" s="52"/>
      <c r="H105" s="52"/>
      <c r="I105" s="52"/>
      <c r="J105" s="52"/>
    </row>
    <row r="106" spans="2:11" s="33" customFormat="1" ht="17.399999999999999" x14ac:dyDescent="0.35">
      <c r="B106" s="92" t="s">
        <v>88</v>
      </c>
      <c r="C106" s="96">
        <v>6658</v>
      </c>
      <c r="D106" s="74">
        <v>7483</v>
      </c>
      <c r="E106" s="74">
        <v>6598</v>
      </c>
      <c r="F106" s="73">
        <f ca="1">F269</f>
        <v>0</v>
      </c>
      <c r="G106" s="73">
        <f t="shared" ref="G106:J106" ca="1" si="61">G269</f>
        <v>0</v>
      </c>
      <c r="H106" s="73">
        <f t="shared" ca="1" si="61"/>
        <v>0</v>
      </c>
      <c r="I106" s="73">
        <f t="shared" ca="1" si="61"/>
        <v>0</v>
      </c>
      <c r="J106" s="73">
        <f t="shared" ca="1" si="61"/>
        <v>0</v>
      </c>
      <c r="K106" s="45"/>
    </row>
    <row r="107" spans="2:11" s="33" customFormat="1" ht="17.399999999999999" x14ac:dyDescent="0.35">
      <c r="B107" s="92" t="s">
        <v>89</v>
      </c>
      <c r="C107" s="91">
        <v>10317</v>
      </c>
      <c r="D107" s="74">
        <v>10130</v>
      </c>
      <c r="E107" s="74">
        <v>8843</v>
      </c>
      <c r="F107" s="73">
        <f ca="1">F154</f>
        <v>9799.1115189575194</v>
      </c>
      <c r="G107" s="73">
        <f t="shared" ref="G107:J107" ca="1" si="62">G154</f>
        <v>9763.5818207267384</v>
      </c>
      <c r="H107" s="73">
        <f t="shared" ca="1" si="62"/>
        <v>10364.396954871851</v>
      </c>
      <c r="I107" s="73">
        <f t="shared" ca="1" si="62"/>
        <v>10699.095934709791</v>
      </c>
      <c r="J107" s="73">
        <f t="shared" ca="1" si="62"/>
        <v>11237.558437379857</v>
      </c>
      <c r="K107" s="45"/>
    </row>
    <row r="108" spans="2:11" s="33" customFormat="1" ht="17.399999999999999" x14ac:dyDescent="0.35">
      <c r="B108" s="92" t="s">
        <v>90</v>
      </c>
      <c r="C108" s="91">
        <v>1616</v>
      </c>
      <c r="D108" s="74">
        <v>1601</v>
      </c>
      <c r="E108" s="74">
        <v>2006</v>
      </c>
      <c r="F108" s="73">
        <f>E108</f>
        <v>2006</v>
      </c>
      <c r="G108" s="73">
        <f t="shared" ref="G108:J109" si="63">F108</f>
        <v>2006</v>
      </c>
      <c r="H108" s="73">
        <f t="shared" si="63"/>
        <v>2006</v>
      </c>
      <c r="I108" s="73">
        <f t="shared" si="63"/>
        <v>2006</v>
      </c>
      <c r="J108" s="73">
        <f t="shared" si="63"/>
        <v>2006</v>
      </c>
      <c r="K108" s="45"/>
    </row>
    <row r="109" spans="2:11" s="33" customFormat="1" ht="17.399999999999999" x14ac:dyDescent="0.35">
      <c r="B109" s="33" t="s">
        <v>91</v>
      </c>
      <c r="C109" s="91">
        <v>12049</v>
      </c>
      <c r="D109" s="74">
        <v>12571</v>
      </c>
      <c r="E109" s="74">
        <v>12855</v>
      </c>
      <c r="F109" s="73">
        <f>E109</f>
        <v>12855</v>
      </c>
      <c r="G109" s="73">
        <f t="shared" si="63"/>
        <v>12855</v>
      </c>
      <c r="H109" s="73">
        <f t="shared" si="63"/>
        <v>12855</v>
      </c>
      <c r="I109" s="73">
        <f t="shared" si="63"/>
        <v>12855</v>
      </c>
      <c r="J109" s="73">
        <f t="shared" si="63"/>
        <v>12855</v>
      </c>
      <c r="K109" s="45"/>
    </row>
    <row r="110" spans="2:11" s="33" customFormat="1" ht="17.399999999999999" x14ac:dyDescent="0.35">
      <c r="B110" s="92" t="s">
        <v>92</v>
      </c>
      <c r="C110" s="91">
        <f>2156+2275+1857</f>
        <v>6288</v>
      </c>
      <c r="D110" s="74">
        <f>2320+1426+1794</f>
        <v>5540</v>
      </c>
      <c r="E110" s="74">
        <f>2730+912+1120</f>
        <v>4762</v>
      </c>
      <c r="F110" s="73">
        <f>F247</f>
        <v>4762</v>
      </c>
      <c r="G110" s="73">
        <f t="shared" ref="G110:J110" si="64">G247</f>
        <v>4762</v>
      </c>
      <c r="H110" s="73">
        <f t="shared" si="64"/>
        <v>4762</v>
      </c>
      <c r="I110" s="73">
        <f t="shared" si="64"/>
        <v>4762</v>
      </c>
      <c r="J110" s="73">
        <f t="shared" si="64"/>
        <v>4762</v>
      </c>
      <c r="K110" s="45"/>
    </row>
    <row r="111" spans="2:11" s="33" customFormat="1" ht="17.399999999999999" x14ac:dyDescent="0.35">
      <c r="B111" s="33" t="s">
        <v>93</v>
      </c>
      <c r="C111" s="91">
        <v>2381</v>
      </c>
      <c r="D111" s="74">
        <v>2566</v>
      </c>
      <c r="E111" s="74">
        <v>1805</v>
      </c>
      <c r="F111" s="73">
        <f>F262</f>
        <v>1805</v>
      </c>
      <c r="G111" s="73">
        <f t="shared" ref="G111:J111" si="65">G262</f>
        <v>1805</v>
      </c>
      <c r="H111" s="73">
        <f t="shared" si="65"/>
        <v>1805</v>
      </c>
      <c r="I111" s="73">
        <f t="shared" si="65"/>
        <v>1805</v>
      </c>
      <c r="J111" s="73">
        <f t="shared" si="65"/>
        <v>1805</v>
      </c>
      <c r="K111" s="45"/>
    </row>
    <row r="112" spans="2:11" s="33" customFormat="1" ht="17.399999999999999" x14ac:dyDescent="0.35">
      <c r="B112" s="92" t="s">
        <v>94</v>
      </c>
      <c r="C112" s="91">
        <v>7448</v>
      </c>
      <c r="D112" s="74">
        <v>8182</v>
      </c>
      <c r="E112" s="74">
        <v>7833</v>
      </c>
      <c r="F112" s="73">
        <f>F207</f>
        <v>7833</v>
      </c>
      <c r="G112" s="73">
        <f t="shared" ref="G112:J112" si="66">G207</f>
        <v>7833</v>
      </c>
      <c r="H112" s="73">
        <f t="shared" si="66"/>
        <v>7833</v>
      </c>
      <c r="I112" s="73">
        <f t="shared" si="66"/>
        <v>7833</v>
      </c>
      <c r="J112" s="73">
        <f t="shared" si="66"/>
        <v>7833</v>
      </c>
      <c r="K112" s="45"/>
    </row>
    <row r="113" spans="2:12" s="33" customFormat="1" ht="17.399999999999999" x14ac:dyDescent="0.35">
      <c r="B113" s="33" t="s">
        <v>95</v>
      </c>
      <c r="C113" s="91">
        <v>61</v>
      </c>
      <c r="D113" s="74">
        <v>50</v>
      </c>
      <c r="E113" s="74">
        <v>1245</v>
      </c>
      <c r="F113" s="73">
        <f>F242</f>
        <v>1245</v>
      </c>
      <c r="G113" s="73">
        <f t="shared" ref="G113:J113" si="67">G242</f>
        <v>1245</v>
      </c>
      <c r="H113" s="73">
        <f t="shared" si="67"/>
        <v>1245</v>
      </c>
      <c r="I113" s="73">
        <f t="shared" si="67"/>
        <v>1245</v>
      </c>
      <c r="J113" s="73">
        <f t="shared" si="67"/>
        <v>1245</v>
      </c>
      <c r="K113" s="45"/>
    </row>
    <row r="114" spans="2:12" s="33" customFormat="1" ht="17.399999999999999" x14ac:dyDescent="0.35">
      <c r="B114" s="92" t="s">
        <v>96</v>
      </c>
      <c r="C114" s="91">
        <v>43978</v>
      </c>
      <c r="D114" s="74">
        <v>39113</v>
      </c>
      <c r="E114" s="74">
        <v>41321</v>
      </c>
      <c r="F114" s="73">
        <f>F284</f>
        <v>45900</v>
      </c>
      <c r="G114" s="73">
        <f t="shared" ref="G114:J114" si="68">G284</f>
        <v>51533.5</v>
      </c>
      <c r="H114" s="73">
        <f t="shared" si="68"/>
        <v>56639.75</v>
      </c>
      <c r="I114" s="73">
        <f t="shared" si="68"/>
        <v>62009.625</v>
      </c>
      <c r="J114" s="73">
        <f t="shared" si="68"/>
        <v>67247.6875</v>
      </c>
      <c r="K114" s="45"/>
    </row>
    <row r="115" spans="2:12" s="33" customFormat="1" ht="17.399999999999999" x14ac:dyDescent="0.35">
      <c r="B115" s="92" t="s">
        <v>97</v>
      </c>
      <c r="C115" s="91">
        <v>2381</v>
      </c>
      <c r="D115" s="74">
        <v>1655</v>
      </c>
      <c r="E115" s="74">
        <v>1483</v>
      </c>
      <c r="F115" s="73">
        <f>F257</f>
        <v>1483</v>
      </c>
      <c r="G115" s="73">
        <f t="shared" ref="G115:J115" si="69">G257</f>
        <v>1483</v>
      </c>
      <c r="H115" s="73">
        <f t="shared" si="69"/>
        <v>1483</v>
      </c>
      <c r="I115" s="73">
        <f t="shared" si="69"/>
        <v>1483</v>
      </c>
      <c r="J115" s="73">
        <f t="shared" si="69"/>
        <v>1483</v>
      </c>
      <c r="K115" s="45"/>
    </row>
    <row r="116" spans="2:12" s="33" customFormat="1" ht="17.399999999999999" x14ac:dyDescent="0.35">
      <c r="B116" s="33" t="s">
        <v>98</v>
      </c>
      <c r="C116" s="91">
        <v>1867</v>
      </c>
      <c r="D116" s="74">
        <v>1453</v>
      </c>
      <c r="E116" s="74">
        <v>864</v>
      </c>
      <c r="F116" s="73">
        <f>E116</f>
        <v>864</v>
      </c>
      <c r="G116" s="73">
        <f t="shared" ref="G116:J116" si="70">F116</f>
        <v>864</v>
      </c>
      <c r="H116" s="73">
        <f t="shared" si="70"/>
        <v>864</v>
      </c>
      <c r="I116" s="73">
        <f t="shared" si="70"/>
        <v>864</v>
      </c>
      <c r="J116" s="73">
        <f t="shared" si="70"/>
        <v>864</v>
      </c>
      <c r="K116" s="45"/>
    </row>
    <row r="117" spans="2:12" s="33" customFormat="1" ht="17.399999999999999" x14ac:dyDescent="0.35">
      <c r="B117" s="92" t="s">
        <v>99</v>
      </c>
      <c r="C117" s="91">
        <v>1654</v>
      </c>
      <c r="D117" s="74">
        <v>1666</v>
      </c>
      <c r="E117" s="74">
        <v>1968</v>
      </c>
      <c r="F117" s="73">
        <f>F222</f>
        <v>1968</v>
      </c>
      <c r="G117" s="73">
        <f t="shared" ref="G117:J117" si="71">G222</f>
        <v>1968</v>
      </c>
      <c r="H117" s="73">
        <f t="shared" si="71"/>
        <v>1968</v>
      </c>
      <c r="I117" s="73">
        <f t="shared" si="71"/>
        <v>1968</v>
      </c>
      <c r="J117" s="73">
        <f t="shared" si="71"/>
        <v>1968</v>
      </c>
      <c r="K117" s="45"/>
    </row>
    <row r="118" spans="2:12" s="33" customFormat="1" ht="17.399999999999999" x14ac:dyDescent="0.35">
      <c r="B118" s="93" t="s">
        <v>100</v>
      </c>
      <c r="C118" s="94">
        <f>SUM(C106:C117)</f>
        <v>96698</v>
      </c>
      <c r="D118" s="94">
        <f>SUM(D106:D117)</f>
        <v>92010</v>
      </c>
      <c r="E118" s="94">
        <f>SUM(E106:E117)</f>
        <v>91583</v>
      </c>
      <c r="F118" s="94">
        <f t="shared" ref="F118:J118" ca="1" si="72">SUM(F106:F117)</f>
        <v>90520.111518957521</v>
      </c>
      <c r="G118" s="94">
        <f t="shared" ca="1" si="72"/>
        <v>96118.081820726744</v>
      </c>
      <c r="H118" s="94">
        <f t="shared" ca="1" si="72"/>
        <v>101825.14695487186</v>
      </c>
      <c r="I118" s="94">
        <f t="shared" ca="1" si="72"/>
        <v>107529.7209347098</v>
      </c>
      <c r="J118" s="94">
        <f t="shared" ca="1" si="72"/>
        <v>113306.24593737986</v>
      </c>
      <c r="K118" s="45"/>
    </row>
    <row r="119" spans="2:12" s="33" customFormat="1" ht="17.399999999999999" x14ac:dyDescent="0.35">
      <c r="B119" s="93"/>
      <c r="C119" s="97"/>
      <c r="D119" s="98"/>
      <c r="E119" s="99"/>
      <c r="F119" s="73"/>
      <c r="G119" s="52"/>
      <c r="H119" s="52"/>
      <c r="I119" s="52"/>
      <c r="J119" s="52"/>
      <c r="K119" s="45"/>
    </row>
    <row r="120" spans="2:12" s="33" customFormat="1" ht="17.399999999999999" x14ac:dyDescent="0.35">
      <c r="B120" s="92" t="s">
        <v>101</v>
      </c>
      <c r="C120" s="96">
        <v>2550</v>
      </c>
      <c r="D120" s="96">
        <v>2400</v>
      </c>
      <c r="E120" s="96">
        <v>2400</v>
      </c>
      <c r="F120" s="73">
        <f ca="1">F298</f>
        <v>2400</v>
      </c>
      <c r="G120" s="73">
        <f t="shared" ref="G120:J120" ca="1" si="73">G298</f>
        <v>2400</v>
      </c>
      <c r="H120" s="73">
        <f t="shared" ca="1" si="73"/>
        <v>2400</v>
      </c>
      <c r="I120" s="73">
        <f t="shared" ca="1" si="73"/>
        <v>2400</v>
      </c>
      <c r="J120" s="73">
        <f t="shared" ca="1" si="73"/>
        <v>2400</v>
      </c>
      <c r="K120" s="45"/>
    </row>
    <row r="121" spans="2:12" s="33" customFormat="1" ht="17.399999999999999" x14ac:dyDescent="0.35">
      <c r="B121" s="92" t="s">
        <v>102</v>
      </c>
      <c r="C121" s="91">
        <v>7174</v>
      </c>
      <c r="D121" s="91">
        <v>7411</v>
      </c>
      <c r="E121" s="96">
        <v>7757</v>
      </c>
      <c r="F121" s="73">
        <f>E121</f>
        <v>7757</v>
      </c>
      <c r="G121" s="73">
        <f t="shared" ref="G121:J121" si="74">F121</f>
        <v>7757</v>
      </c>
      <c r="H121" s="73">
        <f t="shared" si="74"/>
        <v>7757</v>
      </c>
      <c r="I121" s="73">
        <f t="shared" si="74"/>
        <v>7757</v>
      </c>
      <c r="J121" s="73">
        <f t="shared" si="74"/>
        <v>7757</v>
      </c>
      <c r="K121" s="45"/>
    </row>
    <row r="122" spans="2:12" s="33" customFormat="1" ht="17.399999999999999" x14ac:dyDescent="0.35">
      <c r="B122" s="92" t="s">
        <v>103</v>
      </c>
      <c r="C122" s="91">
        <v>38959</v>
      </c>
      <c r="D122" s="91">
        <v>36874</v>
      </c>
      <c r="E122" s="96">
        <v>39657</v>
      </c>
      <c r="F122" s="50">
        <f ca="1">F315</f>
        <v>45410.518523776846</v>
      </c>
      <c r="G122" s="50">
        <f t="shared" ref="G122:J122" ca="1" si="75">G315</f>
        <v>53669.391927039913</v>
      </c>
      <c r="H122" s="50">
        <f t="shared" ca="1" si="75"/>
        <v>65400.728813183203</v>
      </c>
      <c r="I122" s="50">
        <f t="shared" ca="1" si="75"/>
        <v>81761.753646115423</v>
      </c>
      <c r="J122" s="50">
        <f t="shared" ca="1" si="75"/>
        <v>103550.57179974407</v>
      </c>
      <c r="K122" s="45"/>
      <c r="L122" s="100"/>
    </row>
    <row r="123" spans="2:12" s="33" customFormat="1" ht="17.399999999999999" x14ac:dyDescent="0.35">
      <c r="B123" s="92" t="s">
        <v>104</v>
      </c>
      <c r="C123" s="91">
        <v>-5948</v>
      </c>
      <c r="D123" s="91">
        <v>-1177</v>
      </c>
      <c r="E123" s="96">
        <v>-2165</v>
      </c>
      <c r="F123" s="50">
        <f>E123</f>
        <v>-2165</v>
      </c>
      <c r="G123" s="50">
        <f t="shared" ref="G123:J123" si="76">F123</f>
        <v>-2165</v>
      </c>
      <c r="H123" s="50">
        <f t="shared" si="76"/>
        <v>-2165</v>
      </c>
      <c r="I123" s="50">
        <f t="shared" si="76"/>
        <v>-2165</v>
      </c>
      <c r="J123" s="50">
        <f t="shared" si="76"/>
        <v>-2165</v>
      </c>
      <c r="K123" s="45"/>
    </row>
    <row r="124" spans="2:12" s="33" customFormat="1" ht="17.399999999999999" x14ac:dyDescent="0.35">
      <c r="B124" s="92" t="s">
        <v>105</v>
      </c>
      <c r="C124" s="91">
        <v>6159</v>
      </c>
      <c r="D124" s="91">
        <v>2282</v>
      </c>
      <c r="E124" s="101">
        <v>3615</v>
      </c>
      <c r="F124" s="73">
        <f>F324</f>
        <v>3615</v>
      </c>
      <c r="G124" s="73">
        <f t="shared" ref="G124:J124" si="77">G324</f>
        <v>3615</v>
      </c>
      <c r="H124" s="73">
        <f t="shared" si="77"/>
        <v>3615</v>
      </c>
      <c r="I124" s="73">
        <f t="shared" si="77"/>
        <v>3615</v>
      </c>
      <c r="J124" s="73">
        <f t="shared" si="77"/>
        <v>3615</v>
      </c>
      <c r="K124" s="45"/>
    </row>
    <row r="125" spans="2:12" s="33" customFormat="1" ht="17.399999999999999" x14ac:dyDescent="0.35">
      <c r="B125" s="93" t="s">
        <v>106</v>
      </c>
      <c r="C125" s="102">
        <f>SUM(C120:C124)</f>
        <v>48894</v>
      </c>
      <c r="D125" s="102">
        <f>SUM(D120:D124)</f>
        <v>47790</v>
      </c>
      <c r="E125" s="102">
        <f>SUM(E120:E124)</f>
        <v>51264</v>
      </c>
      <c r="F125" s="102">
        <f ca="1">SUM(F120:F124)</f>
        <v>57017.518523776846</v>
      </c>
      <c r="G125" s="102">
        <f t="shared" ref="G125:J125" ca="1" si="78">SUM(G120:G124)</f>
        <v>65276.391927039913</v>
      </c>
      <c r="H125" s="102">
        <f t="shared" ca="1" si="78"/>
        <v>77007.728813183203</v>
      </c>
      <c r="I125" s="102">
        <f t="shared" ca="1" si="78"/>
        <v>93368.753646115423</v>
      </c>
      <c r="J125" s="102">
        <f t="shared" ca="1" si="78"/>
        <v>115157.57179974407</v>
      </c>
      <c r="K125" s="45"/>
      <c r="L125" s="90"/>
    </row>
    <row r="126" spans="2:12" s="33" customFormat="1" ht="17.399999999999999" x14ac:dyDescent="0.35">
      <c r="B126" s="92" t="s">
        <v>107</v>
      </c>
      <c r="C126" s="91">
        <v>5910</v>
      </c>
      <c r="D126" s="91">
        <v>5270</v>
      </c>
      <c r="E126" s="91">
        <v>4967</v>
      </c>
      <c r="F126" s="73">
        <f>E126</f>
        <v>4967</v>
      </c>
      <c r="G126" s="73">
        <f t="shared" ref="G126:J126" si="79">F126</f>
        <v>4967</v>
      </c>
      <c r="H126" s="73">
        <f t="shared" si="79"/>
        <v>4967</v>
      </c>
      <c r="I126" s="73">
        <f t="shared" si="79"/>
        <v>4967</v>
      </c>
      <c r="J126" s="73">
        <f t="shared" si="79"/>
        <v>4967</v>
      </c>
      <c r="K126" s="45"/>
    </row>
    <row r="127" spans="2:12" s="33" customFormat="1" ht="17.399999999999999" x14ac:dyDescent="0.35">
      <c r="B127" s="93" t="s">
        <v>108</v>
      </c>
      <c r="C127" s="102">
        <f>SUM(C125:C126)</f>
        <v>54804</v>
      </c>
      <c r="D127" s="102">
        <f>SUM(D125:D126)</f>
        <v>53060</v>
      </c>
      <c r="E127" s="102">
        <f>SUM(E125:E126)</f>
        <v>56231</v>
      </c>
      <c r="F127" s="102">
        <f ca="1">SUM(F125:F126)</f>
        <v>61984.518523776846</v>
      </c>
      <c r="G127" s="102">
        <f t="shared" ref="G127:J127" ca="1" si="80">SUM(G125:G126)</f>
        <v>70243.39192703992</v>
      </c>
      <c r="H127" s="102">
        <f t="shared" ca="1" si="80"/>
        <v>81974.728813183203</v>
      </c>
      <c r="I127" s="102">
        <f t="shared" ca="1" si="80"/>
        <v>98335.753646115423</v>
      </c>
      <c r="J127" s="102">
        <f t="shared" ca="1" si="80"/>
        <v>120124.57179974407</v>
      </c>
      <c r="K127" s="45"/>
    </row>
    <row r="128" spans="2:12" s="33" customFormat="1" ht="17.399999999999999" x14ac:dyDescent="0.35">
      <c r="B128" s="87" t="s">
        <v>109</v>
      </c>
      <c r="C128" s="103">
        <f>ROUND(C104-C118-C127,3)+3</f>
        <v>0</v>
      </c>
      <c r="D128" s="103">
        <f t="shared" ref="D128:J128" si="81">ROUND(D104-D118-D127,3)+3</f>
        <v>-1</v>
      </c>
      <c r="E128" s="103">
        <f t="shared" si="81"/>
        <v>0</v>
      </c>
      <c r="F128" s="103">
        <f t="shared" ca="1" si="81"/>
        <v>0</v>
      </c>
      <c r="G128" s="103">
        <f t="shared" ca="1" si="81"/>
        <v>0</v>
      </c>
      <c r="H128" s="103">
        <f t="shared" ca="1" si="81"/>
        <v>0</v>
      </c>
      <c r="I128" s="103">
        <f t="shared" ca="1" si="81"/>
        <v>0</v>
      </c>
      <c r="J128" s="103">
        <f t="shared" ca="1" si="81"/>
        <v>0</v>
      </c>
      <c r="K128" s="104"/>
    </row>
    <row r="129" spans="2:11" s="33" customFormat="1" ht="17.399999999999999" x14ac:dyDescent="0.35">
      <c r="C129" s="105"/>
      <c r="D129" s="105"/>
      <c r="E129" s="105"/>
      <c r="F129" s="52"/>
      <c r="G129" s="52"/>
      <c r="H129" s="52"/>
      <c r="I129" s="52"/>
      <c r="J129" s="52"/>
    </row>
    <row r="130" spans="2:11" s="33" customFormat="1" ht="17.399999999999999" hidden="1" outlineLevel="1" x14ac:dyDescent="0.35">
      <c r="B130" s="106" t="s">
        <v>110</v>
      </c>
      <c r="C130" s="107"/>
      <c r="D130" s="105"/>
      <c r="E130" s="52"/>
      <c r="F130" s="52"/>
      <c r="G130" s="52"/>
      <c r="H130" s="52"/>
      <c r="I130" s="52"/>
      <c r="J130" s="52"/>
    </row>
    <row r="131" spans="2:11" s="33" customFormat="1" ht="17.399999999999999" hidden="1" outlineLevel="1" x14ac:dyDescent="0.35">
      <c r="B131" s="193" t="s">
        <v>111</v>
      </c>
      <c r="C131" s="109"/>
      <c r="D131" s="109"/>
      <c r="E131" s="109"/>
      <c r="F131" s="52"/>
      <c r="G131" s="52"/>
      <c r="H131" s="52"/>
      <c r="I131" s="52"/>
      <c r="J131" s="52"/>
    </row>
    <row r="132" spans="2:11" s="33" customFormat="1" ht="17.399999999999999" hidden="1" outlineLevel="1" x14ac:dyDescent="0.35">
      <c r="B132" s="193"/>
      <c r="C132" s="89"/>
      <c r="D132" s="88"/>
      <c r="E132" s="88"/>
      <c r="F132" s="52"/>
      <c r="G132" s="52"/>
      <c r="H132" s="52"/>
      <c r="I132" s="52"/>
      <c r="J132" s="52"/>
    </row>
    <row r="133" spans="2:11" s="33" customFormat="1" ht="18" hidden="1" outlineLevel="1" x14ac:dyDescent="0.35">
      <c r="B133" s="108"/>
      <c r="C133" s="89"/>
      <c r="D133" s="88"/>
      <c r="E133" s="88"/>
      <c r="F133" s="52"/>
      <c r="G133" s="52"/>
      <c r="H133" s="52"/>
      <c r="I133" s="52"/>
      <c r="J133" s="52"/>
    </row>
    <row r="134" spans="2:11" s="33" customFormat="1" ht="17.399999999999999" hidden="1" outlineLevel="1" x14ac:dyDescent="0.35">
      <c r="B134" s="43" t="s">
        <v>112</v>
      </c>
      <c r="C134" s="110"/>
      <c r="D134" s="110"/>
      <c r="E134" s="110"/>
      <c r="F134" s="52"/>
      <c r="G134" s="52"/>
      <c r="H134" s="52"/>
      <c r="I134" s="52"/>
      <c r="J134" s="52"/>
    </row>
    <row r="135" spans="2:11" s="33" customFormat="1" ht="17.399999999999999" hidden="1" outlineLevel="1" x14ac:dyDescent="0.35">
      <c r="B135" s="58" t="s">
        <v>113</v>
      </c>
      <c r="C135" s="52"/>
      <c r="D135" s="52"/>
      <c r="E135" s="73">
        <f>D137</f>
        <v>17405</v>
      </c>
      <c r="F135" s="73">
        <f t="shared" ref="F135:J135" si="82">E137</f>
        <v>16963</v>
      </c>
      <c r="G135" s="73">
        <f t="shared" si="82"/>
        <v>18019.808530645758</v>
      </c>
      <c r="H135" s="73">
        <f t="shared" si="82"/>
        <v>18435.984522418552</v>
      </c>
      <c r="I135" s="73">
        <f t="shared" si="82"/>
        <v>19310.242916491592</v>
      </c>
      <c r="J135" s="73">
        <f t="shared" si="82"/>
        <v>20066.911507595516</v>
      </c>
    </row>
    <row r="136" spans="2:11" s="33" customFormat="1" ht="17.399999999999999" hidden="1" outlineLevel="1" x14ac:dyDescent="0.35">
      <c r="B136" s="111" t="s">
        <v>114</v>
      </c>
      <c r="C136" s="52"/>
      <c r="D136" s="52"/>
      <c r="E136" s="73"/>
      <c r="F136" s="73">
        <f>F137-F135</f>
        <v>1056.8085306457579</v>
      </c>
      <c r="G136" s="73">
        <f t="shared" ref="G136:J136" si="83">G137-G135</f>
        <v>416.17599177279408</v>
      </c>
      <c r="H136" s="73">
        <f t="shared" si="83"/>
        <v>874.25839407304011</v>
      </c>
      <c r="I136" s="73">
        <f t="shared" si="83"/>
        <v>756.66859110392397</v>
      </c>
      <c r="J136" s="73">
        <f t="shared" si="83"/>
        <v>939.71607915087225</v>
      </c>
    </row>
    <row r="137" spans="2:11" s="33" customFormat="1" ht="17.399999999999999" hidden="1" outlineLevel="1" x14ac:dyDescent="0.35">
      <c r="B137" s="58" t="s">
        <v>115</v>
      </c>
      <c r="C137" s="112"/>
      <c r="D137" s="73">
        <f>D91</f>
        <v>17405</v>
      </c>
      <c r="E137" s="73">
        <f>E91</f>
        <v>16963</v>
      </c>
      <c r="F137" s="73">
        <f>IF(F139,F139*F26,E137*(1+$F54))</f>
        <v>18019.808530645758</v>
      </c>
      <c r="G137" s="73">
        <f>IF(G139,G139*G26,F137*(1+$F54))</f>
        <v>18435.984522418552</v>
      </c>
      <c r="H137" s="73">
        <f>IF(H139,H139*H26,G137*(1+$F54))</f>
        <v>19310.242916491592</v>
      </c>
      <c r="I137" s="73">
        <f>IF(I139,I139*I26,H137*(1+$F54))</f>
        <v>20066.911507595516</v>
      </c>
      <c r="J137" s="73">
        <f>IF(J139,J139*J26,I137*(1+$F54))</f>
        <v>21006.627586746388</v>
      </c>
    </row>
    <row r="138" spans="2:11" s="33" customFormat="1" ht="17.399999999999999" hidden="1" outlineLevel="1" x14ac:dyDescent="0.35">
      <c r="C138" s="113"/>
      <c r="D138" s="73"/>
      <c r="E138" s="52"/>
      <c r="F138" s="52"/>
      <c r="G138" s="52"/>
      <c r="H138" s="52"/>
      <c r="I138" s="52"/>
      <c r="J138" s="52"/>
    </row>
    <row r="139" spans="2:11" s="33" customFormat="1" ht="17.399999999999999" hidden="1" outlineLevel="1" x14ac:dyDescent="0.35">
      <c r="B139" s="58" t="s">
        <v>116</v>
      </c>
      <c r="C139" s="105"/>
      <c r="D139" s="105">
        <f>D137/D26</f>
        <v>0.23243236024678829</v>
      </c>
      <c r="E139" s="105">
        <f>E137/E26</f>
        <v>0.22340313446595547</v>
      </c>
      <c r="F139" s="114">
        <f>AVERAGE(D139:E139)</f>
        <v>0.22791774735637188</v>
      </c>
      <c r="G139" s="114">
        <f t="shared" ref="G139:J139" si="84">AVERAGE(E139:F139)</f>
        <v>0.22566044091116366</v>
      </c>
      <c r="H139" s="114">
        <f t="shared" si="84"/>
        <v>0.22678909413376777</v>
      </c>
      <c r="I139" s="114">
        <f t="shared" si="84"/>
        <v>0.22622476752246573</v>
      </c>
      <c r="J139" s="114">
        <f t="shared" si="84"/>
        <v>0.22650693082811674</v>
      </c>
    </row>
    <row r="140" spans="2:11" s="33" customFormat="1" ht="17.399999999999999" hidden="1" outlineLevel="1" x14ac:dyDescent="0.35">
      <c r="B140" s="58" t="s">
        <v>117</v>
      </c>
      <c r="C140" s="105"/>
      <c r="D140" s="115">
        <f>D139*$C$12</f>
        <v>84.837811490077726</v>
      </c>
      <c r="E140" s="115">
        <f t="shared" ref="E140:J140" si="85">E139*$C$12</f>
        <v>81.542144080073754</v>
      </c>
      <c r="F140" s="115">
        <f t="shared" si="85"/>
        <v>83.18997778507574</v>
      </c>
      <c r="G140" s="115">
        <f t="shared" si="85"/>
        <v>82.36606093257474</v>
      </c>
      <c r="H140" s="115">
        <f t="shared" si="85"/>
        <v>82.778019358825233</v>
      </c>
      <c r="I140" s="115">
        <f t="shared" si="85"/>
        <v>82.572040145699987</v>
      </c>
      <c r="J140" s="115">
        <f t="shared" si="85"/>
        <v>82.675029752262603</v>
      </c>
      <c r="K140" s="115"/>
    </row>
    <row r="141" spans="2:11" s="33" customFormat="1" ht="17.399999999999999" hidden="1" outlineLevel="1" x14ac:dyDescent="0.35">
      <c r="C141" s="105"/>
      <c r="D141" s="52"/>
      <c r="E141" s="52"/>
      <c r="F141" s="52"/>
      <c r="G141" s="52"/>
      <c r="H141" s="52"/>
      <c r="I141" s="52"/>
      <c r="J141" s="52"/>
    </row>
    <row r="142" spans="2:11" s="33" customFormat="1" ht="17.399999999999999" hidden="1" outlineLevel="1" x14ac:dyDescent="0.35">
      <c r="B142" s="43" t="s">
        <v>118</v>
      </c>
      <c r="C142" s="110"/>
      <c r="D142" s="52"/>
      <c r="E142" s="52"/>
      <c r="F142" s="52"/>
      <c r="G142" s="52"/>
      <c r="H142" s="52"/>
      <c r="I142" s="52"/>
      <c r="J142" s="52"/>
    </row>
    <row r="143" spans="2:11" s="33" customFormat="1" ht="17.399999999999999" hidden="1" outlineLevel="1" x14ac:dyDescent="0.35">
      <c r="B143" s="58" t="s">
        <v>113</v>
      </c>
      <c r="C143" s="52"/>
      <c r="D143" s="52"/>
      <c r="E143" s="73">
        <f>D145</f>
        <v>11548</v>
      </c>
      <c r="F143" s="73">
        <f t="shared" ref="F143:J143" si="86">E145</f>
        <v>10923</v>
      </c>
      <c r="G143" s="73">
        <f t="shared" ca="1" si="86"/>
        <v>11604.023380253075</v>
      </c>
      <c r="H143" s="73">
        <f t="shared" ca="1" si="86"/>
        <v>11801.794149892043</v>
      </c>
      <c r="I143" s="73">
        <f t="shared" ca="1" si="86"/>
        <v>12398.413645707369</v>
      </c>
      <c r="J143" s="73">
        <f t="shared" ca="1" si="86"/>
        <v>12865.085569786068</v>
      </c>
    </row>
    <row r="144" spans="2:11" s="33" customFormat="1" ht="17.399999999999999" hidden="1" outlineLevel="1" x14ac:dyDescent="0.35">
      <c r="B144" s="111" t="s">
        <v>114</v>
      </c>
      <c r="C144" s="52"/>
      <c r="D144" s="52"/>
      <c r="E144" s="73">
        <f>E145-E143</f>
        <v>-625</v>
      </c>
      <c r="F144" s="73">
        <f ca="1">F145-F143</f>
        <v>681.02338025307472</v>
      </c>
      <c r="G144" s="73">
        <f t="shared" ref="G144:J144" ca="1" si="87">G145-G143</f>
        <v>197.77076963896798</v>
      </c>
      <c r="H144" s="73">
        <f t="shared" ca="1" si="87"/>
        <v>596.61949581532645</v>
      </c>
      <c r="I144" s="73">
        <f t="shared" ca="1" si="87"/>
        <v>466.67192407869879</v>
      </c>
      <c r="J144" s="73">
        <f t="shared" ca="1" si="87"/>
        <v>612.50077874564704</v>
      </c>
    </row>
    <row r="145" spans="2:10" s="33" customFormat="1" ht="17.399999999999999" hidden="1" outlineLevel="1" x14ac:dyDescent="0.35">
      <c r="B145" s="58" t="s">
        <v>115</v>
      </c>
      <c r="C145" s="112"/>
      <c r="D145" s="73">
        <f>D94</f>
        <v>11548</v>
      </c>
      <c r="E145" s="73">
        <f>E94</f>
        <v>10923</v>
      </c>
      <c r="F145" s="73">
        <f ca="1">+IF(F147,-(F147*F27),E145*F27/E27)</f>
        <v>11604.023380253075</v>
      </c>
      <c r="G145" s="73">
        <f ca="1">+IF(G147,-(G147*G27),F145*G27/F27)</f>
        <v>11801.794149892043</v>
      </c>
      <c r="H145" s="73">
        <f ca="1">+IF(H147,-(H147*H27),G145*H27/G27)</f>
        <v>12398.413645707369</v>
      </c>
      <c r="I145" s="73">
        <f ca="1">+IF(I147,-(I147*I27),H145*I27/H27)</f>
        <v>12865.085569786068</v>
      </c>
      <c r="J145" s="73">
        <f ca="1">+IF(J147,-(J147*J27),I145*J27/I27)</f>
        <v>13477.586348531715</v>
      </c>
    </row>
    <row r="146" spans="2:10" s="33" customFormat="1" ht="17.399999999999999" hidden="1" outlineLevel="1" x14ac:dyDescent="0.35">
      <c r="C146" s="113"/>
      <c r="D146" s="52"/>
      <c r="E146" s="52"/>
      <c r="F146" s="52"/>
      <c r="G146" s="52"/>
      <c r="H146" s="52"/>
      <c r="I146" s="52"/>
      <c r="J146" s="52"/>
    </row>
    <row r="147" spans="2:10" s="33" customFormat="1" ht="17.399999999999999" hidden="1" outlineLevel="1" x14ac:dyDescent="0.35">
      <c r="B147" s="58" t="s">
        <v>119</v>
      </c>
      <c r="C147" s="105"/>
      <c r="D147" s="105">
        <f>-D145/D27</f>
        <v>0.25232705501900976</v>
      </c>
      <c r="E147" s="105">
        <f>-E145/E27</f>
        <v>0.23690545904092655</v>
      </c>
      <c r="F147" s="114">
        <f>AVERAGE(D147:E147)</f>
        <v>0.24461625702996814</v>
      </c>
      <c r="G147" s="114">
        <f t="shared" ref="G147:J147" si="88">AVERAGE(E147:F147)</f>
        <v>0.24076085803544733</v>
      </c>
      <c r="H147" s="114">
        <f t="shared" si="88"/>
        <v>0.24268855753270774</v>
      </c>
      <c r="I147" s="114">
        <f t="shared" si="88"/>
        <v>0.24172470778407754</v>
      </c>
      <c r="J147" s="114">
        <f t="shared" si="88"/>
        <v>0.24220663265839265</v>
      </c>
    </row>
    <row r="148" spans="2:10" s="33" customFormat="1" ht="17.399999999999999" hidden="1" outlineLevel="1" x14ac:dyDescent="0.35">
      <c r="B148" s="58" t="s">
        <v>120</v>
      </c>
      <c r="C148" s="105"/>
      <c r="D148" s="116">
        <f t="shared" ref="D148:J148" si="89">D26/D145</f>
        <v>6.484412885348112</v>
      </c>
      <c r="E148" s="116">
        <f t="shared" si="89"/>
        <v>6.9513869815984624</v>
      </c>
      <c r="F148" s="116">
        <f t="shared" ca="1" si="89"/>
        <v>6.8133928909822297</v>
      </c>
      <c r="G148" s="116">
        <f t="shared" ca="1" si="89"/>
        <v>6.9224984503971267</v>
      </c>
      <c r="H148" s="116">
        <f t="shared" ca="1" si="89"/>
        <v>6.8675123525016044</v>
      </c>
      <c r="I148" s="116">
        <f t="shared" ca="1" si="89"/>
        <v>6.8948957760471448</v>
      </c>
      <c r="J148" s="116">
        <f t="shared" ca="1" si="89"/>
        <v>6.8811768215172178</v>
      </c>
    </row>
    <row r="149" spans="2:10" s="33" customFormat="1" ht="17.399999999999999" hidden="1" outlineLevel="1" x14ac:dyDescent="0.35">
      <c r="B149" s="58" t="s">
        <v>121</v>
      </c>
      <c r="C149" s="105"/>
      <c r="D149" s="117">
        <f>D147*$C$12</f>
        <v>92.099375081938561</v>
      </c>
      <c r="E149" s="117">
        <f t="shared" ref="E149:J149" si="90">E147*$C$12</f>
        <v>86.470492549938186</v>
      </c>
      <c r="F149" s="117">
        <f t="shared" si="90"/>
        <v>89.284933815938373</v>
      </c>
      <c r="G149" s="117">
        <f t="shared" si="90"/>
        <v>87.87771318293828</v>
      </c>
      <c r="H149" s="117">
        <f t="shared" si="90"/>
        <v>88.581323499438327</v>
      </c>
      <c r="I149" s="117">
        <f t="shared" si="90"/>
        <v>88.229518341188296</v>
      </c>
      <c r="J149" s="117">
        <f t="shared" si="90"/>
        <v>88.405420920313318</v>
      </c>
    </row>
    <row r="150" spans="2:10" s="33" customFormat="1" ht="17.399999999999999" hidden="1" outlineLevel="1" x14ac:dyDescent="0.35">
      <c r="B150" s="58"/>
      <c r="C150" s="105"/>
      <c r="D150" s="52"/>
      <c r="E150" s="52"/>
      <c r="F150" s="52"/>
      <c r="G150" s="52"/>
      <c r="H150" s="52"/>
      <c r="I150" s="52"/>
      <c r="J150" s="52"/>
    </row>
    <row r="151" spans="2:10" s="33" customFormat="1" ht="17.399999999999999" hidden="1" outlineLevel="1" x14ac:dyDescent="0.35">
      <c r="B151" s="43" t="s">
        <v>122</v>
      </c>
      <c r="C151" s="110"/>
      <c r="D151" s="52"/>
      <c r="E151" s="52"/>
      <c r="F151" s="52"/>
      <c r="G151" s="52"/>
      <c r="H151" s="52"/>
      <c r="I151" s="52"/>
      <c r="J151" s="52"/>
    </row>
    <row r="152" spans="2:10" s="33" customFormat="1" ht="17.399999999999999" hidden="1" outlineLevel="1" x14ac:dyDescent="0.35">
      <c r="B152" s="58" t="s">
        <v>113</v>
      </c>
      <c r="C152" s="52"/>
      <c r="D152" s="52"/>
      <c r="E152" s="73">
        <f>D154</f>
        <v>10130</v>
      </c>
      <c r="F152" s="73">
        <f t="shared" ref="F152:J152" si="91">E154</f>
        <v>8843</v>
      </c>
      <c r="G152" s="73">
        <f t="shared" ca="1" si="91"/>
        <v>9799.1115189575194</v>
      </c>
      <c r="H152" s="73">
        <f t="shared" ca="1" si="91"/>
        <v>9763.5818207267384</v>
      </c>
      <c r="I152" s="73">
        <f t="shared" ca="1" si="91"/>
        <v>10364.396954871851</v>
      </c>
      <c r="J152" s="73">
        <f t="shared" ca="1" si="91"/>
        <v>10699.095934709791</v>
      </c>
    </row>
    <row r="153" spans="2:10" s="33" customFormat="1" ht="17.399999999999999" hidden="1" outlineLevel="1" x14ac:dyDescent="0.35">
      <c r="B153" s="111" t="s">
        <v>114</v>
      </c>
      <c r="C153" s="52"/>
      <c r="D153" s="52"/>
      <c r="E153" s="73">
        <f>E154-E152</f>
        <v>-1287</v>
      </c>
      <c r="F153" s="73">
        <f t="shared" ref="F153:J153" ca="1" si="92">F154-F152</f>
        <v>956.11151895751937</v>
      </c>
      <c r="G153" s="73">
        <f t="shared" ca="1" si="92"/>
        <v>-35.529698230780923</v>
      </c>
      <c r="H153" s="73">
        <f t="shared" ca="1" si="92"/>
        <v>600.8151341451121</v>
      </c>
      <c r="I153" s="73">
        <f t="shared" ca="1" si="92"/>
        <v>334.69897983793999</v>
      </c>
      <c r="J153" s="73">
        <f t="shared" ca="1" si="92"/>
        <v>538.4625026700669</v>
      </c>
    </row>
    <row r="154" spans="2:10" s="33" customFormat="1" ht="17.399999999999999" hidden="1" outlineLevel="1" x14ac:dyDescent="0.35">
      <c r="B154" s="58" t="s">
        <v>115</v>
      </c>
      <c r="C154" s="112"/>
      <c r="D154" s="73">
        <f>D107</f>
        <v>10130</v>
      </c>
      <c r="E154" s="73">
        <f>E107</f>
        <v>8843</v>
      </c>
      <c r="F154" s="73">
        <f ca="1">IF(F156,-(F156*F27),E154*F27/E27)</f>
        <v>9799.1115189575194</v>
      </c>
      <c r="G154" s="73">
        <f ca="1">IF(G156,-(G156*G27),F154*G27/F27)</f>
        <v>9763.5818207267384</v>
      </c>
      <c r="H154" s="73">
        <f ca="1">IF(H156,-(H156*H27),G154*H27/G27)</f>
        <v>10364.396954871851</v>
      </c>
      <c r="I154" s="73">
        <f ca="1">IF(I156,-(I156*I27),H154*I27/H27)</f>
        <v>10699.095934709791</v>
      </c>
      <c r="J154" s="73">
        <f ca="1">IF(J156,-(J156*J27),I154*J27/I27)</f>
        <v>11237.558437379857</v>
      </c>
    </row>
    <row r="155" spans="2:10" s="33" customFormat="1" ht="17.399999999999999" hidden="1" outlineLevel="1" x14ac:dyDescent="0.35">
      <c r="C155" s="105"/>
      <c r="D155" s="52"/>
      <c r="E155" s="52"/>
      <c r="F155" s="52"/>
      <c r="G155" s="52"/>
      <c r="H155" s="52"/>
      <c r="I155" s="52"/>
      <c r="J155" s="52"/>
    </row>
    <row r="156" spans="2:10" s="33" customFormat="1" ht="17.399999999999999" hidden="1" outlineLevel="1" x14ac:dyDescent="0.35">
      <c r="B156" s="58" t="s">
        <v>123</v>
      </c>
      <c r="C156" s="105"/>
      <c r="D156" s="105">
        <f>-D154/D27</f>
        <v>0.22134335532928376</v>
      </c>
      <c r="E156" s="105">
        <f>-E154/E27</f>
        <v>0.19179300323161341</v>
      </c>
      <c r="F156" s="114">
        <f>+AVERAGE(D156:E156)</f>
        <v>0.20656817928044857</v>
      </c>
      <c r="G156" s="114">
        <f t="shared" ref="G156:J156" si="93">+AVERAGE(E156:F156)</f>
        <v>0.19918059125603099</v>
      </c>
      <c r="H156" s="114">
        <f t="shared" si="93"/>
        <v>0.20287438526823978</v>
      </c>
      <c r="I156" s="114">
        <f t="shared" si="93"/>
        <v>0.2010274882621354</v>
      </c>
      <c r="J156" s="114">
        <f t="shared" si="93"/>
        <v>0.20195093676518761</v>
      </c>
    </row>
    <row r="157" spans="2:10" s="33" customFormat="1" ht="17.399999999999999" hidden="1" outlineLevel="1" x14ac:dyDescent="0.35">
      <c r="B157" s="58" t="s">
        <v>124</v>
      </c>
      <c r="C157" s="105"/>
      <c r="D157" s="118">
        <f>D156*$C$12</f>
        <v>80.790324695188573</v>
      </c>
      <c r="E157" s="118">
        <f>E156*$C$12</f>
        <v>70.004446179538903</v>
      </c>
      <c r="F157" s="118">
        <f t="shared" ref="F157:J157" si="94">F156*$C$12</f>
        <v>75.397385437363724</v>
      </c>
      <c r="G157" s="118">
        <f t="shared" si="94"/>
        <v>72.700915808451313</v>
      </c>
      <c r="H157" s="118">
        <f t="shared" si="94"/>
        <v>74.049150622907518</v>
      </c>
      <c r="I157" s="118">
        <f t="shared" si="94"/>
        <v>73.375033215679423</v>
      </c>
      <c r="J157" s="118">
        <f t="shared" si="94"/>
        <v>73.712091919293471</v>
      </c>
    </row>
    <row r="158" spans="2:10" hidden="1" outlineLevel="1" x14ac:dyDescent="0.3">
      <c r="B158"/>
      <c r="C158" s="119"/>
      <c r="D158" s="56"/>
      <c r="E158" s="56"/>
      <c r="F158" s="56"/>
      <c r="G158" s="56"/>
      <c r="H158" s="56"/>
      <c r="I158" s="56"/>
      <c r="J158" s="56"/>
    </row>
    <row r="159" spans="2:10" s="33" customFormat="1" ht="17.399999999999999" hidden="1" outlineLevel="1" x14ac:dyDescent="0.35">
      <c r="B159" s="193" t="s">
        <v>125</v>
      </c>
      <c r="C159" s="52"/>
      <c r="D159" s="52"/>
      <c r="E159" s="52"/>
      <c r="F159" s="52"/>
      <c r="G159" s="52"/>
      <c r="H159" s="52"/>
      <c r="I159" s="52"/>
      <c r="J159" s="52"/>
    </row>
    <row r="160" spans="2:10" s="33" customFormat="1" ht="17.399999999999999" hidden="1" outlineLevel="1" x14ac:dyDescent="0.35">
      <c r="B160" s="193"/>
      <c r="C160" s="52"/>
      <c r="D160" s="52"/>
      <c r="E160" s="52"/>
      <c r="F160" s="52"/>
      <c r="G160" s="52"/>
      <c r="H160" s="52"/>
      <c r="I160" s="52"/>
      <c r="J160" s="52"/>
    </row>
    <row r="161" spans="2:10" s="33" customFormat="1" ht="18" hidden="1" outlineLevel="1" x14ac:dyDescent="0.35">
      <c r="B161" s="108"/>
      <c r="C161" s="52"/>
      <c r="D161" s="52"/>
      <c r="E161" s="52"/>
      <c r="F161" s="52"/>
      <c r="G161" s="52"/>
      <c r="H161" s="52"/>
      <c r="I161" s="52"/>
      <c r="J161" s="52"/>
    </row>
    <row r="162" spans="2:10" s="33" customFormat="1" ht="17.399999999999999" hidden="1" outlineLevel="1" x14ac:dyDescent="0.35">
      <c r="B162" s="58" t="s">
        <v>113</v>
      </c>
      <c r="C162" s="52"/>
      <c r="D162" s="52"/>
      <c r="E162" s="52"/>
      <c r="F162" s="73">
        <f>E165</f>
        <v>21835</v>
      </c>
      <c r="G162" s="73">
        <f t="shared" ref="G162:J162" si="95">F165</f>
        <v>20518.640796167227</v>
      </c>
      <c r="H162" s="73">
        <f t="shared" si="95"/>
        <v>19383.069013347278</v>
      </c>
      <c r="I162" s="73">
        <f t="shared" si="95"/>
        <v>18433.710093899281</v>
      </c>
      <c r="J162" s="73">
        <f t="shared" si="95"/>
        <v>17688.615349724805</v>
      </c>
    </row>
    <row r="163" spans="2:10" s="33" customFormat="1" ht="17.399999999999999" hidden="1" outlineLevel="1" x14ac:dyDescent="0.35">
      <c r="B163" s="111" t="s">
        <v>126</v>
      </c>
      <c r="C163" s="52"/>
      <c r="D163" s="52"/>
      <c r="E163" s="52"/>
      <c r="F163" s="73">
        <f>F168</f>
        <v>2174.1480917598692</v>
      </c>
      <c r="G163" s="73">
        <f t="shared" ref="G163:J163" si="96">G168</f>
        <v>2246.611599893929</v>
      </c>
      <c r="H163" s="73">
        <f t="shared" si="96"/>
        <v>2341.438015364306</v>
      </c>
      <c r="I163" s="73">
        <f t="shared" si="96"/>
        <v>2439.2565472504034</v>
      </c>
      <c r="J163" s="73">
        <f t="shared" si="96"/>
        <v>2550.303901023045</v>
      </c>
    </row>
    <row r="164" spans="2:10" s="33" customFormat="1" ht="17.399999999999999" hidden="1" outlineLevel="1" x14ac:dyDescent="0.35">
      <c r="B164" s="111" t="s">
        <v>127</v>
      </c>
      <c r="C164" s="52"/>
      <c r="D164" s="52"/>
      <c r="E164" s="52"/>
      <c r="F164" s="73">
        <f>F170</f>
        <v>-3490.5072955926403</v>
      </c>
      <c r="G164" s="73">
        <f t="shared" ref="G164:J164" si="97">G170</f>
        <v>-3382.1833827138771</v>
      </c>
      <c r="H164" s="73">
        <f t="shared" si="97"/>
        <v>-3290.7969348123042</v>
      </c>
      <c r="I164" s="73">
        <f t="shared" si="97"/>
        <v>-3184.351291424879</v>
      </c>
      <c r="J164" s="73">
        <f t="shared" si="97"/>
        <v>-3074.28875425048</v>
      </c>
    </row>
    <row r="165" spans="2:10" s="33" customFormat="1" ht="17.399999999999999" hidden="1" outlineLevel="1" x14ac:dyDescent="0.35">
      <c r="B165" s="58" t="s">
        <v>115</v>
      </c>
      <c r="C165" s="52"/>
      <c r="D165" s="73">
        <f>D99</f>
        <v>22579</v>
      </c>
      <c r="E165" s="73">
        <f>E99</f>
        <v>21835</v>
      </c>
      <c r="F165" s="73">
        <f>SUM(F162:F164)</f>
        <v>20518.640796167227</v>
      </c>
      <c r="G165" s="73">
        <f t="shared" ref="G165:J165" si="98">SUM(G162:G164)</f>
        <v>19383.069013347278</v>
      </c>
      <c r="H165" s="73">
        <f t="shared" si="98"/>
        <v>18433.710093899281</v>
      </c>
      <c r="I165" s="73">
        <f t="shared" si="98"/>
        <v>17688.615349724805</v>
      </c>
      <c r="J165" s="73">
        <f t="shared" si="98"/>
        <v>17164.630496497371</v>
      </c>
    </row>
    <row r="166" spans="2:10" s="33" customFormat="1" ht="17.399999999999999" hidden="1" outlineLevel="1" x14ac:dyDescent="0.35">
      <c r="B166" s="120"/>
      <c r="C166" s="52"/>
      <c r="D166" s="52"/>
      <c r="E166" s="52"/>
      <c r="F166" s="52"/>
      <c r="G166" s="52"/>
      <c r="H166" s="52"/>
      <c r="I166" s="52"/>
      <c r="J166" s="52"/>
    </row>
    <row r="167" spans="2:10" s="33" customFormat="1" ht="17.399999999999999" hidden="1" outlineLevel="1" x14ac:dyDescent="0.35">
      <c r="B167" s="58" t="s">
        <v>128</v>
      </c>
      <c r="C167" s="74"/>
      <c r="D167" s="74">
        <f>20247+27280</f>
        <v>47527</v>
      </c>
      <c r="E167" s="74">
        <f>27088+19146</f>
        <v>46234</v>
      </c>
      <c r="F167" s="52"/>
      <c r="G167" s="52"/>
      <c r="H167" s="52"/>
      <c r="I167" s="52"/>
      <c r="J167" s="52"/>
    </row>
    <row r="168" spans="2:10" s="33" customFormat="1" ht="17.399999999999999" hidden="1" outlineLevel="1" x14ac:dyDescent="0.35">
      <c r="B168" s="58" t="s">
        <v>129</v>
      </c>
      <c r="C168" s="74"/>
      <c r="D168" s="74">
        <v>2146</v>
      </c>
      <c r="E168" s="74">
        <v>2088</v>
      </c>
      <c r="F168" s="73">
        <f>F169*F26</f>
        <v>2174.1480917598692</v>
      </c>
      <c r="G168" s="73">
        <f>G169*G26</f>
        <v>2246.611599893929</v>
      </c>
      <c r="H168" s="73">
        <f>H169*H26</f>
        <v>2341.438015364306</v>
      </c>
      <c r="I168" s="73">
        <f>I169*I26</f>
        <v>2439.2565472504034</v>
      </c>
      <c r="J168" s="73">
        <f>J169*J26</f>
        <v>2550.303901023045</v>
      </c>
    </row>
    <row r="169" spans="2:10" s="33" customFormat="1" ht="17.399999999999999" hidden="1" outlineLevel="1" x14ac:dyDescent="0.35">
      <c r="B169" s="58" t="s">
        <v>130</v>
      </c>
      <c r="C169" s="105"/>
      <c r="D169" s="105">
        <f>D168/D26</f>
        <v>2.8658422584866856E-2</v>
      </c>
      <c r="E169" s="105">
        <f>E168/E26</f>
        <v>2.7499012248123272E-2</v>
      </c>
      <c r="F169" s="105">
        <f>E169</f>
        <v>2.7499012248123272E-2</v>
      </c>
      <c r="G169" s="105">
        <f t="shared" ref="G169:J169" si="99">F169</f>
        <v>2.7499012248123272E-2</v>
      </c>
      <c r="H169" s="105">
        <f t="shared" si="99"/>
        <v>2.7499012248123272E-2</v>
      </c>
      <c r="I169" s="105">
        <f t="shared" si="99"/>
        <v>2.7499012248123272E-2</v>
      </c>
      <c r="J169" s="105">
        <f t="shared" si="99"/>
        <v>2.7499012248123272E-2</v>
      </c>
    </row>
    <row r="170" spans="2:10" s="33" customFormat="1" ht="17.399999999999999" hidden="1" outlineLevel="1" x14ac:dyDescent="0.35">
      <c r="B170" s="58" t="s">
        <v>131</v>
      </c>
      <c r="C170" s="121"/>
      <c r="D170" s="121">
        <f>-D61</f>
        <v>-3544</v>
      </c>
      <c r="E170" s="121">
        <f>-E61</f>
        <v>-3561</v>
      </c>
      <c r="F170" s="73">
        <f>-(F171*F168)</f>
        <v>-3490.5072955926403</v>
      </c>
      <c r="G170" s="73">
        <f t="shared" ref="G170:J170" si="100">-(G171*G168)</f>
        <v>-3382.1833827138771</v>
      </c>
      <c r="H170" s="73">
        <f t="shared" si="100"/>
        <v>-3290.7969348123042</v>
      </c>
      <c r="I170" s="73">
        <f t="shared" si="100"/>
        <v>-3184.351291424879</v>
      </c>
      <c r="J170" s="73">
        <f t="shared" si="100"/>
        <v>-3074.28875425048</v>
      </c>
    </row>
    <row r="171" spans="2:10" s="33" customFormat="1" ht="17.399999999999999" hidden="1" outlineLevel="1" x14ac:dyDescent="0.35">
      <c r="B171" s="58" t="s">
        <v>132</v>
      </c>
      <c r="C171" s="105"/>
      <c r="D171" s="105">
        <f>-(D170/D168)</f>
        <v>1.651444547996272</v>
      </c>
      <c r="E171" s="105">
        <f>-(E170/E168)</f>
        <v>1.7054597701149425</v>
      </c>
      <c r="F171" s="114">
        <f>IF(E171-10%&lt;90%,90%,E171-10%)</f>
        <v>1.6054597701149425</v>
      </c>
      <c r="G171" s="114">
        <f t="shared" ref="G171:J171" si="101">IF(F171-10%&lt;90%,90%,F171-10%)</f>
        <v>1.5054597701149424</v>
      </c>
      <c r="H171" s="114">
        <f t="shared" si="101"/>
        <v>1.4054597701149423</v>
      </c>
      <c r="I171" s="114">
        <f t="shared" si="101"/>
        <v>1.3054597701149422</v>
      </c>
      <c r="J171" s="114">
        <f t="shared" si="101"/>
        <v>1.2054597701149421</v>
      </c>
    </row>
    <row r="172" spans="2:10" s="33" customFormat="1" ht="17.399999999999999" hidden="1" outlineLevel="1" x14ac:dyDescent="0.35">
      <c r="C172" s="52"/>
      <c r="D172" s="52"/>
      <c r="E172" s="52"/>
      <c r="F172" s="52"/>
      <c r="G172" s="52"/>
      <c r="H172" s="52"/>
      <c r="I172" s="52"/>
      <c r="J172" s="52"/>
    </row>
    <row r="173" spans="2:10" s="33" customFormat="1" ht="17.399999999999999" hidden="1" outlineLevel="1" x14ac:dyDescent="0.35">
      <c r="B173" s="122" t="s">
        <v>133</v>
      </c>
      <c r="C173" s="123"/>
      <c r="D173" s="123"/>
      <c r="E173" s="123"/>
      <c r="F173" s="123"/>
      <c r="G173" s="123"/>
      <c r="H173" s="123"/>
      <c r="I173" s="123"/>
      <c r="J173" s="123"/>
    </row>
    <row r="174" spans="2:10" s="33" customFormat="1" ht="17.399999999999999" hidden="1" outlineLevel="1" x14ac:dyDescent="0.35">
      <c r="B174" s="124" t="s">
        <v>113</v>
      </c>
      <c r="C174" s="123"/>
      <c r="D174" s="123"/>
      <c r="E174" s="123"/>
      <c r="F174" s="125"/>
      <c r="G174" s="125"/>
      <c r="H174" s="125"/>
      <c r="I174" s="125"/>
      <c r="J174" s="125"/>
    </row>
    <row r="175" spans="2:10" s="33" customFormat="1" ht="17.399999999999999" hidden="1" outlineLevel="1" x14ac:dyDescent="0.35">
      <c r="B175" s="126" t="s">
        <v>126</v>
      </c>
      <c r="C175" s="123"/>
      <c r="D175" s="123"/>
      <c r="E175" s="123"/>
      <c r="F175" s="125"/>
      <c r="G175" s="125"/>
      <c r="H175" s="125"/>
      <c r="I175" s="125"/>
      <c r="J175" s="125"/>
    </row>
    <row r="176" spans="2:10" s="33" customFormat="1" ht="17.399999999999999" hidden="1" outlineLevel="1" x14ac:dyDescent="0.35">
      <c r="B176" s="126" t="s">
        <v>127</v>
      </c>
      <c r="C176" s="123"/>
      <c r="D176" s="123"/>
      <c r="E176" s="123"/>
      <c r="F176" s="127"/>
      <c r="G176" s="127"/>
      <c r="H176" s="127"/>
      <c r="I176" s="127"/>
      <c r="J176" s="127"/>
    </row>
    <row r="177" spans="2:10" s="33" customFormat="1" ht="17.399999999999999" hidden="1" outlineLevel="1" x14ac:dyDescent="0.35">
      <c r="B177" s="124" t="s">
        <v>115</v>
      </c>
      <c r="C177" s="123"/>
      <c r="D177" s="128"/>
      <c r="E177" s="128"/>
      <c r="F177" s="128"/>
      <c r="G177" s="128"/>
      <c r="H177" s="128"/>
      <c r="I177" s="128"/>
      <c r="J177" s="128"/>
    </row>
    <row r="178" spans="2:10" s="33" customFormat="1" ht="17.399999999999999" hidden="1" outlineLevel="1" x14ac:dyDescent="0.35">
      <c r="B178" s="129"/>
      <c r="C178" s="123"/>
      <c r="D178" s="123"/>
      <c r="E178" s="123"/>
      <c r="F178" s="123"/>
      <c r="G178" s="123"/>
      <c r="H178" s="123"/>
      <c r="I178" s="123"/>
      <c r="J178" s="123"/>
    </row>
    <row r="179" spans="2:10" s="33" customFormat="1" ht="17.399999999999999" hidden="1" outlineLevel="1" x14ac:dyDescent="0.35">
      <c r="B179" s="129" t="s">
        <v>134</v>
      </c>
      <c r="C179" s="123"/>
      <c r="D179" s="130"/>
      <c r="E179" s="130"/>
      <c r="F179" s="123"/>
      <c r="G179" s="123"/>
      <c r="H179" s="123"/>
      <c r="I179" s="123"/>
      <c r="J179" s="123"/>
    </row>
    <row r="180" spans="2:10" s="33" customFormat="1" ht="17.399999999999999" hidden="1" outlineLevel="1" x14ac:dyDescent="0.35">
      <c r="B180" s="129" t="s">
        <v>135</v>
      </c>
      <c r="C180" s="123"/>
      <c r="D180" s="130"/>
      <c r="E180" s="130"/>
      <c r="F180" s="123"/>
      <c r="G180" s="123"/>
      <c r="H180" s="123"/>
      <c r="I180" s="123"/>
      <c r="J180" s="123"/>
    </row>
    <row r="181" spans="2:10" s="33" customFormat="1" ht="17.399999999999999" hidden="1" outlineLevel="1" x14ac:dyDescent="0.35">
      <c r="B181" s="129" t="s">
        <v>136</v>
      </c>
      <c r="C181" s="123"/>
      <c r="D181" s="125"/>
      <c r="E181" s="125"/>
      <c r="F181" s="123"/>
      <c r="G181" s="123"/>
      <c r="H181" s="123"/>
      <c r="I181" s="123"/>
      <c r="J181" s="123"/>
    </row>
    <row r="182" spans="2:10" s="33" customFormat="1" ht="17.399999999999999" hidden="1" outlineLevel="1" x14ac:dyDescent="0.35">
      <c r="B182" s="129" t="s">
        <v>137</v>
      </c>
      <c r="C182" s="123"/>
      <c r="D182" s="125"/>
      <c r="E182" s="125"/>
      <c r="F182" s="123"/>
      <c r="G182" s="123"/>
      <c r="H182" s="123"/>
      <c r="I182" s="123"/>
      <c r="J182" s="123"/>
    </row>
    <row r="183" spans="2:10" s="33" customFormat="1" ht="17.399999999999999" hidden="1" outlineLevel="1" x14ac:dyDescent="0.35">
      <c r="B183" s="129"/>
      <c r="C183" s="123"/>
      <c r="D183" s="123"/>
      <c r="E183" s="127"/>
      <c r="F183" s="123"/>
      <c r="G183" s="123"/>
      <c r="H183" s="123"/>
      <c r="I183" s="123"/>
      <c r="J183" s="123"/>
    </row>
    <row r="184" spans="2:10" s="33" customFormat="1" ht="17.399999999999999" hidden="1" outlineLevel="1" x14ac:dyDescent="0.35">
      <c r="B184" s="129" t="s">
        <v>138</v>
      </c>
      <c r="C184" s="123"/>
      <c r="D184" s="123"/>
      <c r="E184" s="131"/>
      <c r="F184" s="123"/>
      <c r="G184" s="123"/>
      <c r="H184" s="123"/>
      <c r="I184" s="123"/>
      <c r="J184" s="123"/>
    </row>
    <row r="185" spans="2:10" s="33" customFormat="1" ht="17.399999999999999" hidden="1" outlineLevel="1" x14ac:dyDescent="0.35">
      <c r="B185" s="129"/>
      <c r="C185" s="123"/>
      <c r="D185" s="123"/>
      <c r="E185" s="123"/>
      <c r="F185" s="132"/>
      <c r="G185" s="132"/>
      <c r="H185" s="132"/>
      <c r="I185" s="132"/>
      <c r="J185" s="132"/>
    </row>
    <row r="186" spans="2:10" s="33" customFormat="1" ht="17.399999999999999" hidden="1" outlineLevel="1" x14ac:dyDescent="0.35">
      <c r="B186" s="129"/>
      <c r="C186" s="123"/>
      <c r="D186" s="123"/>
      <c r="E186" s="123"/>
      <c r="F186" s="123"/>
      <c r="G186" s="123"/>
      <c r="H186" s="123"/>
      <c r="I186" s="123"/>
      <c r="J186" s="123"/>
    </row>
    <row r="187" spans="2:10" s="33" customFormat="1" ht="17.399999999999999" hidden="1" outlineLevel="1" x14ac:dyDescent="0.35">
      <c r="B187" s="129" t="s">
        <v>139</v>
      </c>
      <c r="C187" s="123"/>
      <c r="D187" s="123"/>
      <c r="E187" s="123"/>
      <c r="F187" s="133"/>
      <c r="G187" s="133"/>
      <c r="H187" s="133"/>
      <c r="I187" s="133"/>
      <c r="J187" s="133"/>
    </row>
    <row r="188" spans="2:10" s="33" customFormat="1" ht="17.399999999999999" hidden="1" outlineLevel="1" x14ac:dyDescent="0.35">
      <c r="B188" s="129" t="s">
        <v>140</v>
      </c>
      <c r="C188" s="123"/>
      <c r="D188" s="123"/>
      <c r="E188" s="123"/>
      <c r="F188" s="133"/>
      <c r="G188" s="133"/>
      <c r="H188" s="133"/>
      <c r="I188" s="133"/>
      <c r="J188" s="133"/>
    </row>
    <row r="189" spans="2:10" s="33" customFormat="1" ht="17.399999999999999" hidden="1" outlineLevel="1" x14ac:dyDescent="0.35">
      <c r="B189" s="129" t="s">
        <v>140</v>
      </c>
      <c r="C189" s="123"/>
      <c r="D189" s="123"/>
      <c r="E189" s="123"/>
      <c r="F189" s="133"/>
      <c r="G189" s="133"/>
      <c r="H189" s="133"/>
      <c r="I189" s="133"/>
      <c r="J189" s="133"/>
    </row>
    <row r="190" spans="2:10" s="33" customFormat="1" ht="17.399999999999999" hidden="1" outlineLevel="1" x14ac:dyDescent="0.35">
      <c r="B190" s="129" t="s">
        <v>140</v>
      </c>
      <c r="C190" s="123"/>
      <c r="D190" s="123"/>
      <c r="E190" s="123"/>
      <c r="F190" s="133"/>
      <c r="G190" s="133"/>
      <c r="H190" s="133"/>
      <c r="I190" s="133"/>
      <c r="J190" s="133"/>
    </row>
    <row r="191" spans="2:10" s="33" customFormat="1" ht="17.399999999999999" hidden="1" outlineLevel="1" x14ac:dyDescent="0.35">
      <c r="B191" s="129" t="s">
        <v>140</v>
      </c>
      <c r="C191" s="123"/>
      <c r="D191" s="123"/>
      <c r="E191" s="123"/>
      <c r="F191" s="133"/>
      <c r="G191" s="133"/>
      <c r="H191" s="133"/>
      <c r="I191" s="133"/>
      <c r="J191" s="133"/>
    </row>
    <row r="192" spans="2:10" s="33" customFormat="1" ht="17.399999999999999" hidden="1" outlineLevel="1" x14ac:dyDescent="0.35">
      <c r="B192" s="129" t="s">
        <v>140</v>
      </c>
      <c r="C192" s="123"/>
      <c r="D192" s="123"/>
      <c r="E192" s="123"/>
      <c r="F192" s="133"/>
      <c r="G192" s="133"/>
      <c r="H192" s="133"/>
      <c r="I192" s="133"/>
      <c r="J192" s="133"/>
    </row>
    <row r="193" spans="2:10" s="33" customFormat="1" ht="17.399999999999999" hidden="1" outlineLevel="1" x14ac:dyDescent="0.35">
      <c r="B193" s="134" t="s">
        <v>141</v>
      </c>
      <c r="C193" s="123"/>
      <c r="D193" s="123"/>
      <c r="E193" s="123"/>
      <c r="F193" s="135"/>
      <c r="G193" s="135"/>
      <c r="H193" s="135"/>
      <c r="I193" s="135"/>
      <c r="J193" s="135"/>
    </row>
    <row r="194" spans="2:10" s="33" customFormat="1" ht="17.399999999999999" hidden="1" outlineLevel="1" x14ac:dyDescent="0.35">
      <c r="C194" s="52"/>
      <c r="D194" s="52"/>
      <c r="E194" s="52"/>
      <c r="F194" s="52"/>
      <c r="G194" s="52"/>
      <c r="H194" s="52"/>
      <c r="I194" s="52"/>
      <c r="J194" s="52"/>
    </row>
    <row r="195" spans="2:10" s="33" customFormat="1" ht="17.399999999999999" hidden="1" outlineLevel="1" x14ac:dyDescent="0.35">
      <c r="C195" s="52"/>
      <c r="D195" s="52"/>
      <c r="E195" s="52"/>
      <c r="F195" s="52"/>
      <c r="G195" s="52"/>
      <c r="H195" s="52"/>
      <c r="I195" s="52"/>
      <c r="J195" s="52"/>
    </row>
    <row r="196" spans="2:10" s="33" customFormat="1" ht="17.399999999999999" hidden="1" outlineLevel="1" x14ac:dyDescent="0.35">
      <c r="B196" s="193" t="s">
        <v>142</v>
      </c>
      <c r="C196" s="52"/>
      <c r="D196" s="52"/>
      <c r="E196" s="52"/>
      <c r="F196" s="52"/>
      <c r="G196" s="52"/>
      <c r="H196" s="52"/>
      <c r="I196" s="52"/>
      <c r="J196" s="52"/>
    </row>
    <row r="197" spans="2:10" s="33" customFormat="1" ht="17.399999999999999" hidden="1" outlineLevel="1" x14ac:dyDescent="0.35">
      <c r="B197" s="193"/>
      <c r="C197" s="52"/>
      <c r="D197" s="52"/>
      <c r="E197" s="52"/>
      <c r="F197" s="52"/>
      <c r="G197" s="52"/>
      <c r="H197" s="52"/>
      <c r="I197" s="52"/>
      <c r="J197" s="52"/>
    </row>
    <row r="198" spans="2:10" s="33" customFormat="1" ht="18" hidden="1" outlineLevel="1" x14ac:dyDescent="0.35">
      <c r="B198" s="108"/>
      <c r="C198" s="52"/>
      <c r="D198" s="52"/>
      <c r="E198" s="52"/>
      <c r="F198" s="52"/>
      <c r="G198" s="52"/>
      <c r="H198" s="52"/>
      <c r="I198" s="52"/>
      <c r="J198" s="52"/>
    </row>
    <row r="199" spans="2:10" s="33" customFormat="1" ht="17.399999999999999" hidden="1" outlineLevel="1" x14ac:dyDescent="0.35">
      <c r="B199" s="43" t="s">
        <v>143</v>
      </c>
      <c r="C199" s="52"/>
      <c r="D199" s="52"/>
      <c r="E199" s="52"/>
      <c r="F199" s="52"/>
      <c r="G199" s="52"/>
      <c r="H199" s="52"/>
      <c r="I199" s="52"/>
      <c r="J199" s="52"/>
    </row>
    <row r="200" spans="2:10" s="33" customFormat="1" ht="17.399999999999999" hidden="1" outlineLevel="1" x14ac:dyDescent="0.35">
      <c r="B200" s="58" t="s">
        <v>113</v>
      </c>
      <c r="C200" s="52"/>
      <c r="D200" s="52"/>
      <c r="E200" s="73">
        <f>D202</f>
        <v>10605</v>
      </c>
      <c r="F200" s="73">
        <f>E202</f>
        <v>10492</v>
      </c>
      <c r="G200" s="73">
        <f t="shared" ref="G200:J200" si="102">F202</f>
        <v>10492</v>
      </c>
      <c r="H200" s="73">
        <f t="shared" si="102"/>
        <v>10492</v>
      </c>
      <c r="I200" s="73">
        <f t="shared" si="102"/>
        <v>10492</v>
      </c>
      <c r="J200" s="73">
        <f t="shared" si="102"/>
        <v>10492</v>
      </c>
    </row>
    <row r="201" spans="2:10" s="33" customFormat="1" ht="17.399999999999999" hidden="1" outlineLevel="1" x14ac:dyDescent="0.35">
      <c r="B201" s="111" t="s">
        <v>114</v>
      </c>
      <c r="C201" s="52"/>
      <c r="D201" s="52"/>
      <c r="E201" s="52"/>
      <c r="F201" s="74"/>
      <c r="G201" s="74"/>
      <c r="H201" s="74"/>
      <c r="I201" s="74"/>
      <c r="J201" s="74"/>
    </row>
    <row r="202" spans="2:10" s="33" customFormat="1" ht="17.399999999999999" hidden="1" outlineLevel="1" x14ac:dyDescent="0.35">
      <c r="B202" s="58" t="s">
        <v>115</v>
      </c>
      <c r="C202" s="52"/>
      <c r="D202" s="73">
        <f>D92</f>
        <v>10605</v>
      </c>
      <c r="E202" s="73">
        <f t="shared" ref="E202" si="103">E92</f>
        <v>10492</v>
      </c>
      <c r="F202" s="73">
        <f>SUM(F200:F201)</f>
        <v>10492</v>
      </c>
      <c r="G202" s="73">
        <f t="shared" ref="G202:J202" si="104">SUM(G200:G201)</f>
        <v>10492</v>
      </c>
      <c r="H202" s="73">
        <f t="shared" si="104"/>
        <v>10492</v>
      </c>
      <c r="I202" s="73">
        <f t="shared" si="104"/>
        <v>10492</v>
      </c>
      <c r="J202" s="73">
        <f t="shared" si="104"/>
        <v>10492</v>
      </c>
    </row>
    <row r="203" spans="2:10" s="33" customFormat="1" ht="17.399999999999999" hidden="1" outlineLevel="1" x14ac:dyDescent="0.35">
      <c r="B203" s="58"/>
      <c r="C203" s="52"/>
      <c r="D203" s="73"/>
      <c r="E203" s="73"/>
      <c r="G203" s="73"/>
      <c r="H203" s="73"/>
      <c r="I203" s="73"/>
      <c r="J203" s="73"/>
    </row>
    <row r="204" spans="2:10" s="33" customFormat="1" ht="17.399999999999999" hidden="1" outlineLevel="1" x14ac:dyDescent="0.35">
      <c r="B204" s="43" t="s">
        <v>94</v>
      </c>
      <c r="C204" s="52"/>
      <c r="D204" s="52"/>
      <c r="E204" s="52"/>
      <c r="F204" s="52"/>
      <c r="G204" s="52"/>
      <c r="H204" s="52"/>
      <c r="I204" s="52"/>
      <c r="J204" s="52"/>
    </row>
    <row r="205" spans="2:10" s="33" customFormat="1" ht="17.399999999999999" hidden="1" outlineLevel="1" x14ac:dyDescent="0.35">
      <c r="B205" s="58" t="s">
        <v>113</v>
      </c>
      <c r="C205" s="52"/>
      <c r="D205" s="52"/>
      <c r="E205" s="73">
        <f>D207</f>
        <v>8182</v>
      </c>
      <c r="F205" s="73">
        <f>E207</f>
        <v>7833</v>
      </c>
      <c r="G205" s="73">
        <f t="shared" ref="G205:J205" si="105">F207</f>
        <v>7833</v>
      </c>
      <c r="H205" s="73">
        <f t="shared" si="105"/>
        <v>7833</v>
      </c>
      <c r="I205" s="73">
        <f t="shared" si="105"/>
        <v>7833</v>
      </c>
      <c r="J205" s="73">
        <f t="shared" si="105"/>
        <v>7833</v>
      </c>
    </row>
    <row r="206" spans="2:10" s="33" customFormat="1" ht="17.399999999999999" hidden="1" outlineLevel="1" x14ac:dyDescent="0.35">
      <c r="B206" s="111" t="s">
        <v>114</v>
      </c>
      <c r="C206" s="52"/>
      <c r="D206" s="52"/>
      <c r="E206" s="52"/>
      <c r="F206" s="74">
        <v>0</v>
      </c>
      <c r="G206" s="74">
        <v>0</v>
      </c>
      <c r="H206" s="74">
        <v>0</v>
      </c>
      <c r="I206" s="74">
        <v>0</v>
      </c>
      <c r="J206" s="74">
        <v>0</v>
      </c>
    </row>
    <row r="207" spans="2:10" s="33" customFormat="1" ht="17.399999999999999" hidden="1" outlineLevel="1" x14ac:dyDescent="0.35">
      <c r="B207" s="58" t="s">
        <v>115</v>
      </c>
      <c r="C207" s="52"/>
      <c r="D207" s="73">
        <f>D112</f>
        <v>8182</v>
      </c>
      <c r="E207" s="73">
        <f>E112</f>
        <v>7833</v>
      </c>
      <c r="F207" s="73">
        <f>SUM(F205:F206)</f>
        <v>7833</v>
      </c>
      <c r="G207" s="73">
        <f t="shared" ref="G207:J207" si="106">SUM(G205:G206)</f>
        <v>7833</v>
      </c>
      <c r="H207" s="73">
        <f t="shared" si="106"/>
        <v>7833</v>
      </c>
      <c r="I207" s="73">
        <f t="shared" si="106"/>
        <v>7833</v>
      </c>
      <c r="J207" s="73">
        <f t="shared" si="106"/>
        <v>7833</v>
      </c>
    </row>
    <row r="208" spans="2:10" s="33" customFormat="1" ht="17.399999999999999" hidden="1" outlineLevel="1" x14ac:dyDescent="0.35">
      <c r="C208" s="52"/>
      <c r="D208" s="52"/>
      <c r="E208" s="52"/>
      <c r="F208" s="52"/>
      <c r="G208" s="52"/>
      <c r="H208" s="52"/>
      <c r="I208" s="52"/>
      <c r="J208" s="52"/>
    </row>
    <row r="209" spans="2:10" s="33" customFormat="1" ht="17.399999999999999" hidden="1" outlineLevel="1" x14ac:dyDescent="0.35">
      <c r="B209" s="43" t="s">
        <v>144</v>
      </c>
      <c r="C209" s="52"/>
      <c r="D209" s="52"/>
      <c r="E209" s="52"/>
      <c r="F209" s="52"/>
      <c r="G209" s="52"/>
      <c r="H209" s="52"/>
      <c r="I209" s="52"/>
      <c r="J209" s="52"/>
    </row>
    <row r="210" spans="2:10" s="33" customFormat="1" ht="17.399999999999999" hidden="1" outlineLevel="1" x14ac:dyDescent="0.35">
      <c r="B210" s="58" t="s">
        <v>113</v>
      </c>
      <c r="C210" s="52"/>
      <c r="D210" s="52"/>
      <c r="E210" s="52"/>
      <c r="F210" s="73">
        <f>E212</f>
        <v>2677</v>
      </c>
      <c r="G210" s="73">
        <f t="shared" ref="G210:J210" si="107">F212</f>
        <v>2677</v>
      </c>
      <c r="H210" s="73">
        <f t="shared" si="107"/>
        <v>2677</v>
      </c>
      <c r="I210" s="73">
        <f t="shared" si="107"/>
        <v>2677</v>
      </c>
      <c r="J210" s="73">
        <f t="shared" si="107"/>
        <v>2677</v>
      </c>
    </row>
    <row r="211" spans="2:10" s="33" customFormat="1" ht="17.399999999999999" hidden="1" outlineLevel="1" x14ac:dyDescent="0.35">
      <c r="B211" s="111" t="s">
        <v>114</v>
      </c>
      <c r="C211" s="52"/>
      <c r="D211" s="52"/>
      <c r="E211" s="52"/>
      <c r="F211" s="74">
        <v>0</v>
      </c>
      <c r="G211" s="74">
        <v>0</v>
      </c>
      <c r="H211" s="74">
        <v>0</v>
      </c>
      <c r="I211" s="74">
        <v>0</v>
      </c>
      <c r="J211" s="74">
        <v>0</v>
      </c>
    </row>
    <row r="212" spans="2:10" s="33" customFormat="1" ht="17.399999999999999" hidden="1" outlineLevel="1" x14ac:dyDescent="0.35">
      <c r="B212" s="58" t="s">
        <v>115</v>
      </c>
      <c r="C212" s="52"/>
      <c r="D212" s="73">
        <f>D101</f>
        <v>2231</v>
      </c>
      <c r="E212" s="73">
        <f>E101</f>
        <v>2677</v>
      </c>
      <c r="F212" s="73">
        <f>SUM(F210:F211)</f>
        <v>2677</v>
      </c>
      <c r="G212" s="73">
        <f t="shared" ref="G212:J212" si="108">SUM(G210:G211)</f>
        <v>2677</v>
      </c>
      <c r="H212" s="73">
        <f t="shared" si="108"/>
        <v>2677</v>
      </c>
      <c r="I212" s="73">
        <f t="shared" si="108"/>
        <v>2677</v>
      </c>
      <c r="J212" s="73">
        <f t="shared" si="108"/>
        <v>2677</v>
      </c>
    </row>
    <row r="213" spans="2:10" s="33" customFormat="1" ht="17.399999999999999" hidden="1" outlineLevel="1" x14ac:dyDescent="0.35">
      <c r="C213" s="52"/>
      <c r="D213" s="52"/>
      <c r="E213" s="52"/>
      <c r="F213" s="52"/>
      <c r="G213" s="52"/>
      <c r="H213" s="52"/>
      <c r="I213" s="52"/>
      <c r="J213" s="52"/>
    </row>
    <row r="214" spans="2:10" s="33" customFormat="1" ht="17.399999999999999" hidden="1" outlineLevel="1" x14ac:dyDescent="0.35">
      <c r="B214" s="43" t="s">
        <v>85</v>
      </c>
      <c r="C214" s="52"/>
      <c r="D214" s="52"/>
      <c r="E214" s="52"/>
      <c r="F214" s="52"/>
      <c r="G214" s="52"/>
      <c r="H214" s="52"/>
      <c r="I214" s="52"/>
      <c r="J214" s="52"/>
    </row>
    <row r="215" spans="2:10" s="33" customFormat="1" ht="17.399999999999999" hidden="1" outlineLevel="1" x14ac:dyDescent="0.35">
      <c r="B215" s="58" t="s">
        <v>113</v>
      </c>
      <c r="C215" s="52"/>
      <c r="D215" s="52"/>
      <c r="E215" s="73">
        <f>D217</f>
        <v>1523</v>
      </c>
      <c r="F215" s="73">
        <f>E217</f>
        <v>2196</v>
      </c>
      <c r="G215" s="73">
        <f t="shared" ref="G215:J215" si="109">F217</f>
        <v>2196</v>
      </c>
      <c r="H215" s="73">
        <f t="shared" si="109"/>
        <v>2196</v>
      </c>
      <c r="I215" s="73">
        <f t="shared" si="109"/>
        <v>2196</v>
      </c>
      <c r="J215" s="73">
        <f t="shared" si="109"/>
        <v>2196</v>
      </c>
    </row>
    <row r="216" spans="2:10" s="33" customFormat="1" ht="17.399999999999999" hidden="1" outlineLevel="1" x14ac:dyDescent="0.35">
      <c r="B216" s="111" t="s">
        <v>114</v>
      </c>
      <c r="C216" s="52"/>
      <c r="D216" s="52"/>
      <c r="E216" s="52"/>
      <c r="F216" s="74">
        <v>0</v>
      </c>
      <c r="G216" s="74">
        <v>0</v>
      </c>
      <c r="H216" s="74">
        <v>0</v>
      </c>
      <c r="I216" s="74">
        <v>0</v>
      </c>
      <c r="J216" s="74">
        <v>0</v>
      </c>
    </row>
    <row r="217" spans="2:10" s="33" customFormat="1" ht="17.399999999999999" hidden="1" outlineLevel="1" x14ac:dyDescent="0.35">
      <c r="B217" s="58" t="s">
        <v>115</v>
      </c>
      <c r="C217" s="52"/>
      <c r="D217" s="73">
        <f>D102</f>
        <v>1523</v>
      </c>
      <c r="E217" s="73">
        <f>E102</f>
        <v>2196</v>
      </c>
      <c r="F217" s="73">
        <f>SUM(F215:F216)</f>
        <v>2196</v>
      </c>
      <c r="G217" s="73">
        <f t="shared" ref="G217:J217" si="110">SUM(G215:G216)</f>
        <v>2196</v>
      </c>
      <c r="H217" s="73">
        <f t="shared" si="110"/>
        <v>2196</v>
      </c>
      <c r="I217" s="73">
        <f t="shared" si="110"/>
        <v>2196</v>
      </c>
      <c r="J217" s="73">
        <f t="shared" si="110"/>
        <v>2196</v>
      </c>
    </row>
    <row r="218" spans="2:10" s="33" customFormat="1" ht="17.399999999999999" hidden="1" outlineLevel="1" x14ac:dyDescent="0.35">
      <c r="C218" s="52"/>
      <c r="D218" s="52"/>
      <c r="E218" s="52"/>
      <c r="F218" s="52"/>
      <c r="G218" s="52"/>
      <c r="H218" s="52"/>
      <c r="I218" s="52"/>
      <c r="J218" s="52"/>
    </row>
    <row r="219" spans="2:10" s="33" customFormat="1" ht="17.399999999999999" hidden="1" outlineLevel="1" x14ac:dyDescent="0.35">
      <c r="B219" s="43" t="s">
        <v>145</v>
      </c>
      <c r="C219" s="52"/>
      <c r="D219" s="52"/>
      <c r="E219" s="52"/>
      <c r="F219" s="52"/>
      <c r="G219" s="52"/>
      <c r="H219" s="52"/>
      <c r="I219" s="52"/>
      <c r="J219" s="52"/>
    </row>
    <row r="220" spans="2:10" s="33" customFormat="1" ht="17.399999999999999" hidden="1" outlineLevel="1" x14ac:dyDescent="0.35">
      <c r="B220" s="58" t="s">
        <v>113</v>
      </c>
      <c r="C220" s="52"/>
      <c r="D220" s="52"/>
      <c r="E220" s="73">
        <f>D222</f>
        <v>1666</v>
      </c>
      <c r="F220" s="73">
        <f>E222</f>
        <v>1968</v>
      </c>
      <c r="G220" s="73">
        <f t="shared" ref="G220:J220" si="111">F222</f>
        <v>1968</v>
      </c>
      <c r="H220" s="73">
        <f t="shared" si="111"/>
        <v>1968</v>
      </c>
      <c r="I220" s="73">
        <f t="shared" si="111"/>
        <v>1968</v>
      </c>
      <c r="J220" s="73">
        <f t="shared" si="111"/>
        <v>1968</v>
      </c>
    </row>
    <row r="221" spans="2:10" s="33" customFormat="1" ht="17.399999999999999" hidden="1" outlineLevel="1" x14ac:dyDescent="0.35">
      <c r="B221" s="111" t="s">
        <v>114</v>
      </c>
      <c r="C221" s="52"/>
      <c r="D221" s="52"/>
      <c r="E221" s="52"/>
      <c r="F221" s="74">
        <v>0</v>
      </c>
      <c r="G221" s="74">
        <v>0</v>
      </c>
      <c r="H221" s="74">
        <v>0</v>
      </c>
      <c r="I221" s="74">
        <v>0</v>
      </c>
      <c r="J221" s="74">
        <v>0</v>
      </c>
    </row>
    <row r="222" spans="2:10" s="33" customFormat="1" ht="17.399999999999999" hidden="1" outlineLevel="1" x14ac:dyDescent="0.35">
      <c r="B222" s="58" t="s">
        <v>115</v>
      </c>
      <c r="C222" s="52"/>
      <c r="D222" s="73">
        <f>D117</f>
        <v>1666</v>
      </c>
      <c r="E222" s="73">
        <f>E117</f>
        <v>1968</v>
      </c>
      <c r="F222" s="73">
        <f>SUM(F220:F221)</f>
        <v>1968</v>
      </c>
      <c r="G222" s="73">
        <f t="shared" ref="G222:J222" si="112">SUM(G220:G221)</f>
        <v>1968</v>
      </c>
      <c r="H222" s="73">
        <f t="shared" si="112"/>
        <v>1968</v>
      </c>
      <c r="I222" s="73">
        <f t="shared" si="112"/>
        <v>1968</v>
      </c>
      <c r="J222" s="73">
        <f t="shared" si="112"/>
        <v>1968</v>
      </c>
    </row>
    <row r="223" spans="2:10" s="33" customFormat="1" ht="17.399999999999999" hidden="1" outlineLevel="1" x14ac:dyDescent="0.35">
      <c r="B223" s="58"/>
      <c r="C223" s="52"/>
      <c r="D223" s="73"/>
      <c r="E223" s="73"/>
      <c r="F223" s="73"/>
      <c r="G223" s="73"/>
      <c r="H223" s="73"/>
      <c r="I223" s="73"/>
      <c r="J223" s="73"/>
    </row>
    <row r="224" spans="2:10" s="33" customFormat="1" ht="17.399999999999999" hidden="1" outlineLevel="1" x14ac:dyDescent="0.35">
      <c r="B224" s="43" t="s">
        <v>83</v>
      </c>
      <c r="C224" s="52"/>
      <c r="D224" s="52"/>
      <c r="E224" s="52"/>
      <c r="F224" s="52"/>
      <c r="G224" s="52"/>
      <c r="H224" s="52"/>
      <c r="I224" s="52"/>
      <c r="J224" s="52"/>
    </row>
    <row r="225" spans="2:10" s="33" customFormat="1" ht="17.399999999999999" hidden="1" outlineLevel="1" x14ac:dyDescent="0.35">
      <c r="B225" s="58" t="s">
        <v>113</v>
      </c>
      <c r="C225" s="52"/>
      <c r="D225" s="52"/>
      <c r="E225" s="73">
        <f>D227</f>
        <v>3014</v>
      </c>
      <c r="F225" s="73">
        <f t="shared" ref="F225:J225" si="113">E227</f>
        <v>980</v>
      </c>
      <c r="G225" s="73">
        <f t="shared" ca="1" si="113"/>
        <v>1020.4334913432334</v>
      </c>
      <c r="H225" s="73">
        <f t="shared" ca="1" si="113"/>
        <v>1054.4441417126675</v>
      </c>
      <c r="I225" s="73">
        <f t="shared" ca="1" si="113"/>
        <v>1098.950792651829</v>
      </c>
      <c r="J225" s="73">
        <f t="shared" ca="1" si="113"/>
        <v>1144.8617894182923</v>
      </c>
    </row>
    <row r="226" spans="2:10" s="33" customFormat="1" ht="17.399999999999999" hidden="1" outlineLevel="1" x14ac:dyDescent="0.35">
      <c r="B226" s="111" t="s">
        <v>114</v>
      </c>
      <c r="C226" s="52"/>
      <c r="D226" s="52"/>
      <c r="E226" s="52"/>
      <c r="F226" s="121">
        <f ca="1">F227-F225</f>
        <v>40.433491343233413</v>
      </c>
      <c r="G226" s="121">
        <f t="shared" ref="G226:J226" ca="1" si="114">G227-G225</f>
        <v>34.010650369434074</v>
      </c>
      <c r="H226" s="121">
        <f t="shared" ca="1" si="114"/>
        <v>44.506650939161545</v>
      </c>
      <c r="I226" s="121">
        <f t="shared" ca="1" si="114"/>
        <v>45.910996766463313</v>
      </c>
      <c r="J226" s="121">
        <f t="shared" ca="1" si="114"/>
        <v>52.119926579113326</v>
      </c>
    </row>
    <row r="227" spans="2:10" s="33" customFormat="1" ht="17.399999999999999" hidden="1" outlineLevel="1" x14ac:dyDescent="0.35">
      <c r="B227" s="58" t="s">
        <v>115</v>
      </c>
      <c r="C227" s="52"/>
      <c r="D227" s="73">
        <f>D100</f>
        <v>3014</v>
      </c>
      <c r="E227" s="73">
        <f>E100</f>
        <v>980</v>
      </c>
      <c r="F227" s="74">
        <f ca="1">E227*(1+F54)</f>
        <v>1020.4334913432334</v>
      </c>
      <c r="G227" s="74">
        <f t="shared" ref="G227:J227" ca="1" si="115">F227*(1+G54)</f>
        <v>1054.4441417126675</v>
      </c>
      <c r="H227" s="74">
        <f t="shared" ca="1" si="115"/>
        <v>1098.950792651829</v>
      </c>
      <c r="I227" s="74">
        <f t="shared" ca="1" si="115"/>
        <v>1144.8617894182923</v>
      </c>
      <c r="J227" s="74">
        <f t="shared" ca="1" si="115"/>
        <v>1196.9817159974057</v>
      </c>
    </row>
    <row r="228" spans="2:10" s="33" customFormat="1" ht="17.399999999999999" hidden="1" outlineLevel="1" x14ac:dyDescent="0.35">
      <c r="B228" s="58"/>
      <c r="C228" s="52"/>
      <c r="D228" s="73"/>
      <c r="E228" s="73"/>
      <c r="F228" s="73"/>
      <c r="G228" s="73"/>
      <c r="H228" s="73"/>
      <c r="I228" s="73"/>
      <c r="J228" s="73"/>
    </row>
    <row r="229" spans="2:10" s="33" customFormat="1" ht="17.399999999999999" hidden="1" outlineLevel="1" x14ac:dyDescent="0.35">
      <c r="B229" s="43" t="s">
        <v>78</v>
      </c>
      <c r="C229" s="52"/>
      <c r="D229" s="52"/>
      <c r="E229" s="52"/>
      <c r="F229" s="52"/>
      <c r="G229" s="52"/>
      <c r="H229" s="52"/>
      <c r="I229" s="52"/>
      <c r="J229" s="52"/>
    </row>
    <row r="230" spans="2:10" s="33" customFormat="1" ht="17.399999999999999" hidden="1" outlineLevel="1" x14ac:dyDescent="0.35">
      <c r="B230" s="58" t="s">
        <v>113</v>
      </c>
      <c r="C230" s="52"/>
      <c r="D230" s="52"/>
      <c r="E230" s="73">
        <f>D232</f>
        <v>1363</v>
      </c>
      <c r="F230" s="73">
        <f>E232</f>
        <v>1767</v>
      </c>
      <c r="G230" s="73">
        <f t="shared" ref="G230:J230" si="116">F232</f>
        <v>1767</v>
      </c>
      <c r="H230" s="73">
        <f t="shared" si="116"/>
        <v>1767</v>
      </c>
      <c r="I230" s="73">
        <f t="shared" si="116"/>
        <v>1767</v>
      </c>
      <c r="J230" s="73">
        <f t="shared" si="116"/>
        <v>1767</v>
      </c>
    </row>
    <row r="231" spans="2:10" s="33" customFormat="1" ht="17.399999999999999" hidden="1" outlineLevel="1" x14ac:dyDescent="0.35">
      <c r="B231" s="111" t="s">
        <v>114</v>
      </c>
      <c r="C231" s="52"/>
      <c r="D231" s="52"/>
      <c r="E231" s="52"/>
      <c r="F231" s="74">
        <v>0</v>
      </c>
      <c r="G231" s="74">
        <v>0</v>
      </c>
      <c r="H231" s="74">
        <v>0</v>
      </c>
      <c r="I231" s="74">
        <v>0</v>
      </c>
      <c r="J231" s="74">
        <v>0</v>
      </c>
    </row>
    <row r="232" spans="2:10" s="33" customFormat="1" ht="17.399999999999999" hidden="1" outlineLevel="1" x14ac:dyDescent="0.35">
      <c r="B232" s="58" t="s">
        <v>115</v>
      </c>
      <c r="C232" s="52"/>
      <c r="D232" s="73">
        <f>D95</f>
        <v>1363</v>
      </c>
      <c r="E232" s="73">
        <f>E95</f>
        <v>1767</v>
      </c>
      <c r="F232" s="73">
        <f>SUM(F230:F231)</f>
        <v>1767</v>
      </c>
      <c r="G232" s="73">
        <f t="shared" ref="G232:J232" si="117">SUM(G230:G231)</f>
        <v>1767</v>
      </c>
      <c r="H232" s="73">
        <f t="shared" si="117"/>
        <v>1767</v>
      </c>
      <c r="I232" s="73">
        <f t="shared" si="117"/>
        <v>1767</v>
      </c>
      <c r="J232" s="73">
        <f t="shared" si="117"/>
        <v>1767</v>
      </c>
    </row>
    <row r="233" spans="2:10" s="33" customFormat="1" ht="17.399999999999999" hidden="1" outlineLevel="1" x14ac:dyDescent="0.35">
      <c r="B233" s="58"/>
      <c r="C233" s="52"/>
      <c r="D233" s="73"/>
      <c r="E233" s="73"/>
      <c r="F233" s="73"/>
      <c r="G233" s="73"/>
      <c r="H233" s="73"/>
      <c r="I233" s="73"/>
      <c r="J233" s="73"/>
    </row>
    <row r="234" spans="2:10" s="33" customFormat="1" ht="17.399999999999999" hidden="1" outlineLevel="1" x14ac:dyDescent="0.35">
      <c r="B234" s="43" t="s">
        <v>80</v>
      </c>
      <c r="C234" s="52"/>
      <c r="D234" s="52"/>
      <c r="E234" s="52"/>
      <c r="F234" s="52"/>
      <c r="G234" s="52"/>
      <c r="H234" s="52"/>
      <c r="I234" s="52"/>
      <c r="J234" s="52"/>
    </row>
    <row r="235" spans="2:10" s="33" customFormat="1" ht="17.399999999999999" hidden="1" outlineLevel="1" x14ac:dyDescent="0.35">
      <c r="B235" s="58" t="s">
        <v>113</v>
      </c>
      <c r="C235" s="52"/>
      <c r="D235" s="52"/>
      <c r="E235" s="73">
        <f>D237</f>
        <v>99</v>
      </c>
      <c r="F235" s="73">
        <f t="shared" ref="F235:J235" si="118">E237</f>
        <v>2433</v>
      </c>
      <c r="G235" s="73">
        <f t="shared" si="118"/>
        <v>2433</v>
      </c>
      <c r="H235" s="73">
        <f t="shared" si="118"/>
        <v>2433</v>
      </c>
      <c r="I235" s="73">
        <f t="shared" si="118"/>
        <v>2433</v>
      </c>
      <c r="J235" s="73">
        <f t="shared" si="118"/>
        <v>2433</v>
      </c>
    </row>
    <row r="236" spans="2:10" s="33" customFormat="1" ht="17.399999999999999" hidden="1" outlineLevel="1" x14ac:dyDescent="0.35">
      <c r="B236" s="111" t="s">
        <v>114</v>
      </c>
      <c r="C236" s="52"/>
      <c r="D236" s="52"/>
      <c r="E236" s="52"/>
      <c r="F236" s="74">
        <v>0</v>
      </c>
      <c r="G236" s="74">
        <v>0</v>
      </c>
      <c r="H236" s="74">
        <v>0</v>
      </c>
      <c r="I236" s="74">
        <v>0</v>
      </c>
      <c r="J236" s="74">
        <v>0</v>
      </c>
    </row>
    <row r="237" spans="2:10" s="33" customFormat="1" ht="17.399999999999999" hidden="1" outlineLevel="1" x14ac:dyDescent="0.35">
      <c r="B237" s="58" t="s">
        <v>115</v>
      </c>
      <c r="C237" s="52"/>
      <c r="D237" s="73">
        <f>D97</f>
        <v>99</v>
      </c>
      <c r="E237" s="73">
        <f>E97</f>
        <v>2433</v>
      </c>
      <c r="F237" s="73">
        <f>SUM(F235:F236)</f>
        <v>2433</v>
      </c>
      <c r="G237" s="73">
        <f t="shared" ref="G237:J237" si="119">SUM(G235:G236)</f>
        <v>2433</v>
      </c>
      <c r="H237" s="73">
        <f t="shared" si="119"/>
        <v>2433</v>
      </c>
      <c r="I237" s="73">
        <f t="shared" si="119"/>
        <v>2433</v>
      </c>
      <c r="J237" s="73">
        <f t="shared" si="119"/>
        <v>2433</v>
      </c>
    </row>
    <row r="238" spans="2:10" s="33" customFormat="1" ht="17.399999999999999" hidden="1" outlineLevel="1" x14ac:dyDescent="0.35">
      <c r="B238" s="58"/>
      <c r="C238" s="52"/>
      <c r="D238" s="73"/>
      <c r="E238" s="73"/>
      <c r="F238" s="73"/>
      <c r="G238" s="73"/>
      <c r="H238" s="73"/>
      <c r="I238" s="73"/>
      <c r="J238" s="73"/>
    </row>
    <row r="239" spans="2:10" s="33" customFormat="1" ht="17.399999999999999" hidden="1" outlineLevel="1" x14ac:dyDescent="0.35">
      <c r="B239" s="43" t="s">
        <v>146</v>
      </c>
      <c r="C239" s="52"/>
      <c r="D239" s="73"/>
      <c r="E239" s="73"/>
      <c r="F239" s="73"/>
      <c r="G239" s="73"/>
      <c r="H239" s="73"/>
      <c r="I239" s="73"/>
      <c r="J239" s="73"/>
    </row>
    <row r="240" spans="2:10" s="33" customFormat="1" ht="17.399999999999999" hidden="1" outlineLevel="1" x14ac:dyDescent="0.35">
      <c r="B240" s="92" t="s">
        <v>113</v>
      </c>
      <c r="C240" s="52"/>
      <c r="D240" s="73"/>
      <c r="E240" s="73">
        <f>D242</f>
        <v>50</v>
      </c>
      <c r="F240" s="73">
        <f>E242</f>
        <v>1245</v>
      </c>
      <c r="G240" s="73">
        <f t="shared" ref="G240:J240" si="120">F242</f>
        <v>1245</v>
      </c>
      <c r="H240" s="73">
        <f t="shared" si="120"/>
        <v>1245</v>
      </c>
      <c r="I240" s="73">
        <f t="shared" si="120"/>
        <v>1245</v>
      </c>
      <c r="J240" s="73">
        <f t="shared" si="120"/>
        <v>1245</v>
      </c>
    </row>
    <row r="241" spans="2:10" s="33" customFormat="1" ht="17.399999999999999" hidden="1" outlineLevel="1" x14ac:dyDescent="0.35">
      <c r="B241" s="92" t="s">
        <v>114</v>
      </c>
      <c r="C241" s="52"/>
      <c r="D241" s="73"/>
      <c r="E241" s="73"/>
      <c r="F241" s="74">
        <v>0</v>
      </c>
      <c r="G241" s="74">
        <v>0</v>
      </c>
      <c r="H241" s="74">
        <v>0</v>
      </c>
      <c r="I241" s="74">
        <v>0</v>
      </c>
      <c r="J241" s="74">
        <v>0</v>
      </c>
    </row>
    <row r="242" spans="2:10" s="33" customFormat="1" ht="17.399999999999999" hidden="1" outlineLevel="1" x14ac:dyDescent="0.35">
      <c r="B242" s="33" t="s">
        <v>115</v>
      </c>
      <c r="C242" s="52"/>
      <c r="D242" s="73">
        <f>D113</f>
        <v>50</v>
      </c>
      <c r="E242" s="73">
        <f t="shared" ref="E242" si="121">E113</f>
        <v>1245</v>
      </c>
      <c r="F242" s="73">
        <f>SUM(F240:F241)</f>
        <v>1245</v>
      </c>
      <c r="G242" s="73">
        <f t="shared" ref="G242:J242" si="122">SUM(G240:G241)</f>
        <v>1245</v>
      </c>
      <c r="H242" s="73">
        <f t="shared" si="122"/>
        <v>1245</v>
      </c>
      <c r="I242" s="73">
        <f t="shared" si="122"/>
        <v>1245</v>
      </c>
      <c r="J242" s="73">
        <f t="shared" si="122"/>
        <v>1245</v>
      </c>
    </row>
    <row r="243" spans="2:10" s="33" customFormat="1" ht="17.399999999999999" hidden="1" outlineLevel="1" x14ac:dyDescent="0.35">
      <c r="B243" s="58"/>
      <c r="C243" s="52"/>
      <c r="D243" s="73"/>
      <c r="E243" s="73"/>
      <c r="F243" s="73"/>
      <c r="G243" s="73"/>
      <c r="H243" s="73"/>
      <c r="I243" s="73"/>
      <c r="J243" s="73"/>
    </row>
    <row r="244" spans="2:10" s="33" customFormat="1" ht="17.399999999999999" hidden="1" outlineLevel="1" x14ac:dyDescent="0.35">
      <c r="B244" s="43" t="s">
        <v>147</v>
      </c>
      <c r="C244" s="52"/>
      <c r="D244" s="52"/>
      <c r="E244" s="52"/>
      <c r="F244" s="52"/>
      <c r="G244" s="52"/>
      <c r="H244" s="52"/>
      <c r="I244" s="52"/>
      <c r="J244" s="52"/>
    </row>
    <row r="245" spans="2:10" s="33" customFormat="1" ht="17.399999999999999" hidden="1" outlineLevel="1" x14ac:dyDescent="0.35">
      <c r="B245" s="58" t="s">
        <v>113</v>
      </c>
      <c r="C245" s="52"/>
      <c r="D245" s="52"/>
      <c r="E245" s="73">
        <f>D247</f>
        <v>5540</v>
      </c>
      <c r="F245" s="73">
        <f>E247</f>
        <v>4762</v>
      </c>
      <c r="G245" s="73">
        <f t="shared" ref="G245:J245" si="123">F247</f>
        <v>4762</v>
      </c>
      <c r="H245" s="73">
        <f t="shared" si="123"/>
        <v>4762</v>
      </c>
      <c r="I245" s="73">
        <f t="shared" si="123"/>
        <v>4762</v>
      </c>
      <c r="J245" s="73">
        <f t="shared" si="123"/>
        <v>4762</v>
      </c>
    </row>
    <row r="246" spans="2:10" s="33" customFormat="1" ht="17.399999999999999" hidden="1" outlineLevel="1" x14ac:dyDescent="0.35">
      <c r="B246" s="111" t="s">
        <v>114</v>
      </c>
      <c r="C246" s="52"/>
      <c r="D246" s="52"/>
      <c r="E246" s="52"/>
      <c r="F246" s="74">
        <v>0</v>
      </c>
      <c r="G246" s="74">
        <v>0</v>
      </c>
      <c r="H246" s="74">
        <v>0</v>
      </c>
      <c r="I246" s="74">
        <v>0</v>
      </c>
      <c r="J246" s="74">
        <v>0</v>
      </c>
    </row>
    <row r="247" spans="2:10" s="33" customFormat="1" ht="17.399999999999999" hidden="1" outlineLevel="1" x14ac:dyDescent="0.35">
      <c r="B247" s="58" t="s">
        <v>115</v>
      </c>
      <c r="C247" s="52"/>
      <c r="D247" s="73">
        <f>D110</f>
        <v>5540</v>
      </c>
      <c r="E247" s="73">
        <f>E110</f>
        <v>4762</v>
      </c>
      <c r="F247" s="73">
        <f>SUM(F245:F246)</f>
        <v>4762</v>
      </c>
      <c r="G247" s="73">
        <f t="shared" ref="G247:J247" si="124">SUM(G245:G246)</f>
        <v>4762</v>
      </c>
      <c r="H247" s="73">
        <f t="shared" si="124"/>
        <v>4762</v>
      </c>
      <c r="I247" s="73">
        <f t="shared" si="124"/>
        <v>4762</v>
      </c>
      <c r="J247" s="73">
        <f t="shared" si="124"/>
        <v>4762</v>
      </c>
    </row>
    <row r="248" spans="2:10" s="33" customFormat="1" ht="17.399999999999999" hidden="1" outlineLevel="1" x14ac:dyDescent="0.35">
      <c r="B248" s="58"/>
      <c r="C248" s="52"/>
      <c r="D248" s="73"/>
      <c r="E248" s="73"/>
      <c r="F248" s="73"/>
      <c r="G248" s="73"/>
      <c r="H248" s="73"/>
      <c r="I248" s="73"/>
      <c r="J248" s="73"/>
    </row>
    <row r="249" spans="2:10" s="33" customFormat="1" ht="17.399999999999999" hidden="1" outlineLevel="1" x14ac:dyDescent="0.35">
      <c r="B249" s="43" t="s">
        <v>76</v>
      </c>
      <c r="C249" s="52"/>
      <c r="D249" s="52"/>
      <c r="E249" s="52"/>
      <c r="F249" s="52"/>
      <c r="G249" s="52"/>
      <c r="H249" s="52"/>
      <c r="I249" s="52"/>
      <c r="J249" s="52"/>
    </row>
    <row r="250" spans="2:10" s="33" customFormat="1" ht="17.399999999999999" hidden="1" outlineLevel="1" x14ac:dyDescent="0.35">
      <c r="B250" s="58" t="s">
        <v>113</v>
      </c>
      <c r="C250" s="52"/>
      <c r="D250" s="52"/>
      <c r="E250" s="73">
        <f>D252</f>
        <v>7581</v>
      </c>
      <c r="F250" s="73">
        <f>E252</f>
        <v>7985</v>
      </c>
      <c r="G250" s="73">
        <f t="shared" ref="G250:J250" si="125">F252</f>
        <v>7985</v>
      </c>
      <c r="H250" s="73">
        <f t="shared" si="125"/>
        <v>7985</v>
      </c>
      <c r="I250" s="73">
        <f t="shared" si="125"/>
        <v>7985</v>
      </c>
      <c r="J250" s="73">
        <f t="shared" si="125"/>
        <v>7985</v>
      </c>
    </row>
    <row r="251" spans="2:10" s="33" customFormat="1" ht="17.399999999999999" hidden="1" outlineLevel="1" x14ac:dyDescent="0.35">
      <c r="B251" s="111" t="s">
        <v>114</v>
      </c>
      <c r="C251" s="52"/>
      <c r="D251" s="52"/>
      <c r="E251" s="52"/>
      <c r="F251" s="74">
        <v>0</v>
      </c>
      <c r="G251" s="74">
        <v>0</v>
      </c>
      <c r="H251" s="74">
        <v>0</v>
      </c>
      <c r="I251" s="74">
        <v>0</v>
      </c>
      <c r="J251" s="74">
        <v>0</v>
      </c>
    </row>
    <row r="252" spans="2:10" s="33" customFormat="1" ht="17.399999999999999" hidden="1" outlineLevel="1" x14ac:dyDescent="0.35">
      <c r="B252" s="58" t="s">
        <v>115</v>
      </c>
      <c r="C252" s="52"/>
      <c r="D252" s="73">
        <f>D93</f>
        <v>7581</v>
      </c>
      <c r="E252" s="73">
        <f>E93</f>
        <v>7985</v>
      </c>
      <c r="F252" s="73">
        <f>SUM(F250:F251)</f>
        <v>7985</v>
      </c>
      <c r="G252" s="73">
        <f t="shared" ref="G252:J252" si="126">SUM(G250:G251)</f>
        <v>7985</v>
      </c>
      <c r="H252" s="73">
        <f t="shared" si="126"/>
        <v>7985</v>
      </c>
      <c r="I252" s="73">
        <f t="shared" si="126"/>
        <v>7985</v>
      </c>
      <c r="J252" s="73">
        <f t="shared" si="126"/>
        <v>7985</v>
      </c>
    </row>
    <row r="253" spans="2:10" s="33" customFormat="1" ht="17.399999999999999" hidden="1" outlineLevel="1" x14ac:dyDescent="0.35">
      <c r="B253" s="58"/>
      <c r="C253" s="52"/>
      <c r="D253" s="73"/>
      <c r="E253" s="73"/>
      <c r="F253" s="73"/>
      <c r="G253" s="73"/>
      <c r="H253" s="73"/>
      <c r="I253" s="73"/>
      <c r="J253" s="73"/>
    </row>
    <row r="254" spans="2:10" s="33" customFormat="1" ht="17.399999999999999" hidden="1" outlineLevel="1" x14ac:dyDescent="0.35">
      <c r="B254" s="43" t="s">
        <v>97</v>
      </c>
      <c r="C254" s="52"/>
      <c r="D254" s="52"/>
      <c r="E254" s="52"/>
      <c r="F254" s="52"/>
      <c r="G254" s="52"/>
      <c r="H254" s="52"/>
      <c r="I254" s="52"/>
      <c r="J254" s="52"/>
    </row>
    <row r="255" spans="2:10" s="33" customFormat="1" ht="17.399999999999999" hidden="1" outlineLevel="1" x14ac:dyDescent="0.35">
      <c r="B255" s="58" t="s">
        <v>113</v>
      </c>
      <c r="C255" s="52"/>
      <c r="D255" s="52"/>
      <c r="E255" s="73">
        <f>D257</f>
        <v>1655</v>
      </c>
      <c r="F255" s="73">
        <f>E257</f>
        <v>1483</v>
      </c>
      <c r="G255" s="73">
        <f t="shared" ref="G255:J255" si="127">F257</f>
        <v>1483</v>
      </c>
      <c r="H255" s="73">
        <f t="shared" si="127"/>
        <v>1483</v>
      </c>
      <c r="I255" s="73">
        <f t="shared" si="127"/>
        <v>1483</v>
      </c>
      <c r="J255" s="73">
        <f t="shared" si="127"/>
        <v>1483</v>
      </c>
    </row>
    <row r="256" spans="2:10" s="33" customFormat="1" ht="17.399999999999999" hidden="1" outlineLevel="1" x14ac:dyDescent="0.35">
      <c r="B256" s="111" t="s">
        <v>114</v>
      </c>
      <c r="C256" s="52"/>
      <c r="D256" s="52"/>
      <c r="E256" s="52"/>
      <c r="F256" s="74">
        <v>0</v>
      </c>
      <c r="G256" s="74">
        <v>0</v>
      </c>
      <c r="H256" s="74">
        <v>0</v>
      </c>
      <c r="I256" s="74">
        <v>0</v>
      </c>
      <c r="J256" s="74">
        <v>0</v>
      </c>
    </row>
    <row r="257" spans="2:10" s="33" customFormat="1" ht="17.399999999999999" hidden="1" outlineLevel="1" x14ac:dyDescent="0.35">
      <c r="B257" s="58" t="s">
        <v>115</v>
      </c>
      <c r="C257" s="52"/>
      <c r="D257" s="73">
        <f>D115</f>
        <v>1655</v>
      </c>
      <c r="E257" s="73">
        <f t="shared" ref="E257" si="128">E115</f>
        <v>1483</v>
      </c>
      <c r="F257" s="73">
        <f>SUM(F255:F256)</f>
        <v>1483</v>
      </c>
      <c r="G257" s="73">
        <f t="shared" ref="G257:J257" si="129">SUM(G255:G256)</f>
        <v>1483</v>
      </c>
      <c r="H257" s="73">
        <f t="shared" si="129"/>
        <v>1483</v>
      </c>
      <c r="I257" s="73">
        <f t="shared" si="129"/>
        <v>1483</v>
      </c>
      <c r="J257" s="73">
        <f t="shared" si="129"/>
        <v>1483</v>
      </c>
    </row>
    <row r="258" spans="2:10" s="33" customFormat="1" ht="17.399999999999999" hidden="1" outlineLevel="1" x14ac:dyDescent="0.35">
      <c r="B258" s="58"/>
      <c r="C258" s="52"/>
      <c r="D258" s="73"/>
      <c r="E258" s="73"/>
      <c r="F258" s="73"/>
      <c r="G258" s="73"/>
      <c r="H258" s="73"/>
      <c r="I258" s="73"/>
      <c r="J258" s="73"/>
    </row>
    <row r="259" spans="2:10" s="33" customFormat="1" ht="17.399999999999999" hidden="1" outlineLevel="1" x14ac:dyDescent="0.35">
      <c r="B259" s="43" t="s">
        <v>93</v>
      </c>
      <c r="C259" s="52"/>
      <c r="D259" s="52"/>
      <c r="E259" s="52"/>
      <c r="F259" s="52"/>
      <c r="G259" s="52"/>
      <c r="H259" s="52"/>
      <c r="I259" s="52"/>
      <c r="J259" s="52"/>
    </row>
    <row r="260" spans="2:10" s="33" customFormat="1" ht="17.399999999999999" hidden="1" outlineLevel="1" x14ac:dyDescent="0.35">
      <c r="B260" s="58" t="s">
        <v>113</v>
      </c>
      <c r="C260" s="52"/>
      <c r="D260" s="52"/>
      <c r="E260" s="73">
        <f>D262</f>
        <v>2566</v>
      </c>
      <c r="F260" s="73">
        <f>E262</f>
        <v>1805</v>
      </c>
      <c r="G260" s="73">
        <f t="shared" ref="G260:J260" si="130">F262</f>
        <v>1805</v>
      </c>
      <c r="H260" s="73">
        <f t="shared" si="130"/>
        <v>1805</v>
      </c>
      <c r="I260" s="73">
        <f t="shared" si="130"/>
        <v>1805</v>
      </c>
      <c r="J260" s="73">
        <f t="shared" si="130"/>
        <v>1805</v>
      </c>
    </row>
    <row r="261" spans="2:10" s="33" customFormat="1" ht="17.399999999999999" hidden="1" outlineLevel="1" x14ac:dyDescent="0.35">
      <c r="B261" s="111" t="s">
        <v>114</v>
      </c>
      <c r="C261" s="52"/>
      <c r="D261" s="52"/>
      <c r="E261" s="52"/>
      <c r="F261" s="74">
        <v>0</v>
      </c>
      <c r="G261" s="74">
        <v>0</v>
      </c>
      <c r="H261" s="74">
        <v>0</v>
      </c>
      <c r="I261" s="74">
        <v>0</v>
      </c>
      <c r="J261" s="74">
        <v>0</v>
      </c>
    </row>
    <row r="262" spans="2:10" s="33" customFormat="1" ht="17.399999999999999" hidden="1" outlineLevel="1" x14ac:dyDescent="0.35">
      <c r="B262" s="58" t="s">
        <v>115</v>
      </c>
      <c r="C262" s="52"/>
      <c r="D262" s="73">
        <f>D111</f>
        <v>2566</v>
      </c>
      <c r="E262" s="73">
        <f t="shared" ref="E262" si="131">E111</f>
        <v>1805</v>
      </c>
      <c r="F262" s="73">
        <f>SUM(F260:F261)</f>
        <v>1805</v>
      </c>
      <c r="G262" s="73">
        <f t="shared" ref="G262:J262" si="132">SUM(G260:G261)</f>
        <v>1805</v>
      </c>
      <c r="H262" s="73">
        <f t="shared" si="132"/>
        <v>1805</v>
      </c>
      <c r="I262" s="73">
        <f t="shared" si="132"/>
        <v>1805</v>
      </c>
      <c r="J262" s="73">
        <f t="shared" si="132"/>
        <v>1805</v>
      </c>
    </row>
    <row r="263" spans="2:10" hidden="1" outlineLevel="1" x14ac:dyDescent="0.3">
      <c r="B263" s="136"/>
      <c r="C263" s="56"/>
      <c r="D263" s="137"/>
      <c r="E263" s="137"/>
      <c r="F263" s="137"/>
      <c r="G263" s="137"/>
      <c r="H263" s="137"/>
      <c r="I263" s="137"/>
      <c r="J263" s="137"/>
    </row>
    <row r="264" spans="2:10" hidden="1" outlineLevel="1" x14ac:dyDescent="0.3">
      <c r="B264" s="193" t="s">
        <v>148</v>
      </c>
      <c r="C264" s="56"/>
      <c r="D264" s="137"/>
      <c r="E264" s="137"/>
      <c r="F264" s="137"/>
      <c r="G264" s="137"/>
      <c r="H264" s="137"/>
      <c r="I264" s="137"/>
      <c r="J264" s="137"/>
    </row>
    <row r="265" spans="2:10" hidden="1" outlineLevel="1" x14ac:dyDescent="0.3">
      <c r="B265" s="193"/>
      <c r="C265" s="56"/>
      <c r="D265" s="137"/>
      <c r="E265" s="137"/>
      <c r="F265" s="137"/>
      <c r="G265" s="137"/>
      <c r="H265" s="137"/>
      <c r="I265" s="137"/>
      <c r="J265" s="137"/>
    </row>
    <row r="266" spans="2:10" s="33" customFormat="1" ht="17.399999999999999" hidden="1" outlineLevel="1" x14ac:dyDescent="0.35">
      <c r="B266" s="43" t="s">
        <v>149</v>
      </c>
      <c r="C266" s="52"/>
      <c r="D266" s="52"/>
      <c r="E266" s="52"/>
      <c r="F266" s="52"/>
      <c r="G266" s="52"/>
      <c r="H266" s="52"/>
      <c r="I266" s="52"/>
      <c r="J266" s="52"/>
    </row>
    <row r="267" spans="2:10" s="33" customFormat="1" ht="17.399999999999999" hidden="1" outlineLevel="1" x14ac:dyDescent="0.35">
      <c r="B267" s="58" t="s">
        <v>113</v>
      </c>
      <c r="C267" s="52"/>
      <c r="D267" s="52"/>
      <c r="E267" s="73">
        <f>D269</f>
        <v>7483</v>
      </c>
      <c r="F267" s="73">
        <f>E269</f>
        <v>6598</v>
      </c>
      <c r="G267" s="73">
        <f t="shared" ref="G267:J267" ca="1" si="133">F269</f>
        <v>0</v>
      </c>
      <c r="H267" s="73">
        <f t="shared" ca="1" si="133"/>
        <v>0</v>
      </c>
      <c r="I267" s="73">
        <f t="shared" ca="1" si="133"/>
        <v>0</v>
      </c>
      <c r="J267" s="73">
        <f t="shared" ca="1" si="133"/>
        <v>0</v>
      </c>
    </row>
    <row r="268" spans="2:10" s="33" customFormat="1" ht="17.399999999999999" hidden="1" outlineLevel="1" x14ac:dyDescent="0.35">
      <c r="B268" s="58" t="s">
        <v>114</v>
      </c>
      <c r="C268" s="52"/>
      <c r="D268" s="52"/>
      <c r="E268" s="52"/>
      <c r="F268" s="73">
        <f ca="1">IF(F276&lt;0,F276-F273,-MIN(F267,F276))</f>
        <v>-6598</v>
      </c>
      <c r="G268" s="73">
        <f t="shared" ref="G268:J268" ca="1" si="134">IF(G276&lt;0,G276-G273,-MIN(G267,G276))</f>
        <v>0</v>
      </c>
      <c r="H268" s="73">
        <f t="shared" ca="1" si="134"/>
        <v>0</v>
      </c>
      <c r="I268" s="73">
        <f t="shared" ca="1" si="134"/>
        <v>0</v>
      </c>
      <c r="J268" s="73">
        <f t="shared" ca="1" si="134"/>
        <v>0</v>
      </c>
    </row>
    <row r="269" spans="2:10" s="33" customFormat="1" ht="17.399999999999999" hidden="1" outlineLevel="1" x14ac:dyDescent="0.35">
      <c r="B269" s="58" t="s">
        <v>115</v>
      </c>
      <c r="C269" s="52"/>
      <c r="D269" s="73">
        <f>D106</f>
        <v>7483</v>
      </c>
      <c r="E269" s="73">
        <f>E106</f>
        <v>6598</v>
      </c>
      <c r="F269" s="73">
        <f ca="1">SUM(F267:F268)</f>
        <v>0</v>
      </c>
      <c r="G269" s="73">
        <f t="shared" ref="G269:J269" ca="1" si="135">SUM(G267:G268)</f>
        <v>0</v>
      </c>
      <c r="H269" s="73">
        <f t="shared" ca="1" si="135"/>
        <v>0</v>
      </c>
      <c r="I269" s="73">
        <f t="shared" ca="1" si="135"/>
        <v>0</v>
      </c>
      <c r="J269" s="73">
        <f t="shared" ca="1" si="135"/>
        <v>0</v>
      </c>
    </row>
    <row r="270" spans="2:10" s="33" customFormat="1" ht="17.399999999999999" hidden="1" outlineLevel="1" x14ac:dyDescent="0.35">
      <c r="B270" s="58"/>
      <c r="C270" s="52"/>
      <c r="D270" s="52"/>
      <c r="E270" s="52"/>
      <c r="F270" s="73"/>
      <c r="G270" s="73"/>
      <c r="H270" s="73"/>
      <c r="I270" s="73"/>
      <c r="J270" s="73"/>
    </row>
    <row r="271" spans="2:10" s="33" customFormat="1" ht="17.399999999999999" hidden="1" outlineLevel="1" x14ac:dyDescent="0.35">
      <c r="B271" s="93" t="s">
        <v>150</v>
      </c>
      <c r="C271" s="52"/>
      <c r="D271" s="52"/>
      <c r="E271" s="52"/>
      <c r="F271" s="73"/>
      <c r="G271" s="73"/>
      <c r="H271" s="73"/>
      <c r="I271" s="73"/>
      <c r="J271" s="73"/>
    </row>
    <row r="272" spans="2:10" s="33" customFormat="1" ht="17.399999999999999" hidden="1" outlineLevel="1" x14ac:dyDescent="0.35">
      <c r="B272" s="58" t="s">
        <v>151</v>
      </c>
      <c r="C272" s="52"/>
      <c r="D272" s="73"/>
      <c r="E272" s="73"/>
      <c r="F272" s="73">
        <f>E90</f>
        <v>9156</v>
      </c>
      <c r="G272" s="73">
        <f t="shared" ref="G272:J272" ca="1" si="136">F90</f>
        <v>13384.723844325208</v>
      </c>
      <c r="H272" s="73">
        <f t="shared" ca="1" si="136"/>
        <v>27729.181920396106</v>
      </c>
      <c r="I272" s="73">
        <f t="shared" ca="1" si="136"/>
        <v>44601.558319958</v>
      </c>
      <c r="J272" s="73">
        <f t="shared" ca="1" si="136"/>
        <v>66143.000364301581</v>
      </c>
    </row>
    <row r="273" spans="2:15" s="33" customFormat="1" ht="17.399999999999999" hidden="1" outlineLevel="1" x14ac:dyDescent="0.35">
      <c r="B273" s="58" t="s">
        <v>152</v>
      </c>
      <c r="C273" s="52"/>
      <c r="D273" s="74"/>
      <c r="E273" s="74"/>
      <c r="F273" s="74">
        <v>-5000</v>
      </c>
      <c r="G273" s="74">
        <v>-5000</v>
      </c>
      <c r="H273" s="74">
        <v>-5000</v>
      </c>
      <c r="I273" s="74">
        <v>-5000</v>
      </c>
      <c r="J273" s="74">
        <v>-5000</v>
      </c>
    </row>
    <row r="274" spans="2:15" s="33" customFormat="1" ht="17.399999999999999" hidden="1" outlineLevel="1" x14ac:dyDescent="0.35">
      <c r="B274" s="58" t="s">
        <v>153</v>
      </c>
      <c r="C274" s="52"/>
      <c r="D274" s="73"/>
      <c r="E274" s="73"/>
      <c r="F274" s="73">
        <f>SUM(F272:F273)</f>
        <v>4156</v>
      </c>
      <c r="G274" s="73">
        <f t="shared" ref="G274:J274" ca="1" si="137">SUM(G272:G273)</f>
        <v>8384.7238443252081</v>
      </c>
      <c r="H274" s="73">
        <f t="shared" ca="1" si="137"/>
        <v>22729.181920396106</v>
      </c>
      <c r="I274" s="73">
        <f t="shared" ca="1" si="137"/>
        <v>39601.558319958</v>
      </c>
      <c r="J274" s="73">
        <f t="shared" ca="1" si="137"/>
        <v>61143.000364301581</v>
      </c>
    </row>
    <row r="275" spans="2:15" s="33" customFormat="1" ht="17.399999999999999" hidden="1" outlineLevel="1" x14ac:dyDescent="0.35">
      <c r="B275" s="58" t="s">
        <v>154</v>
      </c>
      <c r="C275" s="52"/>
      <c r="D275" s="52"/>
      <c r="E275" s="52"/>
      <c r="F275" s="138">
        <f ca="1">F339</f>
        <v>12130.871936085077</v>
      </c>
      <c r="G275" s="138">
        <f t="shared" ref="G275:J275" ca="1" si="138">G339</f>
        <v>14666.569675964967</v>
      </c>
      <c r="H275" s="138">
        <f t="shared" ca="1" si="138"/>
        <v>17816.564414926204</v>
      </c>
      <c r="I275" s="138">
        <f t="shared" ca="1" si="138"/>
        <v>22319.823592247008</v>
      </c>
      <c r="J275" s="138">
        <f t="shared" ca="1" si="138"/>
        <v>27506.232871898683</v>
      </c>
    </row>
    <row r="276" spans="2:15" s="33" customFormat="1" ht="17.399999999999999" hidden="1" outlineLevel="1" x14ac:dyDescent="0.35">
      <c r="B276" s="58" t="s">
        <v>155</v>
      </c>
      <c r="C276" s="52"/>
      <c r="D276" s="73"/>
      <c r="E276" s="73"/>
      <c r="F276" s="73">
        <f ca="1">SUM(F274:F275)</f>
        <v>16286.871936085077</v>
      </c>
      <c r="G276" s="73">
        <f t="shared" ref="G276:J276" ca="1" si="139">SUM(G274:G275)</f>
        <v>23051.293520290175</v>
      </c>
      <c r="H276" s="73">
        <f t="shared" ca="1" si="139"/>
        <v>40545.746335322314</v>
      </c>
      <c r="I276" s="73">
        <f t="shared" ca="1" si="139"/>
        <v>61921.381912205004</v>
      </c>
      <c r="J276" s="73">
        <f t="shared" ca="1" si="139"/>
        <v>88649.233236200263</v>
      </c>
    </row>
    <row r="277" spans="2:15" s="33" customFormat="1" ht="17.399999999999999" hidden="1" outlineLevel="1" x14ac:dyDescent="0.35">
      <c r="C277" s="52"/>
      <c r="D277" s="52"/>
      <c r="E277" s="52"/>
      <c r="F277" s="73"/>
      <c r="G277" s="73"/>
      <c r="H277" s="73"/>
      <c r="I277" s="73"/>
      <c r="J277" s="73"/>
    </row>
    <row r="278" spans="2:15" s="33" customFormat="1" ht="17.399999999999999" hidden="1" outlineLevel="1" x14ac:dyDescent="0.35">
      <c r="B278" s="58" t="s">
        <v>156</v>
      </c>
      <c r="C278" s="52"/>
      <c r="D278" s="52"/>
      <c r="E278" s="52"/>
      <c r="F278" s="52">
        <f ca="1">F279*F269</f>
        <v>0</v>
      </c>
      <c r="G278" s="52">
        <f t="shared" ref="G278:J278" ca="1" si="140">G279*G269</f>
        <v>0</v>
      </c>
      <c r="H278" s="52">
        <f t="shared" ca="1" si="140"/>
        <v>0</v>
      </c>
      <c r="I278" s="52">
        <f t="shared" ca="1" si="140"/>
        <v>0</v>
      </c>
      <c r="J278" s="52">
        <f t="shared" ca="1" si="140"/>
        <v>0</v>
      </c>
    </row>
    <row r="279" spans="2:15" s="33" customFormat="1" ht="17.399999999999999" hidden="1" outlineLevel="1" x14ac:dyDescent="0.35">
      <c r="B279" s="58" t="s">
        <v>157</v>
      </c>
      <c r="C279" s="52"/>
      <c r="D279" s="52"/>
      <c r="E279" s="52"/>
      <c r="F279" s="114">
        <f>F287</f>
        <v>2.1873638344226579E-2</v>
      </c>
      <c r="G279" s="114">
        <f t="shared" ref="G279:J279" si="141">G287</f>
        <v>1.9482472566388853E-2</v>
      </c>
      <c r="H279" s="114">
        <f t="shared" si="141"/>
        <v>1.7726066940620323E-2</v>
      </c>
      <c r="I279" s="114">
        <f t="shared" si="141"/>
        <v>1.6191034859507698E-2</v>
      </c>
      <c r="J279" s="114">
        <f t="shared" si="141"/>
        <v>1.4929881417855447E-2</v>
      </c>
    </row>
    <row r="280" spans="2:15" s="33" customFormat="1" ht="17.399999999999999" hidden="1" outlineLevel="1" x14ac:dyDescent="0.35">
      <c r="C280" s="52"/>
      <c r="D280" s="52"/>
      <c r="E280" s="52"/>
      <c r="F280" s="52"/>
      <c r="G280" s="52"/>
      <c r="H280" s="52"/>
      <c r="I280" s="52"/>
      <c r="J280" s="52"/>
    </row>
    <row r="281" spans="2:15" s="33" customFormat="1" ht="17.399999999999999" hidden="1" outlineLevel="1" x14ac:dyDescent="0.35">
      <c r="B281" s="93" t="s">
        <v>158</v>
      </c>
      <c r="C281" s="52"/>
      <c r="D281" s="52"/>
      <c r="E281" s="52"/>
      <c r="F281" s="52"/>
      <c r="G281" s="52"/>
      <c r="H281" s="52"/>
      <c r="I281" s="52"/>
      <c r="J281" s="52"/>
    </row>
    <row r="282" spans="2:15" s="33" customFormat="1" ht="17.399999999999999" hidden="1" outlineLevel="1" x14ac:dyDescent="0.35">
      <c r="B282" s="58" t="s">
        <v>113</v>
      </c>
      <c r="C282" s="52"/>
      <c r="D282" s="52"/>
      <c r="E282" s="52"/>
      <c r="F282" s="73">
        <f>E284</f>
        <v>41321</v>
      </c>
      <c r="G282" s="73">
        <f t="shared" ref="G282:J282" si="142">F284</f>
        <v>45900</v>
      </c>
      <c r="H282" s="73">
        <f t="shared" si="142"/>
        <v>51533.5</v>
      </c>
      <c r="I282" s="73">
        <f t="shared" si="142"/>
        <v>56639.75</v>
      </c>
      <c r="J282" s="73">
        <f t="shared" si="142"/>
        <v>62009.625</v>
      </c>
    </row>
    <row r="283" spans="2:15" s="33" customFormat="1" ht="17.399999999999999" hidden="1" outlineLevel="1" x14ac:dyDescent="0.35">
      <c r="B283" s="58" t="s">
        <v>159</v>
      </c>
      <c r="C283" s="52"/>
      <c r="D283" s="139">
        <v>2470</v>
      </c>
      <c r="E283" s="139">
        <v>6688</v>
      </c>
      <c r="F283" s="74">
        <f>AVERAGE(D283:E283)</f>
        <v>4579</v>
      </c>
      <c r="G283" s="74">
        <f t="shared" ref="G283:J283" si="143">AVERAGE(E283:F283)</f>
        <v>5633.5</v>
      </c>
      <c r="H283" s="74">
        <f t="shared" si="143"/>
        <v>5106.25</v>
      </c>
      <c r="I283" s="74">
        <f t="shared" si="143"/>
        <v>5369.875</v>
      </c>
      <c r="J283" s="74">
        <f t="shared" si="143"/>
        <v>5238.0625</v>
      </c>
      <c r="O283" s="33">
        <f>799-582</f>
        <v>217</v>
      </c>
    </row>
    <row r="284" spans="2:15" s="33" customFormat="1" ht="17.399999999999999" hidden="1" outlineLevel="1" x14ac:dyDescent="0.35">
      <c r="B284" s="58" t="s">
        <v>115</v>
      </c>
      <c r="C284" s="52"/>
      <c r="D284" s="73">
        <f>D114</f>
        <v>39113</v>
      </c>
      <c r="E284" s="73">
        <f>E114</f>
        <v>41321</v>
      </c>
      <c r="F284" s="73">
        <f>SUM(F282:F283)</f>
        <v>45900</v>
      </c>
      <c r="G284" s="73">
        <f t="shared" ref="G284:J284" si="144">SUM(G282:G283)</f>
        <v>51533.5</v>
      </c>
      <c r="H284" s="73">
        <f t="shared" si="144"/>
        <v>56639.75</v>
      </c>
      <c r="I284" s="73">
        <f t="shared" si="144"/>
        <v>62009.625</v>
      </c>
      <c r="J284" s="73">
        <f t="shared" si="144"/>
        <v>67247.6875</v>
      </c>
    </row>
    <row r="285" spans="2:15" s="33" customFormat="1" ht="17.399999999999999" hidden="1" outlineLevel="1" x14ac:dyDescent="0.35">
      <c r="C285" s="52"/>
      <c r="D285" s="52"/>
      <c r="E285" s="52"/>
      <c r="F285" s="52"/>
      <c r="G285" s="73"/>
      <c r="H285" s="52"/>
      <c r="I285" s="52"/>
      <c r="J285" s="52"/>
    </row>
    <row r="286" spans="2:15" s="33" customFormat="1" ht="17.399999999999999" hidden="1" outlineLevel="1" x14ac:dyDescent="0.35">
      <c r="B286" s="58" t="s">
        <v>160</v>
      </c>
      <c r="C286" s="52"/>
      <c r="D286" s="52">
        <f>71+874</f>
        <v>945</v>
      </c>
      <c r="E286" s="140">
        <f>95+909</f>
        <v>1004</v>
      </c>
      <c r="F286" s="140">
        <f>E286</f>
        <v>1004</v>
      </c>
      <c r="G286" s="140">
        <f t="shared" ref="G286:J286" si="145">F286</f>
        <v>1004</v>
      </c>
      <c r="H286" s="140">
        <f t="shared" si="145"/>
        <v>1004</v>
      </c>
      <c r="I286" s="140">
        <f t="shared" si="145"/>
        <v>1004</v>
      </c>
      <c r="J286" s="140">
        <f t="shared" si="145"/>
        <v>1004</v>
      </c>
    </row>
    <row r="287" spans="2:15" s="33" customFormat="1" ht="17.399999999999999" hidden="1" outlineLevel="1" x14ac:dyDescent="0.35">
      <c r="B287" s="58" t="s">
        <v>157</v>
      </c>
      <c r="C287" s="52"/>
      <c r="D287" s="52"/>
      <c r="E287" s="141">
        <f>E286/E284</f>
        <v>2.4297572662810678E-2</v>
      </c>
      <c r="F287" s="141">
        <f t="shared" ref="F287:J287" si="146">F286/F284</f>
        <v>2.1873638344226579E-2</v>
      </c>
      <c r="G287" s="141">
        <f t="shared" si="146"/>
        <v>1.9482472566388853E-2</v>
      </c>
      <c r="H287" s="141">
        <f t="shared" si="146"/>
        <v>1.7726066940620323E-2</v>
      </c>
      <c r="I287" s="141">
        <f t="shared" si="146"/>
        <v>1.6191034859507698E-2</v>
      </c>
      <c r="J287" s="141">
        <f t="shared" si="146"/>
        <v>1.4929881417855447E-2</v>
      </c>
    </row>
    <row r="288" spans="2:15" s="33" customFormat="1" ht="17.399999999999999" hidden="1" outlineLevel="1" x14ac:dyDescent="0.35">
      <c r="B288" s="58"/>
      <c r="C288" s="52"/>
      <c r="D288" s="52"/>
      <c r="E288" s="52"/>
      <c r="F288" s="52"/>
      <c r="G288" s="52"/>
      <c r="H288" s="52"/>
      <c r="I288" s="52"/>
      <c r="J288" s="52"/>
    </row>
    <row r="289" spans="2:10" s="33" customFormat="1" ht="17.399999999999999" hidden="1" outlineLevel="1" x14ac:dyDescent="0.35">
      <c r="B289" s="58" t="s">
        <v>161</v>
      </c>
      <c r="C289" s="52"/>
      <c r="D289" s="52"/>
      <c r="E289" s="142">
        <v>1</v>
      </c>
      <c r="F289" s="142">
        <v>1</v>
      </c>
      <c r="G289" s="142">
        <v>1</v>
      </c>
      <c r="H289" s="142">
        <v>1</v>
      </c>
      <c r="I289" s="142">
        <v>1</v>
      </c>
      <c r="J289" s="142">
        <v>1</v>
      </c>
    </row>
    <row r="290" spans="2:10" s="33" customFormat="1" ht="17.399999999999999" hidden="1" outlineLevel="1" x14ac:dyDescent="0.35">
      <c r="B290" s="143" t="s">
        <v>162</v>
      </c>
      <c r="C290" s="52"/>
      <c r="D290" s="52"/>
      <c r="E290" s="52"/>
      <c r="F290" s="52"/>
      <c r="G290" s="52"/>
      <c r="H290" s="52"/>
      <c r="I290" s="52"/>
      <c r="J290" s="52"/>
    </row>
    <row r="291" spans="2:10" s="33" customFormat="1" ht="17.399999999999999" hidden="1" outlineLevel="1" x14ac:dyDescent="0.35">
      <c r="C291" s="52"/>
      <c r="D291" s="52"/>
      <c r="E291" s="52"/>
      <c r="F291" s="52"/>
      <c r="G291" s="52"/>
      <c r="H291" s="52"/>
      <c r="I291" s="52"/>
      <c r="J291" s="52"/>
    </row>
    <row r="292" spans="2:10" s="33" customFormat="1" ht="17.399999999999999" hidden="1" outlineLevel="1" x14ac:dyDescent="0.35">
      <c r="B292" s="193" t="s">
        <v>163</v>
      </c>
      <c r="C292" s="52"/>
      <c r="D292" s="52"/>
      <c r="E292" s="52"/>
      <c r="F292" s="52"/>
      <c r="G292" s="52"/>
      <c r="H292" s="52"/>
      <c r="I292" s="52"/>
      <c r="J292" s="52"/>
    </row>
    <row r="293" spans="2:10" s="33" customFormat="1" ht="17.399999999999999" hidden="1" outlineLevel="1" x14ac:dyDescent="0.35">
      <c r="B293" s="193"/>
      <c r="C293" s="52"/>
      <c r="D293" s="52"/>
      <c r="E293" s="52"/>
      <c r="F293" s="52"/>
      <c r="G293" s="52"/>
      <c r="H293" s="52"/>
      <c r="I293" s="52"/>
      <c r="J293" s="52"/>
    </row>
    <row r="294" spans="2:10" s="33" customFormat="1" ht="17.399999999999999" hidden="1" outlineLevel="1" x14ac:dyDescent="0.35">
      <c r="B294" s="43" t="s">
        <v>164</v>
      </c>
      <c r="C294" s="52"/>
      <c r="D294" s="52"/>
      <c r="E294" s="52"/>
      <c r="F294" s="52"/>
      <c r="G294" s="52"/>
      <c r="H294" s="52"/>
      <c r="I294" s="52"/>
      <c r="J294" s="52"/>
    </row>
    <row r="295" spans="2:10" s="33" customFormat="1" ht="17.399999999999999" hidden="1" outlineLevel="1" x14ac:dyDescent="0.35">
      <c r="B295" s="58" t="s">
        <v>113</v>
      </c>
      <c r="C295" s="52"/>
      <c r="D295" s="52"/>
      <c r="E295" s="52"/>
      <c r="F295" s="73">
        <f>E298</f>
        <v>2400</v>
      </c>
      <c r="G295" s="73">
        <f t="shared" ref="G295:J295" ca="1" si="147">F298</f>
        <v>2400</v>
      </c>
      <c r="H295" s="73">
        <f t="shared" ca="1" si="147"/>
        <v>2400</v>
      </c>
      <c r="I295" s="73">
        <f t="shared" ca="1" si="147"/>
        <v>2400</v>
      </c>
      <c r="J295" s="73">
        <f t="shared" ca="1" si="147"/>
        <v>2400</v>
      </c>
    </row>
    <row r="296" spans="2:10" s="33" customFormat="1" ht="17.399999999999999" hidden="1" outlineLevel="1" x14ac:dyDescent="0.35">
      <c r="B296" s="111" t="s">
        <v>165</v>
      </c>
      <c r="C296" s="52"/>
      <c r="D296" s="52"/>
      <c r="E296" s="52"/>
      <c r="F296" s="73">
        <f>F300</f>
        <v>0</v>
      </c>
      <c r="G296" s="73">
        <f t="shared" ref="G296:J297" si="148">G300</f>
        <v>0</v>
      </c>
      <c r="H296" s="73">
        <f t="shared" si="148"/>
        <v>0</v>
      </c>
      <c r="I296" s="73">
        <f t="shared" si="148"/>
        <v>0</v>
      </c>
      <c r="J296" s="73">
        <f t="shared" si="148"/>
        <v>0</v>
      </c>
    </row>
    <row r="297" spans="2:10" s="33" customFormat="1" ht="17.399999999999999" hidden="1" outlineLevel="1" x14ac:dyDescent="0.35">
      <c r="B297" s="111" t="s">
        <v>166</v>
      </c>
      <c r="C297" s="52"/>
      <c r="D297" s="52"/>
      <c r="E297" s="52"/>
      <c r="F297" s="73">
        <f ca="1">F301</f>
        <v>0</v>
      </c>
      <c r="G297" s="73">
        <f t="shared" ca="1" si="148"/>
        <v>0</v>
      </c>
      <c r="H297" s="73">
        <f t="shared" ca="1" si="148"/>
        <v>0</v>
      </c>
      <c r="I297" s="73">
        <f t="shared" ca="1" si="148"/>
        <v>0</v>
      </c>
      <c r="J297" s="73">
        <f t="shared" ca="1" si="148"/>
        <v>0</v>
      </c>
    </row>
    <row r="298" spans="2:10" s="33" customFormat="1" ht="17.399999999999999" hidden="1" outlineLevel="1" x14ac:dyDescent="0.35">
      <c r="B298" s="58" t="s">
        <v>115</v>
      </c>
      <c r="C298" s="52"/>
      <c r="D298" s="73">
        <f>D120</f>
        <v>2400</v>
      </c>
      <c r="E298" s="73">
        <f>E120</f>
        <v>2400</v>
      </c>
      <c r="F298" s="73">
        <f ca="1">SUM(F295:F297)</f>
        <v>2400</v>
      </c>
      <c r="G298" s="73">
        <f t="shared" ref="G298:J298" ca="1" si="149">SUM(G295:G297)</f>
        <v>2400</v>
      </c>
      <c r="H298" s="73">
        <f t="shared" ca="1" si="149"/>
        <v>2400</v>
      </c>
      <c r="I298" s="73">
        <f t="shared" ca="1" si="149"/>
        <v>2400</v>
      </c>
      <c r="J298" s="73">
        <f t="shared" ca="1" si="149"/>
        <v>2400</v>
      </c>
    </row>
    <row r="299" spans="2:10" s="33" customFormat="1" ht="17.399999999999999" hidden="1" outlineLevel="1" x14ac:dyDescent="0.35">
      <c r="B299" s="58"/>
      <c r="C299" s="52"/>
      <c r="D299" s="52"/>
      <c r="E299" s="52"/>
      <c r="F299" s="52"/>
      <c r="G299" s="52"/>
      <c r="H299" s="52"/>
      <c r="I299" s="52"/>
      <c r="J299" s="52"/>
    </row>
    <row r="300" spans="2:10" s="33" customFormat="1" ht="17.399999999999999" hidden="1" outlineLevel="1" x14ac:dyDescent="0.35">
      <c r="B300" s="58" t="s">
        <v>167</v>
      </c>
      <c r="C300" s="144">
        <v>0</v>
      </c>
      <c r="D300" s="144">
        <v>0</v>
      </c>
      <c r="E300" s="144">
        <v>0</v>
      </c>
      <c r="F300" s="144">
        <v>0</v>
      </c>
      <c r="G300" s="144">
        <v>0</v>
      </c>
      <c r="H300" s="144">
        <v>0</v>
      </c>
      <c r="I300" s="144">
        <v>0</v>
      </c>
      <c r="J300" s="144">
        <v>0</v>
      </c>
    </row>
    <row r="301" spans="2:10" s="33" customFormat="1" ht="17.399999999999999" hidden="1" outlineLevel="1" x14ac:dyDescent="0.35">
      <c r="B301" s="58" t="s">
        <v>57</v>
      </c>
      <c r="C301" s="144">
        <f>C300/SUM(C29,C30,C32)</f>
        <v>0</v>
      </c>
      <c r="D301" s="144">
        <f t="shared" ref="D301:J301" si="150">D300/SUM(D29,D30,D32)</f>
        <v>0</v>
      </c>
      <c r="E301" s="144">
        <f t="shared" si="150"/>
        <v>0</v>
      </c>
      <c r="F301" s="144">
        <f t="shared" ca="1" si="150"/>
        <v>0</v>
      </c>
      <c r="G301" s="144">
        <f t="shared" ca="1" si="150"/>
        <v>0</v>
      </c>
      <c r="H301" s="144">
        <f t="shared" ca="1" si="150"/>
        <v>0</v>
      </c>
      <c r="I301" s="144">
        <f t="shared" ca="1" si="150"/>
        <v>0</v>
      </c>
      <c r="J301" s="144">
        <f t="shared" ca="1" si="150"/>
        <v>0</v>
      </c>
    </row>
    <row r="302" spans="2:10" s="33" customFormat="1" ht="17.399999999999999" hidden="1" outlineLevel="1" x14ac:dyDescent="0.35">
      <c r="B302" s="58" t="s">
        <v>168</v>
      </c>
      <c r="C302" s="105"/>
      <c r="D302" s="105"/>
      <c r="E302" s="105"/>
      <c r="F302" s="114"/>
      <c r="G302" s="114"/>
      <c r="H302" s="114"/>
      <c r="I302" s="114"/>
      <c r="J302" s="114"/>
    </row>
    <row r="303" spans="2:10" s="33" customFormat="1" ht="17.399999999999999" hidden="1" outlineLevel="1" x14ac:dyDescent="0.35">
      <c r="B303" s="58"/>
      <c r="C303" s="52"/>
      <c r="D303" s="52"/>
      <c r="E303" s="52"/>
      <c r="F303" s="52"/>
      <c r="G303" s="52"/>
      <c r="H303" s="52"/>
      <c r="I303" s="52"/>
      <c r="J303" s="52"/>
    </row>
    <row r="304" spans="2:10" s="33" customFormat="1" ht="17.399999999999999" hidden="1" outlineLevel="1" x14ac:dyDescent="0.35">
      <c r="B304" s="43" t="s">
        <v>104</v>
      </c>
      <c r="C304" s="52"/>
      <c r="D304" s="52"/>
      <c r="E304" s="52"/>
      <c r="F304" s="52"/>
      <c r="G304" s="52"/>
      <c r="H304" s="52"/>
      <c r="I304" s="52"/>
      <c r="J304" s="52"/>
    </row>
    <row r="305" spans="2:10" s="33" customFormat="1" ht="17.399999999999999" hidden="1" outlineLevel="1" x14ac:dyDescent="0.35">
      <c r="B305" s="58" t="s">
        <v>113</v>
      </c>
      <c r="C305" s="52"/>
      <c r="D305" s="52"/>
      <c r="E305" s="52"/>
      <c r="F305" s="50">
        <f>E307</f>
        <v>-2165</v>
      </c>
      <c r="G305" s="50">
        <f t="shared" ref="G305:J305" si="151">F307</f>
        <v>-2165</v>
      </c>
      <c r="H305" s="50">
        <f t="shared" si="151"/>
        <v>-2165</v>
      </c>
      <c r="I305" s="50">
        <f t="shared" si="151"/>
        <v>-2165</v>
      </c>
      <c r="J305" s="50">
        <f t="shared" si="151"/>
        <v>-2165</v>
      </c>
    </row>
    <row r="306" spans="2:10" s="33" customFormat="1" ht="17.399999999999999" hidden="1" outlineLevel="1" x14ac:dyDescent="0.35">
      <c r="B306" s="111" t="s">
        <v>169</v>
      </c>
      <c r="C306" s="52"/>
      <c r="D306" s="52"/>
      <c r="E306" s="52"/>
      <c r="F306" s="50">
        <f>F309</f>
        <v>0</v>
      </c>
      <c r="G306" s="50">
        <f t="shared" ref="G306:J306" si="152">G309</f>
        <v>0</v>
      </c>
      <c r="H306" s="50">
        <f t="shared" si="152"/>
        <v>0</v>
      </c>
      <c r="I306" s="50">
        <f t="shared" si="152"/>
        <v>0</v>
      </c>
      <c r="J306" s="50">
        <f t="shared" si="152"/>
        <v>0</v>
      </c>
    </row>
    <row r="307" spans="2:10" s="33" customFormat="1" ht="17.399999999999999" hidden="1" outlineLevel="1" x14ac:dyDescent="0.35">
      <c r="B307" s="58" t="s">
        <v>115</v>
      </c>
      <c r="C307" s="113"/>
      <c r="D307" s="113">
        <f>D123</f>
        <v>-1177</v>
      </c>
      <c r="E307" s="113">
        <f>E123</f>
        <v>-2165</v>
      </c>
      <c r="F307" s="113">
        <f>F123</f>
        <v>-2165</v>
      </c>
      <c r="G307" s="113">
        <f t="shared" ref="G307:J307" si="153">G123</f>
        <v>-2165</v>
      </c>
      <c r="H307" s="113">
        <f t="shared" si="153"/>
        <v>-2165</v>
      </c>
      <c r="I307" s="113">
        <f t="shared" si="153"/>
        <v>-2165</v>
      </c>
      <c r="J307" s="113">
        <f t="shared" si="153"/>
        <v>-2165</v>
      </c>
    </row>
    <row r="308" spans="2:10" s="33" customFormat="1" ht="17.399999999999999" hidden="1" outlineLevel="1" x14ac:dyDescent="0.35">
      <c r="C308" s="52"/>
      <c r="D308" s="52"/>
      <c r="E308" s="52"/>
      <c r="F308" s="52"/>
      <c r="G308" s="52"/>
      <c r="H308" s="52"/>
      <c r="I308" s="52"/>
      <c r="J308" s="52"/>
    </row>
    <row r="309" spans="2:10" s="33" customFormat="1" ht="17.399999999999999" hidden="1" outlineLevel="1" x14ac:dyDescent="0.35">
      <c r="B309" s="111" t="s">
        <v>170</v>
      </c>
      <c r="C309" s="74"/>
      <c r="D309" s="74"/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</row>
    <row r="310" spans="2:10" s="33" customFormat="1" ht="17.399999999999999" hidden="1" outlineLevel="1" x14ac:dyDescent="0.35">
      <c r="C310" s="52"/>
      <c r="D310" s="52"/>
      <c r="E310" s="52"/>
      <c r="F310" s="52"/>
      <c r="G310" s="52"/>
      <c r="H310" s="52"/>
      <c r="I310" s="52"/>
      <c r="J310" s="52"/>
    </row>
    <row r="311" spans="2:10" s="33" customFormat="1" ht="17.399999999999999" hidden="1" outlineLevel="1" x14ac:dyDescent="0.35">
      <c r="B311" s="43" t="s">
        <v>171</v>
      </c>
      <c r="C311" s="52"/>
      <c r="D311" s="52"/>
      <c r="E311" s="52"/>
      <c r="F311" s="52"/>
      <c r="G311" s="52"/>
      <c r="H311" s="52"/>
      <c r="I311" s="52"/>
      <c r="J311" s="52"/>
    </row>
    <row r="312" spans="2:10" s="33" customFormat="1" ht="17.399999999999999" hidden="1" outlineLevel="1" x14ac:dyDescent="0.35">
      <c r="B312" s="58" t="s">
        <v>113</v>
      </c>
      <c r="C312" s="52"/>
      <c r="D312" s="52"/>
      <c r="E312" s="52"/>
      <c r="F312" s="73">
        <f>E315</f>
        <v>39657</v>
      </c>
      <c r="G312" s="73">
        <f t="shared" ref="G312:J312" ca="1" si="154">F315</f>
        <v>45410.518523776846</v>
      </c>
      <c r="H312" s="73">
        <f t="shared" ca="1" si="154"/>
        <v>53669.391927039913</v>
      </c>
      <c r="I312" s="73">
        <f t="shared" ca="1" si="154"/>
        <v>65400.728813183203</v>
      </c>
      <c r="J312" s="73">
        <f t="shared" ca="1" si="154"/>
        <v>81761.753646115423</v>
      </c>
    </row>
    <row r="313" spans="2:10" s="33" customFormat="1" ht="17.399999999999999" hidden="1" outlineLevel="1" x14ac:dyDescent="0.35">
      <c r="B313" s="111" t="s">
        <v>172</v>
      </c>
      <c r="C313" s="52"/>
      <c r="D313" s="52"/>
      <c r="E313" s="52"/>
      <c r="F313" s="73">
        <f ca="1">F317</f>
        <v>9462.5185237769838</v>
      </c>
      <c r="G313" s="73">
        <f t="shared" ref="G313:J313" ca="1" si="155">G317</f>
        <v>11967.873403263065</v>
      </c>
      <c r="H313" s="73">
        <f t="shared" ca="1" si="155"/>
        <v>15440.336886796315</v>
      </c>
      <c r="I313" s="73">
        <f t="shared" ca="1" si="155"/>
        <v>20070.024832933275</v>
      </c>
      <c r="J313" s="73">
        <f t="shared" ca="1" si="155"/>
        <v>25497.818399453769</v>
      </c>
    </row>
    <row r="314" spans="2:10" s="33" customFormat="1" ht="17.399999999999999" hidden="1" outlineLevel="1" x14ac:dyDescent="0.35">
      <c r="B314" s="111" t="s">
        <v>173</v>
      </c>
      <c r="C314" s="52"/>
      <c r="D314" s="52"/>
      <c r="E314" s="52"/>
      <c r="F314" s="73">
        <f>-F319</f>
        <v>-3709</v>
      </c>
      <c r="G314" s="73">
        <f t="shared" ref="G314:J314" si="156">-G319</f>
        <v>-3709</v>
      </c>
      <c r="H314" s="73">
        <f t="shared" si="156"/>
        <v>-3709</v>
      </c>
      <c r="I314" s="73">
        <f t="shared" si="156"/>
        <v>-3709</v>
      </c>
      <c r="J314" s="73">
        <f t="shared" si="156"/>
        <v>-3709</v>
      </c>
    </row>
    <row r="315" spans="2:10" s="33" customFormat="1" ht="17.399999999999999" hidden="1" outlineLevel="1" x14ac:dyDescent="0.35">
      <c r="B315" s="58" t="s">
        <v>115</v>
      </c>
      <c r="C315" s="113"/>
      <c r="D315" s="113">
        <f t="shared" ref="D315:E315" si="157">D122</f>
        <v>36874</v>
      </c>
      <c r="E315" s="113">
        <f t="shared" si="157"/>
        <v>39657</v>
      </c>
      <c r="F315" s="73">
        <f ca="1">SUM(F312:F314)</f>
        <v>45410.518523776984</v>
      </c>
      <c r="G315" s="73">
        <f t="shared" ref="G315:J315" ca="1" si="158">SUM(G312:G314)</f>
        <v>53669.391927039913</v>
      </c>
      <c r="H315" s="73">
        <f t="shared" ca="1" si="158"/>
        <v>65400.728813836235</v>
      </c>
      <c r="I315" s="73">
        <f t="shared" ca="1" si="158"/>
        <v>81761.753646116471</v>
      </c>
      <c r="J315" s="73">
        <f t="shared" ca="1" si="158"/>
        <v>103550.57204556919</v>
      </c>
    </row>
    <row r="316" spans="2:10" s="33" customFormat="1" ht="17.399999999999999" hidden="1" outlineLevel="1" x14ac:dyDescent="0.35">
      <c r="C316" s="52"/>
      <c r="D316" s="52"/>
      <c r="E316" s="52"/>
      <c r="F316" s="52"/>
      <c r="G316" s="52"/>
      <c r="H316" s="52"/>
      <c r="I316" s="52"/>
      <c r="J316" s="52"/>
    </row>
    <row r="317" spans="2:10" s="33" customFormat="1" ht="17.399999999999999" hidden="1" outlineLevel="1" x14ac:dyDescent="0.35">
      <c r="B317" s="58" t="s">
        <v>40</v>
      </c>
      <c r="C317" s="73"/>
      <c r="D317" s="73">
        <f t="shared" ref="D317:E317" si="159">D42</f>
        <v>8529</v>
      </c>
      <c r="E317" s="73">
        <f t="shared" si="159"/>
        <v>8993</v>
      </c>
      <c r="F317" s="73">
        <f ca="1">F42</f>
        <v>9462.5185237769838</v>
      </c>
      <c r="G317" s="73">
        <f t="shared" ref="G317:J317" ca="1" si="160">G42</f>
        <v>11967.873403269017</v>
      </c>
      <c r="H317" s="73">
        <f t="shared" ca="1" si="160"/>
        <v>15440.336886796322</v>
      </c>
      <c r="I317" s="73">
        <f t="shared" ca="1" si="160"/>
        <v>20070.02483801065</v>
      </c>
      <c r="J317" s="73">
        <f t="shared" ca="1" si="160"/>
        <v>25497.818399461426</v>
      </c>
    </row>
    <row r="318" spans="2:10" s="33" customFormat="1" ht="17.399999999999999" hidden="1" outlineLevel="1" x14ac:dyDescent="0.35">
      <c r="B318" s="58" t="s">
        <v>174</v>
      </c>
      <c r="C318" s="105"/>
      <c r="D318" s="105">
        <f>D319/D317</f>
        <v>0.39418454684019227</v>
      </c>
      <c r="E318" s="105">
        <f>E319/E317</f>
        <v>0.41243189147114423</v>
      </c>
      <c r="F318" s="114">
        <f>AVERAGE(D318:E318)</f>
        <v>0.40330821915566828</v>
      </c>
      <c r="G318" s="114">
        <f t="shared" ref="G318:J318" si="161">AVERAGE(E318:F318)</f>
        <v>0.40787005531340625</v>
      </c>
      <c r="H318" s="114">
        <f t="shared" si="161"/>
        <v>0.40558913723453727</v>
      </c>
      <c r="I318" s="114">
        <f t="shared" si="161"/>
        <v>0.40672959627397176</v>
      </c>
      <c r="J318" s="114">
        <f t="shared" si="161"/>
        <v>0.40615936675425451</v>
      </c>
    </row>
    <row r="319" spans="2:10" s="33" customFormat="1" ht="17.399999999999999" hidden="1" outlineLevel="1" x14ac:dyDescent="0.35">
      <c r="B319" s="58" t="s">
        <v>175</v>
      </c>
      <c r="C319" s="74"/>
      <c r="D319" s="74">
        <v>3362</v>
      </c>
      <c r="E319" s="74">
        <v>3709</v>
      </c>
      <c r="F319" s="74">
        <v>3709</v>
      </c>
      <c r="G319" s="74">
        <v>3709</v>
      </c>
      <c r="H319" s="74">
        <v>3709</v>
      </c>
      <c r="I319" s="74">
        <v>3709</v>
      </c>
      <c r="J319" s="74">
        <v>3709</v>
      </c>
    </row>
    <row r="320" spans="2:10" s="33" customFormat="1" ht="17.399999999999999" hidden="1" outlineLevel="1" x14ac:dyDescent="0.35">
      <c r="C320" s="52"/>
      <c r="D320" s="52"/>
      <c r="E320" s="52"/>
      <c r="F320" s="52"/>
      <c r="G320" s="52"/>
      <c r="H320" s="52"/>
      <c r="I320" s="52"/>
      <c r="J320" s="52"/>
    </row>
    <row r="321" spans="2:10" s="33" customFormat="1" ht="17.399999999999999" hidden="1" outlineLevel="1" x14ac:dyDescent="0.35">
      <c r="B321" s="93" t="s">
        <v>105</v>
      </c>
      <c r="C321" s="52"/>
      <c r="D321" s="52"/>
      <c r="E321" s="52"/>
      <c r="F321" s="52"/>
      <c r="G321" s="52"/>
      <c r="H321" s="52"/>
      <c r="I321" s="52"/>
      <c r="J321" s="52"/>
    </row>
    <row r="322" spans="2:10" s="33" customFormat="1" ht="17.399999999999999" hidden="1" outlineLevel="1" x14ac:dyDescent="0.35">
      <c r="B322" s="58" t="s">
        <v>113</v>
      </c>
      <c r="C322" s="52"/>
      <c r="D322" s="52"/>
      <c r="E322" s="52"/>
      <c r="F322" s="73">
        <f>E324</f>
        <v>3615</v>
      </c>
      <c r="G322" s="73">
        <f t="shared" ref="G322:J322" si="162">F324</f>
        <v>3615</v>
      </c>
      <c r="H322" s="73">
        <f t="shared" si="162"/>
        <v>3615</v>
      </c>
      <c r="I322" s="73">
        <f t="shared" si="162"/>
        <v>3615</v>
      </c>
      <c r="J322" s="73">
        <f t="shared" si="162"/>
        <v>3615</v>
      </c>
    </row>
    <row r="323" spans="2:10" s="33" customFormat="1" ht="17.399999999999999" hidden="1" outlineLevel="1" x14ac:dyDescent="0.35">
      <c r="B323" s="111" t="s">
        <v>176</v>
      </c>
      <c r="C323" s="52"/>
      <c r="D323" s="52"/>
      <c r="E323" s="52"/>
      <c r="F323" s="74">
        <v>0</v>
      </c>
      <c r="G323" s="74">
        <v>0</v>
      </c>
      <c r="H323" s="74">
        <v>0</v>
      </c>
      <c r="I323" s="74">
        <v>0</v>
      </c>
      <c r="J323" s="74">
        <v>0</v>
      </c>
    </row>
    <row r="324" spans="2:10" s="33" customFormat="1" ht="17.399999999999999" hidden="1" outlineLevel="1" x14ac:dyDescent="0.35">
      <c r="B324" s="58" t="s">
        <v>115</v>
      </c>
      <c r="C324" s="52"/>
      <c r="D324" s="73">
        <f>D124</f>
        <v>2282</v>
      </c>
      <c r="E324" s="73">
        <f>E124</f>
        <v>3615</v>
      </c>
      <c r="F324" s="73">
        <f>SUM(F322:F323)</f>
        <v>3615</v>
      </c>
      <c r="G324" s="73">
        <f t="shared" ref="G324:J324" si="163">SUM(G322:G323)</f>
        <v>3615</v>
      </c>
      <c r="H324" s="73">
        <f t="shared" si="163"/>
        <v>3615</v>
      </c>
      <c r="I324" s="73">
        <f t="shared" si="163"/>
        <v>3615</v>
      </c>
      <c r="J324" s="73">
        <f t="shared" si="163"/>
        <v>3615</v>
      </c>
    </row>
    <row r="325" spans="2:10" s="33" customFormat="1" ht="17.399999999999999" hidden="1" outlineLevel="1" x14ac:dyDescent="0.35">
      <c r="B325" s="58"/>
      <c r="C325" s="52"/>
      <c r="D325" s="73"/>
      <c r="E325" s="73"/>
      <c r="F325" s="73"/>
      <c r="G325" s="73"/>
      <c r="H325" s="73"/>
      <c r="I325" s="73"/>
      <c r="J325" s="73"/>
    </row>
    <row r="326" spans="2:10" hidden="1" outlineLevel="1" x14ac:dyDescent="0.3">
      <c r="B326"/>
      <c r="C326" s="56"/>
      <c r="D326" s="56"/>
      <c r="E326" s="137"/>
      <c r="F326" s="137"/>
      <c r="G326" s="56"/>
      <c r="H326" s="56"/>
      <c r="I326" s="56"/>
      <c r="J326" s="56"/>
    </row>
    <row r="327" spans="2:10" ht="25.8" collapsed="1" x14ac:dyDescent="0.5">
      <c r="B327" s="26" t="s">
        <v>177</v>
      </c>
      <c r="C327" s="79"/>
      <c r="D327" s="80"/>
      <c r="E327" s="80"/>
      <c r="F327" s="145"/>
      <c r="G327" s="80"/>
      <c r="H327" s="80"/>
      <c r="I327" s="80"/>
      <c r="J327" s="80"/>
    </row>
    <row r="328" spans="2:10" s="33" customFormat="1" ht="17.399999999999999" x14ac:dyDescent="0.35">
      <c r="B328" s="29" t="str">
        <f t="shared" ref="B328:J328" si="164">B23</f>
        <v xml:space="preserve">Fiscal year  </v>
      </c>
      <c r="C328" s="146">
        <f t="shared" si="164"/>
        <v>2022</v>
      </c>
      <c r="D328" s="146">
        <f t="shared" si="164"/>
        <v>2023</v>
      </c>
      <c r="E328" s="146">
        <f t="shared" si="164"/>
        <v>2024</v>
      </c>
      <c r="F328" s="147">
        <f t="shared" si="164"/>
        <v>2025</v>
      </c>
      <c r="G328" s="147">
        <f t="shared" si="164"/>
        <v>2026</v>
      </c>
      <c r="H328" s="147">
        <f t="shared" si="164"/>
        <v>2027</v>
      </c>
      <c r="I328" s="147">
        <f t="shared" si="164"/>
        <v>2028</v>
      </c>
      <c r="J328" s="147">
        <f t="shared" si="164"/>
        <v>2029</v>
      </c>
    </row>
    <row r="329" spans="2:10" s="33" customFormat="1" ht="17.399999999999999" x14ac:dyDescent="0.35">
      <c r="B329" s="85" t="str">
        <f t="shared" ref="B329:J329" si="165">B24</f>
        <v>Fiscal year end date</v>
      </c>
      <c r="C329" s="86">
        <f t="shared" si="165"/>
        <v>44834</v>
      </c>
      <c r="D329" s="86">
        <f t="shared" si="165"/>
        <v>45199</v>
      </c>
      <c r="E329" s="86">
        <f t="shared" si="165"/>
        <v>45565</v>
      </c>
      <c r="F329" s="86">
        <f t="shared" si="165"/>
        <v>45930</v>
      </c>
      <c r="G329" s="86">
        <f t="shared" si="165"/>
        <v>46295</v>
      </c>
      <c r="H329" s="86">
        <f t="shared" si="165"/>
        <v>46660</v>
      </c>
      <c r="I329" s="86">
        <f t="shared" si="165"/>
        <v>47026</v>
      </c>
      <c r="J329" s="86">
        <f t="shared" si="165"/>
        <v>47391</v>
      </c>
    </row>
    <row r="330" spans="2:10" s="33" customFormat="1" ht="17.399999999999999" x14ac:dyDescent="0.35">
      <c r="B330" s="37" t="s">
        <v>23</v>
      </c>
      <c r="C330" s="52"/>
      <c r="D330" s="52"/>
      <c r="E330" s="52"/>
      <c r="F330" s="52"/>
      <c r="G330" s="52"/>
      <c r="H330" s="52"/>
      <c r="I330" s="52"/>
      <c r="J330" s="52"/>
    </row>
    <row r="331" spans="2:10" s="33" customFormat="1" ht="17.399999999999999" x14ac:dyDescent="0.35">
      <c r="B331" s="33" t="s">
        <v>40</v>
      </c>
      <c r="C331" s="63"/>
      <c r="D331" s="52"/>
      <c r="E331" s="73"/>
      <c r="F331" s="73">
        <f ca="1">F42</f>
        <v>9462.5185237769838</v>
      </c>
      <c r="G331" s="73">
        <f ca="1">G42</f>
        <v>11967.873403269017</v>
      </c>
      <c r="H331" s="73">
        <f ca="1">H42</f>
        <v>15440.336886796322</v>
      </c>
      <c r="I331" s="73">
        <f ca="1">I42</f>
        <v>20070.02483801065</v>
      </c>
      <c r="J331" s="73">
        <f ca="1">J42</f>
        <v>25497.818399461426</v>
      </c>
    </row>
    <row r="332" spans="2:10" s="33" customFormat="1" ht="17.399999999999999" x14ac:dyDescent="0.35">
      <c r="B332" s="33" t="s">
        <v>178</v>
      </c>
      <c r="C332" s="63"/>
      <c r="D332" s="52"/>
      <c r="E332" s="50"/>
      <c r="F332" s="50">
        <f>F61</f>
        <v>3490.5072955926403</v>
      </c>
      <c r="G332" s="50">
        <f>G61</f>
        <v>3382.1833827138771</v>
      </c>
      <c r="H332" s="50">
        <f>H61</f>
        <v>3290.7969348123042</v>
      </c>
      <c r="I332" s="50">
        <f>I61</f>
        <v>3184.351291424879</v>
      </c>
      <c r="J332" s="50">
        <f>J61</f>
        <v>3074.28875425048</v>
      </c>
    </row>
    <row r="333" spans="2:10" s="33" customFormat="1" ht="17.399999999999999" x14ac:dyDescent="0.35">
      <c r="B333" s="33" t="s">
        <v>179</v>
      </c>
      <c r="C333" s="63"/>
      <c r="D333" s="52"/>
      <c r="E333" s="148"/>
      <c r="F333" s="148">
        <f ca="1">-F226</f>
        <v>-40.433491343233413</v>
      </c>
      <c r="G333" s="148">
        <f ca="1">-G226</f>
        <v>-34.010650369434074</v>
      </c>
      <c r="H333" s="148">
        <f ca="1">-H226</f>
        <v>-44.506650939161545</v>
      </c>
      <c r="I333" s="148">
        <f ca="1">-I226</f>
        <v>-45.910996766463313</v>
      </c>
      <c r="J333" s="148">
        <f ca="1">-J226</f>
        <v>-52.119926579113326</v>
      </c>
    </row>
    <row r="334" spans="2:10" s="33" customFormat="1" ht="17.399999999999999" x14ac:dyDescent="0.35">
      <c r="B334" s="43" t="s">
        <v>180</v>
      </c>
      <c r="C334" s="63"/>
      <c r="D334" s="52"/>
      <c r="E334" s="148"/>
      <c r="F334" s="148"/>
      <c r="G334" s="148"/>
      <c r="H334" s="148"/>
      <c r="I334" s="148"/>
      <c r="J334" s="148"/>
    </row>
    <row r="335" spans="2:10" s="33" customFormat="1" ht="17.399999999999999" x14ac:dyDescent="0.35">
      <c r="B335" s="33" t="s">
        <v>181</v>
      </c>
      <c r="C335" s="73"/>
      <c r="D335" s="52"/>
      <c r="E335" s="148"/>
      <c r="F335" s="73">
        <f>-F136</f>
        <v>-1056.8085306457579</v>
      </c>
      <c r="G335" s="73">
        <f>-G136</f>
        <v>-416.17599177279408</v>
      </c>
      <c r="H335" s="73">
        <f>-H136</f>
        <v>-874.25839407304011</v>
      </c>
      <c r="I335" s="73">
        <f>-I136</f>
        <v>-756.66859110392397</v>
      </c>
      <c r="J335" s="73">
        <f>-J136</f>
        <v>-939.71607915087225</v>
      </c>
    </row>
    <row r="336" spans="2:10" s="33" customFormat="1" ht="17.399999999999999" x14ac:dyDescent="0.35">
      <c r="B336" s="33" t="s">
        <v>182</v>
      </c>
      <c r="C336" s="52"/>
      <c r="D336" s="52"/>
      <c r="E336" s="138"/>
      <c r="F336" s="73">
        <f ca="1">-F144</f>
        <v>-681.02338025307472</v>
      </c>
      <c r="G336" s="73">
        <f ca="1">-G144</f>
        <v>-197.77076963896798</v>
      </c>
      <c r="H336" s="73">
        <f ca="1">-H144</f>
        <v>-596.61949581532645</v>
      </c>
      <c r="I336" s="73">
        <f ca="1">-I144</f>
        <v>-466.67192407869879</v>
      </c>
      <c r="J336" s="73">
        <f ca="1">-J144</f>
        <v>-612.50077874564704</v>
      </c>
    </row>
    <row r="337" spans="2:13" s="33" customFormat="1" ht="17.399999999999999" x14ac:dyDescent="0.35">
      <c r="B337" s="33" t="s">
        <v>183</v>
      </c>
      <c r="C337" s="52"/>
      <c r="D337" s="52"/>
      <c r="E337" s="138"/>
      <c r="F337" s="73">
        <f ca="1">F153</f>
        <v>956.11151895751937</v>
      </c>
      <c r="G337" s="73">
        <f ca="1">G153</f>
        <v>-35.529698230780923</v>
      </c>
      <c r="H337" s="73">
        <f ca="1">H153</f>
        <v>600.8151341451121</v>
      </c>
      <c r="I337" s="73">
        <f ca="1">I153</f>
        <v>334.69897983793999</v>
      </c>
      <c r="J337" s="73">
        <f ca="1">J153</f>
        <v>538.4625026700669</v>
      </c>
    </row>
    <row r="338" spans="2:13" s="33" customFormat="1" ht="17.399999999999999" x14ac:dyDescent="0.35">
      <c r="B338" s="33" t="s">
        <v>184</v>
      </c>
      <c r="C338" s="52"/>
      <c r="D338" s="52"/>
      <c r="E338" s="138"/>
      <c r="F338" s="73">
        <f>-(SUM(F92,F93,F95,F96,F97,F101,F102,F103)-SUM(E92,E93,E95,E96,E97,E101,E102,E103))</f>
        <v>0</v>
      </c>
      <c r="G338" s="73">
        <f t="shared" ref="G338:J338" si="166">-(SUM(G92,G93,G95,G96,G97,G101,G102,G103)-SUM(F92,F93,F95,F96,F97,F101,F102,F103))</f>
        <v>0</v>
      </c>
      <c r="H338" s="73">
        <f t="shared" si="166"/>
        <v>0</v>
      </c>
      <c r="I338" s="73">
        <f t="shared" si="166"/>
        <v>0</v>
      </c>
      <c r="J338" s="73">
        <f t="shared" si="166"/>
        <v>0</v>
      </c>
    </row>
    <row r="339" spans="2:13" s="33" customFormat="1" ht="17.399999999999999" x14ac:dyDescent="0.35">
      <c r="B339" s="43" t="s">
        <v>185</v>
      </c>
      <c r="C339" s="52"/>
      <c r="D339" s="52"/>
      <c r="E339" s="149"/>
      <c r="F339" s="149">
        <f t="shared" ref="F339:K339" ca="1" si="167">SUM(F331:F338)</f>
        <v>12130.871936085077</v>
      </c>
      <c r="G339" s="149">
        <f t="shared" ca="1" si="167"/>
        <v>14666.569675970919</v>
      </c>
      <c r="H339" s="149">
        <f t="shared" ca="1" si="167"/>
        <v>17816.564414926212</v>
      </c>
      <c r="I339" s="149">
        <f t="shared" ca="1" si="167"/>
        <v>22319.823597324383</v>
      </c>
      <c r="J339" s="149">
        <f t="shared" ca="1" si="167"/>
        <v>27506.232871906337</v>
      </c>
      <c r="K339" s="150">
        <f t="shared" si="167"/>
        <v>0</v>
      </c>
      <c r="L339" s="150"/>
      <c r="M339" s="150"/>
    </row>
    <row r="340" spans="2:13" s="33" customFormat="1" ht="17.399999999999999" x14ac:dyDescent="0.35">
      <c r="B340" s="33" t="s">
        <v>186</v>
      </c>
      <c r="C340" s="52"/>
      <c r="D340" s="52"/>
      <c r="E340" s="138"/>
      <c r="F340" s="73">
        <f>-F163</f>
        <v>-2174.1480917598692</v>
      </c>
      <c r="G340" s="73">
        <f>-G163</f>
        <v>-2246.611599893929</v>
      </c>
      <c r="H340" s="73">
        <f>-H163</f>
        <v>-2341.438015364306</v>
      </c>
      <c r="I340" s="73">
        <f>-I163</f>
        <v>-2439.2565472504034</v>
      </c>
      <c r="J340" s="73">
        <f>-J163</f>
        <v>-2550.303901023045</v>
      </c>
    </row>
    <row r="341" spans="2:13" s="33" customFormat="1" ht="17.399999999999999" x14ac:dyDescent="0.35">
      <c r="B341" s="43" t="s">
        <v>187</v>
      </c>
      <c r="C341" s="52"/>
      <c r="D341" s="52"/>
      <c r="E341" s="149"/>
      <c r="F341" s="151">
        <f>SUM(F340:F340)</f>
        <v>-2174.1480917598692</v>
      </c>
      <c r="G341" s="151">
        <f t="shared" ref="G341:J341" si="168">SUM(G340:G340)</f>
        <v>-2246.611599893929</v>
      </c>
      <c r="H341" s="151">
        <f t="shared" si="168"/>
        <v>-2341.438015364306</v>
      </c>
      <c r="I341" s="151">
        <f t="shared" si="168"/>
        <v>-2439.2565472504034</v>
      </c>
      <c r="J341" s="151">
        <f t="shared" si="168"/>
        <v>-2550.303901023045</v>
      </c>
    </row>
    <row r="342" spans="2:13" s="33" customFormat="1" ht="17.399999999999999" x14ac:dyDescent="0.35">
      <c r="B342" s="33" t="s">
        <v>188</v>
      </c>
      <c r="C342" s="52"/>
      <c r="D342" s="52"/>
      <c r="E342" s="138"/>
      <c r="F342" s="50">
        <f>F306</f>
        <v>0</v>
      </c>
      <c r="G342" s="50">
        <f>G306</f>
        <v>0</v>
      </c>
      <c r="H342" s="50">
        <f>H306</f>
        <v>0</v>
      </c>
      <c r="I342" s="50">
        <f>I306</f>
        <v>0</v>
      </c>
      <c r="J342" s="50">
        <f>J306</f>
        <v>0</v>
      </c>
    </row>
    <row r="343" spans="2:13" s="33" customFormat="1" ht="17.399999999999999" x14ac:dyDescent="0.35">
      <c r="B343" s="33" t="s">
        <v>189</v>
      </c>
      <c r="C343" s="52"/>
      <c r="D343" s="52"/>
      <c r="E343" s="138"/>
      <c r="F343" s="73">
        <f>F283</f>
        <v>4579</v>
      </c>
      <c r="G343" s="73">
        <f>G283</f>
        <v>5633.5</v>
      </c>
      <c r="H343" s="73">
        <f>H283</f>
        <v>5106.25</v>
      </c>
      <c r="I343" s="73">
        <f>I283</f>
        <v>5369.875</v>
      </c>
      <c r="J343" s="73">
        <f>J283</f>
        <v>5238.0625</v>
      </c>
    </row>
    <row r="344" spans="2:13" s="33" customFormat="1" ht="17.399999999999999" x14ac:dyDescent="0.35">
      <c r="B344" s="33" t="s">
        <v>190</v>
      </c>
      <c r="C344" s="52"/>
      <c r="D344" s="52"/>
      <c r="E344" s="138"/>
      <c r="F344" s="73">
        <v>0</v>
      </c>
      <c r="G344" s="73">
        <v>0</v>
      </c>
      <c r="H344" s="73">
        <v>0</v>
      </c>
      <c r="I344" s="73">
        <v>0</v>
      </c>
      <c r="J344" s="73">
        <v>0</v>
      </c>
    </row>
    <row r="345" spans="2:13" s="33" customFormat="1" ht="17.399999999999999" x14ac:dyDescent="0.35">
      <c r="B345" s="33" t="s">
        <v>191</v>
      </c>
      <c r="C345" s="52"/>
      <c r="D345" s="52"/>
      <c r="E345" s="138"/>
      <c r="F345" s="50">
        <f ca="1">F268</f>
        <v>-6598</v>
      </c>
      <c r="G345" s="50">
        <f ca="1">G268</f>
        <v>0</v>
      </c>
      <c r="H345" s="50">
        <f ca="1">H268</f>
        <v>0</v>
      </c>
      <c r="I345" s="50">
        <f ca="1">I268</f>
        <v>0</v>
      </c>
      <c r="J345" s="50">
        <f ca="1">J268</f>
        <v>0</v>
      </c>
    </row>
    <row r="346" spans="2:13" s="33" customFormat="1" ht="17.399999999999999" x14ac:dyDescent="0.35">
      <c r="B346" s="33" t="s">
        <v>192</v>
      </c>
      <c r="C346" s="52"/>
      <c r="D346" s="52"/>
      <c r="E346" s="138"/>
      <c r="F346" s="138">
        <f>F314</f>
        <v>-3709</v>
      </c>
      <c r="G346" s="138">
        <f>G314</f>
        <v>-3709</v>
      </c>
      <c r="H346" s="138">
        <f>H314</f>
        <v>-3709</v>
      </c>
      <c r="I346" s="138">
        <f>I314</f>
        <v>-3709</v>
      </c>
      <c r="J346" s="138">
        <f>J314</f>
        <v>-3709</v>
      </c>
    </row>
    <row r="347" spans="2:13" s="33" customFormat="1" ht="17.399999999999999" x14ac:dyDescent="0.35">
      <c r="B347" s="33" t="s">
        <v>193</v>
      </c>
      <c r="C347" s="52"/>
      <c r="D347" s="52"/>
      <c r="E347" s="138"/>
      <c r="F347" s="138">
        <f>SUM(F108,F109,F110,F111,F112,F113,F115,F116,F117)-SUM(E108,E109,E110,E111,E112,E113,E115,E116,E117)</f>
        <v>0</v>
      </c>
      <c r="G347" s="138">
        <f>SUM(G108,G109,G110,G111,G112,G113,G115,G116,G117)-SUM(F108,F109,F110,F111,F112,F113,F115,F116,F117)</f>
        <v>0</v>
      </c>
      <c r="H347" s="138">
        <f>SUM(H108,H109,H110,H111,H112,H113,H115,H116,H117)-SUM(G108,G109,G110,G111,G112,G113,G115,G116,G117)</f>
        <v>0</v>
      </c>
      <c r="I347" s="138">
        <f>SUM(I108,I109,I110,I111,I112,I113,I115,I116,I117)-SUM(H108,H109,H110,H111,H112,H113,H115,H116,H117)</f>
        <v>0</v>
      </c>
      <c r="J347" s="138">
        <f>SUM(J108,J109,J110,J111,J112,J113,J115,J116,J117)-SUM(I108,I109,I110,I111,I112,I113,I115,I116,I117)</f>
        <v>0</v>
      </c>
    </row>
    <row r="348" spans="2:13" s="33" customFormat="1" ht="17.399999999999999" x14ac:dyDescent="0.35">
      <c r="B348" s="43" t="s">
        <v>194</v>
      </c>
      <c r="C348" s="52"/>
      <c r="D348" s="52"/>
      <c r="E348" s="149"/>
      <c r="F348" s="149">
        <f ca="1">SUM(F342:F347)</f>
        <v>-5728</v>
      </c>
      <c r="G348" s="149">
        <f t="shared" ref="G348:J348" ca="1" si="169">SUM(G342:G347)</f>
        <v>1924.5</v>
      </c>
      <c r="H348" s="149">
        <f t="shared" ca="1" si="169"/>
        <v>1397.25</v>
      </c>
      <c r="I348" s="149">
        <f t="shared" ca="1" si="169"/>
        <v>1660.875</v>
      </c>
      <c r="J348" s="149">
        <f t="shared" ca="1" si="169"/>
        <v>1529.0625</v>
      </c>
    </row>
    <row r="349" spans="2:13" s="33" customFormat="1" ht="17.399999999999999" x14ac:dyDescent="0.35">
      <c r="B349" s="33" t="s">
        <v>195</v>
      </c>
      <c r="C349" s="52"/>
      <c r="D349" s="52"/>
      <c r="E349" s="138"/>
      <c r="F349" s="138">
        <f ca="1">F339+F341+F348</f>
        <v>4228.7238443252081</v>
      </c>
      <c r="G349" s="138">
        <f t="shared" ref="G349:J349" ca="1" si="170">G339+G341+G348</f>
        <v>14344.45807607699</v>
      </c>
      <c r="H349" s="138">
        <f t="shared" ca="1" si="170"/>
        <v>16872.376399561905</v>
      </c>
      <c r="I349" s="138">
        <f t="shared" ca="1" si="170"/>
        <v>21541.44205007398</v>
      </c>
      <c r="J349" s="138">
        <f t="shared" ca="1" si="170"/>
        <v>26484.991470883291</v>
      </c>
    </row>
    <row r="350" spans="2:13" s="33" customFormat="1" ht="17.399999999999999" x14ac:dyDescent="0.35">
      <c r="B350" s="33" t="s">
        <v>196</v>
      </c>
      <c r="C350" s="52"/>
      <c r="D350" s="52"/>
      <c r="E350" s="138"/>
      <c r="F350" s="138">
        <f>E90</f>
        <v>9156</v>
      </c>
      <c r="G350" s="138">
        <f ca="1">F90</f>
        <v>13384.723844325208</v>
      </c>
      <c r="H350" s="138">
        <f ca="1">G90</f>
        <v>27729.181920396106</v>
      </c>
      <c r="I350" s="138">
        <f ca="1">H90</f>
        <v>44601.558319958</v>
      </c>
      <c r="J350" s="138">
        <f ca="1">I90</f>
        <v>66143.000364301581</v>
      </c>
    </row>
    <row r="351" spans="2:13" s="33" customFormat="1" ht="17.399999999999999" x14ac:dyDescent="0.35">
      <c r="B351" s="43" t="s">
        <v>197</v>
      </c>
      <c r="C351" s="52"/>
      <c r="D351" s="52"/>
      <c r="E351" s="138"/>
      <c r="F351" s="149">
        <f ca="1">SUM(F349:F350)</f>
        <v>13384.723844325208</v>
      </c>
      <c r="G351" s="149">
        <f t="shared" ref="G351:J351" ca="1" si="171">SUM(G349:G350)</f>
        <v>27729.181920402196</v>
      </c>
      <c r="H351" s="149">
        <f t="shared" ca="1" si="171"/>
        <v>44601.558319958014</v>
      </c>
      <c r="I351" s="149">
        <f t="shared" ca="1" si="171"/>
        <v>66143.000370031979</v>
      </c>
      <c r="J351" s="149">
        <f t="shared" ca="1" si="171"/>
        <v>92627.991835184876</v>
      </c>
    </row>
    <row r="352" spans="2:13" s="33" customFormat="1" ht="17.399999999999999" x14ac:dyDescent="0.35">
      <c r="C352" s="52"/>
      <c r="D352" s="52"/>
      <c r="E352" s="52"/>
      <c r="F352" s="52"/>
      <c r="G352" s="52"/>
      <c r="H352" s="52"/>
      <c r="I352" s="52"/>
      <c r="J352" s="52"/>
    </row>
    <row r="353" spans="2:10" s="33" customFormat="1" ht="17.399999999999999" x14ac:dyDescent="0.35">
      <c r="C353" s="52"/>
      <c r="D353" s="52"/>
      <c r="E353" s="52"/>
      <c r="F353" s="52"/>
      <c r="G353" s="52"/>
      <c r="H353" s="52"/>
      <c r="I353" s="52"/>
      <c r="J353" s="52"/>
    </row>
    <row r="354" spans="2:10" s="33" customFormat="1" ht="17.399999999999999" hidden="1" outlineLevel="1" x14ac:dyDescent="0.35">
      <c r="B354" s="152" t="s">
        <v>198</v>
      </c>
      <c r="C354" s="52"/>
      <c r="D354" s="52"/>
      <c r="E354" s="52"/>
      <c r="F354" s="52"/>
      <c r="G354" s="52"/>
      <c r="H354" s="52"/>
      <c r="I354" s="52"/>
      <c r="J354" s="52"/>
    </row>
    <row r="355" spans="2:10" s="33" customFormat="1" ht="17.399999999999999" hidden="1" outlineLevel="1" x14ac:dyDescent="0.35">
      <c r="B355" s="58" t="s">
        <v>113</v>
      </c>
      <c r="C355" s="52"/>
      <c r="D355" s="107">
        <f>C357</f>
        <v>10465</v>
      </c>
      <c r="E355" s="73">
        <f>D357</f>
        <v>10084</v>
      </c>
      <c r="F355" s="73">
        <f>E357</f>
        <v>9156</v>
      </c>
      <c r="G355" s="73">
        <f t="shared" ref="G355:J355" ca="1" si="172">F357</f>
        <v>13384.723844325066</v>
      </c>
      <c r="H355" s="73">
        <f t="shared" ca="1" si="172"/>
        <v>27729.181920396106</v>
      </c>
      <c r="I355" s="73">
        <f t="shared" ca="1" si="172"/>
        <v>44601.558319304982</v>
      </c>
      <c r="J355" s="73">
        <f t="shared" ca="1" si="172"/>
        <v>66143.000364300533</v>
      </c>
    </row>
    <row r="356" spans="2:10" s="33" customFormat="1" ht="17.399999999999999" hidden="1" outlineLevel="1" x14ac:dyDescent="0.35">
      <c r="B356" s="153" t="s">
        <v>199</v>
      </c>
      <c r="C356" s="52"/>
      <c r="D356" s="52"/>
      <c r="E356" s="52"/>
      <c r="F356" s="73">
        <f ca="1">F357-F355</f>
        <v>4228.7238443250662</v>
      </c>
      <c r="G356" s="73">
        <f t="shared" ref="G356:J356" ca="1" si="173">G357-G355</f>
        <v>14344.45807607104</v>
      </c>
      <c r="H356" s="73">
        <f t="shared" ca="1" si="173"/>
        <v>16872.376398908877</v>
      </c>
      <c r="I356" s="73">
        <f t="shared" ca="1" si="173"/>
        <v>21541.442044995551</v>
      </c>
      <c r="J356" s="73">
        <f t="shared" ca="1" si="173"/>
        <v>26484.991225050515</v>
      </c>
    </row>
    <row r="357" spans="2:10" s="33" customFormat="1" ht="17.399999999999999" hidden="1" outlineLevel="1" x14ac:dyDescent="0.35">
      <c r="B357" s="58" t="s">
        <v>115</v>
      </c>
      <c r="C357" s="107">
        <f t="shared" ref="C357:J357" si="174">C90</f>
        <v>10465</v>
      </c>
      <c r="D357" s="73">
        <f t="shared" si="174"/>
        <v>10084</v>
      </c>
      <c r="E357" s="73">
        <f t="shared" si="174"/>
        <v>9156</v>
      </c>
      <c r="F357" s="73">
        <f t="shared" ca="1" si="174"/>
        <v>13384.723844325208</v>
      </c>
      <c r="G357" s="73">
        <f t="shared" ca="1" si="174"/>
        <v>27729.181920396106</v>
      </c>
      <c r="H357" s="73">
        <f t="shared" ca="1" si="174"/>
        <v>44601.558319958</v>
      </c>
      <c r="I357" s="73">
        <f t="shared" ca="1" si="174"/>
        <v>66143.000364301581</v>
      </c>
      <c r="J357" s="73">
        <f t="shared" ca="1" si="174"/>
        <v>92627.991835176173</v>
      </c>
    </row>
    <row r="358" spans="2:10" s="33" customFormat="1" ht="17.399999999999999" hidden="1" outlineLevel="1" x14ac:dyDescent="0.35">
      <c r="B358" s="58"/>
      <c r="C358" s="52"/>
      <c r="D358" s="52"/>
      <c r="E358" s="52"/>
      <c r="F358" s="52"/>
      <c r="G358" s="52"/>
      <c r="H358" s="52"/>
      <c r="I358" s="52"/>
      <c r="J358" s="52"/>
    </row>
    <row r="359" spans="2:10" s="33" customFormat="1" ht="17.399999999999999" hidden="1" outlineLevel="1" x14ac:dyDescent="0.35">
      <c r="B359" s="58" t="s">
        <v>200</v>
      </c>
      <c r="C359" s="52"/>
      <c r="D359" s="154">
        <f>D360/AVERAGE(D355,D357)</f>
        <v>0.23378266582315441</v>
      </c>
      <c r="E359" s="154">
        <f>E360/AVERAGE(E355,E357)</f>
        <v>0.29449064449064449</v>
      </c>
      <c r="F359" s="154">
        <f ca="1">AVERAGE(D359:F359)</f>
        <v>0.26413665515689938</v>
      </c>
      <c r="G359" s="154">
        <f t="shared" ref="G359:J359" ca="1" si="175">AVERAGE(E359:G359)</f>
        <v>0.27931364982377188</v>
      </c>
      <c r="H359" s="154">
        <f t="shared" ca="1" si="175"/>
        <v>0.27172515249033563</v>
      </c>
      <c r="I359" s="154">
        <f t="shared" ca="1" si="175"/>
        <v>0.2755194011570537</v>
      </c>
      <c r="J359" s="154">
        <f t="shared" ca="1" si="175"/>
        <v>0.27362227682369467</v>
      </c>
    </row>
    <row r="360" spans="2:10" s="33" customFormat="1" ht="17.399999999999999" hidden="1" outlineLevel="1" x14ac:dyDescent="0.35">
      <c r="B360" s="58" t="s">
        <v>33</v>
      </c>
      <c r="C360" s="73"/>
      <c r="D360" s="73">
        <f>D35</f>
        <v>2402</v>
      </c>
      <c r="E360" s="73">
        <f>E35</f>
        <v>2833</v>
      </c>
      <c r="F360" s="73">
        <f ca="1">IF($C$11=1,0,F359*AVERAGE(F355,F357))</f>
        <v>2976.9157005277129</v>
      </c>
      <c r="G360" s="73">
        <f t="shared" ref="G360:J360" ca="1" si="176">IF($C$11=1,0,G359*AVERAGE(G355,G357))</f>
        <v>5741.8375388274426</v>
      </c>
      <c r="H360" s="73">
        <f t="shared" ca="1" si="176"/>
        <v>9827.0407107745377</v>
      </c>
      <c r="I360" s="73">
        <f t="shared" ca="1" si="176"/>
        <v>15256.137244954736</v>
      </c>
      <c r="J360" s="73">
        <f t="shared" ca="1" si="176"/>
        <v>21721.640189588939</v>
      </c>
    </row>
    <row r="361" spans="2:10" s="33" customFormat="1" ht="17.399999999999999" hidden="1" outlineLevel="1" x14ac:dyDescent="0.35">
      <c r="C361" s="52"/>
      <c r="D361" s="52"/>
      <c r="E361" s="52"/>
      <c r="F361" s="52"/>
      <c r="G361" s="52"/>
      <c r="H361" s="52"/>
      <c r="I361" s="52"/>
      <c r="J361" s="52"/>
    </row>
    <row r="362" spans="2:10" s="33" customFormat="1" ht="17.399999999999999" hidden="1" outlineLevel="1" x14ac:dyDescent="0.35">
      <c r="B362" s="155" t="s">
        <v>201</v>
      </c>
      <c r="C362" s="110"/>
      <c r="D362" s="110"/>
      <c r="E362" s="110"/>
      <c r="F362" s="110"/>
      <c r="G362" s="110"/>
      <c r="H362" s="110"/>
      <c r="I362" s="110"/>
      <c r="J362" s="110"/>
    </row>
    <row r="363" spans="2:10" s="33" customFormat="1" ht="17.399999999999999" hidden="1" outlineLevel="1" x14ac:dyDescent="0.35">
      <c r="B363" s="43"/>
      <c r="C363" s="110"/>
      <c r="D363" s="110"/>
      <c r="E363" s="110"/>
      <c r="F363" s="110"/>
      <c r="G363" s="110"/>
      <c r="H363" s="110"/>
      <c r="I363" s="110"/>
      <c r="J363" s="110"/>
    </row>
    <row r="364" spans="2:10" s="33" customFormat="1" ht="17.399999999999999" hidden="1" outlineLevel="1" x14ac:dyDescent="0.35">
      <c r="B364" s="43" t="s">
        <v>43</v>
      </c>
      <c r="C364" s="52"/>
      <c r="D364" s="52"/>
      <c r="E364" s="52"/>
      <c r="F364" s="52"/>
      <c r="G364" s="52"/>
      <c r="H364" s="52"/>
      <c r="I364" s="52"/>
      <c r="J364" s="52"/>
    </row>
    <row r="365" spans="2:10" s="33" customFormat="1" ht="17.399999999999999" hidden="1" outlineLevel="1" x14ac:dyDescent="0.35">
      <c r="B365" s="33" t="s">
        <v>113</v>
      </c>
      <c r="C365" s="52"/>
      <c r="D365" s="52"/>
      <c r="E365" s="63">
        <f>D368</f>
        <v>791</v>
      </c>
      <c r="F365" s="63">
        <f t="shared" ref="F365:J365" si="177">E368</f>
        <v>788</v>
      </c>
      <c r="G365" s="63">
        <f t="shared" si="177"/>
        <v>788</v>
      </c>
      <c r="H365" s="63">
        <f t="shared" si="177"/>
        <v>788</v>
      </c>
      <c r="I365" s="63">
        <f t="shared" si="177"/>
        <v>788</v>
      </c>
      <c r="J365" s="63">
        <f t="shared" si="177"/>
        <v>788</v>
      </c>
    </row>
    <row r="366" spans="2:10" s="33" customFormat="1" ht="17.399999999999999" hidden="1" outlineLevel="1" x14ac:dyDescent="0.35">
      <c r="B366" s="153" t="s">
        <v>202</v>
      </c>
      <c r="C366" s="52"/>
      <c r="D366" s="52"/>
      <c r="E366" s="52">
        <f t="shared" ref="E366:J366" si="178">E300/E372</f>
        <v>0</v>
      </c>
      <c r="F366" s="52">
        <f t="shared" si="178"/>
        <v>0</v>
      </c>
      <c r="G366" s="52">
        <f t="shared" si="178"/>
        <v>0</v>
      </c>
      <c r="H366" s="52">
        <f t="shared" si="178"/>
        <v>0</v>
      </c>
      <c r="I366" s="52">
        <f t="shared" si="178"/>
        <v>0</v>
      </c>
      <c r="J366" s="52">
        <f t="shared" si="178"/>
        <v>0</v>
      </c>
    </row>
    <row r="367" spans="2:10" s="33" customFormat="1" ht="17.399999999999999" hidden="1" outlineLevel="1" x14ac:dyDescent="0.35">
      <c r="B367" s="153" t="s">
        <v>203</v>
      </c>
      <c r="C367" s="52"/>
      <c r="D367" s="52"/>
      <c r="E367" s="73">
        <f t="shared" ref="E367:J367" si="179">E309/E372</f>
        <v>0</v>
      </c>
      <c r="F367" s="73">
        <f t="shared" si="179"/>
        <v>0</v>
      </c>
      <c r="G367" s="73">
        <f t="shared" si="179"/>
        <v>0</v>
      </c>
      <c r="H367" s="73">
        <f t="shared" si="179"/>
        <v>0</v>
      </c>
      <c r="I367" s="73">
        <f t="shared" si="179"/>
        <v>0</v>
      </c>
      <c r="J367" s="73">
        <f t="shared" si="179"/>
        <v>0</v>
      </c>
    </row>
    <row r="368" spans="2:10" s="33" customFormat="1" ht="17.399999999999999" hidden="1" outlineLevel="1" x14ac:dyDescent="0.35">
      <c r="B368" s="33" t="s">
        <v>115</v>
      </c>
      <c r="C368" s="52"/>
      <c r="D368" s="63">
        <f>D46</f>
        <v>791</v>
      </c>
      <c r="E368" s="63">
        <f>E46</f>
        <v>788</v>
      </c>
      <c r="F368" s="63">
        <f>SUM(F365:F367)</f>
        <v>788</v>
      </c>
      <c r="G368" s="63">
        <f t="shared" ref="G368:J368" si="180">SUM(G365:G367)</f>
        <v>788</v>
      </c>
      <c r="H368" s="63">
        <f t="shared" si="180"/>
        <v>788</v>
      </c>
      <c r="I368" s="63">
        <f t="shared" si="180"/>
        <v>788</v>
      </c>
      <c r="J368" s="63">
        <f t="shared" si="180"/>
        <v>788</v>
      </c>
    </row>
    <row r="369" spans="2:10" s="33" customFormat="1" ht="17.399999999999999" hidden="1" outlineLevel="1" x14ac:dyDescent="0.35">
      <c r="B369" s="43"/>
      <c r="C369" s="52"/>
      <c r="D369" s="52"/>
      <c r="E369" s="52"/>
      <c r="F369" s="52"/>
      <c r="G369" s="52"/>
      <c r="H369" s="52"/>
      <c r="I369" s="52"/>
      <c r="J369" s="52"/>
    </row>
    <row r="370" spans="2:10" s="33" customFormat="1" ht="17.399999999999999" hidden="1" outlineLevel="1" x14ac:dyDescent="0.35">
      <c r="B370" s="58" t="s">
        <v>204</v>
      </c>
      <c r="C370" s="156">
        <f>C50</f>
        <v>4.67</v>
      </c>
      <c r="D370" s="156">
        <f>D50</f>
        <v>10.039999999999999</v>
      </c>
      <c r="E370" s="156">
        <f>E50</f>
        <v>10.42</v>
      </c>
      <c r="F370" s="157"/>
      <c r="G370" s="157"/>
      <c r="H370" s="157"/>
      <c r="I370" s="157"/>
      <c r="J370" s="157"/>
    </row>
    <row r="371" spans="2:10" s="33" customFormat="1" ht="17.399999999999999" hidden="1" outlineLevel="1" x14ac:dyDescent="0.35">
      <c r="B371" s="58" t="s">
        <v>205</v>
      </c>
      <c r="C371" s="52"/>
      <c r="D371" s="59">
        <f>(D370-C370)/$E$372</f>
        <v>2.4075319435104232E-2</v>
      </c>
      <c r="E371" s="59">
        <f>(E370-D370)/$E$372</f>
        <v>1.7036538892625005E-3</v>
      </c>
      <c r="F371" s="114">
        <f>AVERAGE(D371:E371)</f>
        <v>1.2889486662183366E-2</v>
      </c>
      <c r="G371" s="114">
        <f t="shared" ref="G371:J371" si="181">AVERAGE(E371:F371)</f>
        <v>7.2965702757229328E-3</v>
      </c>
      <c r="H371" s="114">
        <f t="shared" si="181"/>
        <v>1.0093028468953149E-2</v>
      </c>
      <c r="I371" s="114">
        <f t="shared" si="181"/>
        <v>8.6947993723380419E-3</v>
      </c>
      <c r="J371" s="114">
        <f t="shared" si="181"/>
        <v>9.3939139206455947E-3</v>
      </c>
    </row>
    <row r="372" spans="2:10" s="33" customFormat="1" ht="17.399999999999999" hidden="1" outlineLevel="1" x14ac:dyDescent="0.35">
      <c r="B372" s="58" t="s">
        <v>206</v>
      </c>
      <c r="C372" s="52"/>
      <c r="D372" s="52"/>
      <c r="E372" s="158">
        <f>C8</f>
        <v>223.05</v>
      </c>
      <c r="F372" s="159">
        <f>E372*(1+F371)</f>
        <v>225.92500000000001</v>
      </c>
      <c r="G372" s="159">
        <f t="shared" ref="G372:J372" si="182">F372*(1+G371)</f>
        <v>227.57347763954269</v>
      </c>
      <c r="H372" s="159">
        <f t="shared" si="182"/>
        <v>229.87038322813726</v>
      </c>
      <c r="I372" s="159">
        <f t="shared" si="182"/>
        <v>231.86906009194837</v>
      </c>
      <c r="J372" s="159">
        <f t="shared" si="182"/>
        <v>234.04721808331314</v>
      </c>
    </row>
    <row r="373" spans="2:10" collapsed="1" x14ac:dyDescent="0.3">
      <c r="B373"/>
      <c r="C373" s="56"/>
      <c r="D373" s="56"/>
      <c r="E373" s="56"/>
      <c r="F373" s="56"/>
      <c r="G373" s="56"/>
      <c r="H373" s="56"/>
      <c r="I373" s="56"/>
      <c r="J373" s="56"/>
    </row>
    <row r="374" spans="2:10" ht="25.8" x14ac:dyDescent="0.5">
      <c r="B374" s="26" t="s">
        <v>207</v>
      </c>
      <c r="C374" s="79"/>
      <c r="D374" s="56"/>
      <c r="E374" s="56"/>
      <c r="F374" s="56"/>
      <c r="G374" s="56"/>
      <c r="H374" s="56"/>
      <c r="I374" s="56"/>
      <c r="J374" s="56"/>
    </row>
    <row r="375" spans="2:10" x14ac:dyDescent="0.3">
      <c r="B375"/>
      <c r="C375" s="56"/>
      <c r="D375" s="56"/>
      <c r="E375" s="56"/>
      <c r="F375" s="56"/>
      <c r="G375" s="56"/>
      <c r="H375" s="56"/>
      <c r="I375" s="56"/>
      <c r="J375" s="56"/>
    </row>
    <row r="376" spans="2:10" ht="17.399999999999999" x14ac:dyDescent="0.35">
      <c r="B376" s="43" t="s">
        <v>208</v>
      </c>
      <c r="C376" s="105"/>
      <c r="D376" s="105"/>
      <c r="E376" s="105"/>
      <c r="F376" s="52"/>
      <c r="G376" s="52"/>
      <c r="H376" s="52"/>
      <c r="I376" s="52"/>
      <c r="J376" s="52"/>
    </row>
    <row r="377" spans="2:10" ht="17.399999999999999" x14ac:dyDescent="0.35">
      <c r="B377" s="33" t="s">
        <v>209</v>
      </c>
      <c r="C377" s="160"/>
      <c r="D377" s="161">
        <f>(D90+D91+D92+D93+D94+D96)/(D106+D107+D112+D108)</f>
        <v>2.1600963644327638</v>
      </c>
      <c r="E377" s="161">
        <f t="shared" ref="E377:J377" si="183">(E90+E91+E92+E93+E94+E96)/(E106+E107+E112+E108)</f>
        <v>2.2607199367088606</v>
      </c>
      <c r="F377" s="161">
        <f t="shared" ca="1" si="183"/>
        <v>3.214033879698357</v>
      </c>
      <c r="G377" s="161">
        <f t="shared" ca="1" si="183"/>
        <v>3.9829427218690805</v>
      </c>
      <c r="H377" s="161">
        <f t="shared" ca="1" si="183"/>
        <v>4.7724258993439417</v>
      </c>
      <c r="I377" s="161">
        <f t="shared" ca="1" si="183"/>
        <v>5.8030694676160248</v>
      </c>
      <c r="J377" s="161">
        <f t="shared" ca="1" si="183"/>
        <v>6.9850685636300751</v>
      </c>
    </row>
    <row r="378" spans="2:10" ht="17.399999999999999" x14ac:dyDescent="0.35">
      <c r="B378" s="33" t="s">
        <v>210</v>
      </c>
      <c r="C378" s="160"/>
      <c r="D378" s="161">
        <f>(D90+D91+D92+D96)/(D106+D107+D108+D112)</f>
        <v>1.4618557453642869</v>
      </c>
      <c r="E378" s="161">
        <f t="shared" ref="E378:J378" si="184">(E90+E91+E92+E96)/(E106+E107+E108+E112)</f>
        <v>1.5127768987341772</v>
      </c>
      <c r="F378" s="161">
        <f t="shared" ca="1" si="184"/>
        <v>2.2165335161148763</v>
      </c>
      <c r="G378" s="161">
        <f t="shared" ca="1" si="184"/>
        <v>2.9735453715174787</v>
      </c>
      <c r="H378" s="161">
        <f t="shared" ca="1" si="184"/>
        <v>3.7635156803724685</v>
      </c>
      <c r="I378" s="161">
        <f t="shared" ca="1" si="184"/>
        <v>4.7878786906292925</v>
      </c>
      <c r="J378" s="161">
        <f t="shared" ca="1" si="184"/>
        <v>5.9667530538992644</v>
      </c>
    </row>
    <row r="379" spans="2:10" ht="17.399999999999999" x14ac:dyDescent="0.35">
      <c r="B379" s="33" t="s">
        <v>211</v>
      </c>
      <c r="C379" s="160"/>
      <c r="D379" s="161">
        <f>(D90+D92)/(D106+D107+D108+D109+D111+D112)</f>
        <v>0.48642230738485409</v>
      </c>
      <c r="E379" s="161">
        <f t="shared" ref="E379:J379" si="185">(E90+E92)/(E106+E107+E108+E109+E111+E112)</f>
        <v>0.49193790686029043</v>
      </c>
      <c r="F379" s="161">
        <f t="shared" ca="1" si="185"/>
        <v>0.69615272640092374</v>
      </c>
      <c r="G379" s="161">
        <f t="shared" ca="1" si="185"/>
        <v>1.11553712211129</v>
      </c>
      <c r="H379" s="161">
        <f t="shared" ca="1" si="185"/>
        <v>1.5802693693696179</v>
      </c>
      <c r="I379" s="161">
        <f t="shared" ca="1" si="185"/>
        <v>2.1772484655549151</v>
      </c>
      <c r="J379" s="161">
        <f t="shared" ca="1" si="185"/>
        <v>2.88556023143276</v>
      </c>
    </row>
    <row r="380" spans="2:10" ht="17.399999999999999" x14ac:dyDescent="0.35">
      <c r="B380" s="33" t="s">
        <v>212</v>
      </c>
      <c r="C380" s="56"/>
      <c r="D380" s="162">
        <f>D140+D149-D157</f>
        <v>96.146861876827714</v>
      </c>
      <c r="E380" s="162">
        <f t="shared" ref="E380:J380" si="186">E140+E149-E157</f>
        <v>98.008190450473037</v>
      </c>
      <c r="F380" s="162">
        <f t="shared" si="186"/>
        <v>97.077526163650404</v>
      </c>
      <c r="G380" s="162">
        <f t="shared" si="186"/>
        <v>97.542858307061707</v>
      </c>
      <c r="H380" s="162">
        <f t="shared" si="186"/>
        <v>97.310192235356055</v>
      </c>
      <c r="I380" s="162">
        <f t="shared" si="186"/>
        <v>97.426525271208845</v>
      </c>
      <c r="J380" s="162">
        <f t="shared" si="186"/>
        <v>97.36835875328245</v>
      </c>
    </row>
    <row r="381" spans="2:10" x14ac:dyDescent="0.3">
      <c r="B381"/>
      <c r="C381" s="56"/>
      <c r="D381" s="56"/>
      <c r="E381" s="56"/>
      <c r="F381" s="56"/>
      <c r="G381" s="56"/>
      <c r="H381" s="56"/>
      <c r="I381" s="56"/>
      <c r="J381" s="56"/>
    </row>
    <row r="382" spans="2:10" ht="17.399999999999999" x14ac:dyDescent="0.35">
      <c r="B382" s="43" t="s">
        <v>213</v>
      </c>
      <c r="C382" s="56"/>
      <c r="D382" s="56"/>
      <c r="E382" s="56"/>
      <c r="F382" s="56"/>
      <c r="G382" s="56"/>
      <c r="H382" s="56"/>
      <c r="I382" s="56"/>
      <c r="J382" s="56"/>
    </row>
    <row r="383" spans="2:10" ht="17.399999999999999" x14ac:dyDescent="0.35">
      <c r="B383" s="33" t="s">
        <v>214</v>
      </c>
      <c r="C383" s="56"/>
      <c r="D383" s="105">
        <f>D28/D26</f>
        <v>0.38882508480008549</v>
      </c>
      <c r="E383" s="105">
        <f t="shared" ref="E383:J383" si="187">E28/E26</f>
        <v>0.39276965626234689</v>
      </c>
      <c r="F383" s="105">
        <f t="shared" ca="1" si="187"/>
        <v>0.4</v>
      </c>
      <c r="G383" s="105">
        <f t="shared" ca="1" si="187"/>
        <v>0.4</v>
      </c>
      <c r="H383" s="105">
        <f t="shared" ca="1" si="187"/>
        <v>0.39999999999999997</v>
      </c>
      <c r="I383" s="105">
        <f t="shared" ca="1" si="187"/>
        <v>0.39999999999999997</v>
      </c>
      <c r="J383" s="105">
        <f t="shared" ca="1" si="187"/>
        <v>0.4</v>
      </c>
    </row>
    <row r="384" spans="2:10" ht="17.399999999999999" x14ac:dyDescent="0.35">
      <c r="B384" s="33" t="s">
        <v>215</v>
      </c>
      <c r="C384" s="56"/>
      <c r="D384" s="105">
        <f>D34/D26</f>
        <v>0.13996688122646297</v>
      </c>
      <c r="E384" s="105">
        <f t="shared" ref="E384:J384" si="188">E34/E26</f>
        <v>0.13723166074015541</v>
      </c>
      <c r="F384" s="105">
        <f t="shared" ca="1" si="188"/>
        <v>0.13083948861899539</v>
      </c>
      <c r="G384" s="105">
        <f t="shared" ca="1" si="188"/>
        <v>0.13048986549243954</v>
      </c>
      <c r="H384" s="105">
        <f t="shared" ca="1" si="188"/>
        <v>0.13006503411237</v>
      </c>
      <c r="I384" s="105">
        <f t="shared" ca="1" si="188"/>
        <v>0.12966140831853318</v>
      </c>
      <c r="J384" s="105">
        <f t="shared" ca="1" si="188"/>
        <v>0.12924072362010977</v>
      </c>
    </row>
    <row r="385" spans="2:10" ht="17.399999999999999" x14ac:dyDescent="0.35">
      <c r="B385" s="33" t="s">
        <v>216</v>
      </c>
      <c r="C385" s="105"/>
      <c r="D385" s="105">
        <f>D42/D26</f>
        <v>0.11389920141021874</v>
      </c>
      <c r="E385" s="105">
        <f t="shared" ref="E385:J385" si="189">E42/E26</f>
        <v>0.11843803503226656</v>
      </c>
      <c r="F385" s="105">
        <f t="shared" ca="1" si="189"/>
        <v>0.11968361942300311</v>
      </c>
      <c r="G385" s="105">
        <f t="shared" ca="1" si="189"/>
        <v>0.14648936082944722</v>
      </c>
      <c r="H385" s="105">
        <f t="shared" ca="1" si="189"/>
        <v>0.18133899354969632</v>
      </c>
      <c r="I385" s="105">
        <f t="shared" ca="1" si="189"/>
        <v>0.22625986572126514</v>
      </c>
      <c r="J385" s="105">
        <f t="shared" ca="1" si="189"/>
        <v>0.27493383050778497</v>
      </c>
    </row>
    <row r="386" spans="2:10" ht="17.399999999999999" x14ac:dyDescent="0.35">
      <c r="B386" s="33" t="s">
        <v>217</v>
      </c>
      <c r="C386" s="105"/>
      <c r="D386" s="105">
        <f>D42/D104</f>
        <v>5.8793928280920407E-2</v>
      </c>
      <c r="E386" s="105">
        <f t="shared" ref="E386:J386" si="190">E42/E104</f>
        <v>6.0841209382251661E-2</v>
      </c>
      <c r="F386" s="105">
        <f t="shared" ca="1" si="190"/>
        <v>6.2048638569472118E-2</v>
      </c>
      <c r="G386" s="105">
        <f t="shared" ca="1" si="190"/>
        <v>7.1940269309123089E-2</v>
      </c>
      <c r="H386" s="105">
        <f t="shared" ca="1" si="190"/>
        <v>8.4007613416816757E-2</v>
      </c>
      <c r="I386" s="105">
        <f t="shared" ca="1" si="190"/>
        <v>9.7492390873455195E-2</v>
      </c>
      <c r="J386" s="105">
        <f t="shared" ca="1" si="190"/>
        <v>0.10923213274145388</v>
      </c>
    </row>
    <row r="387" spans="2:10" ht="17.399999999999999" x14ac:dyDescent="0.35">
      <c r="B387" s="33" t="s">
        <v>218</v>
      </c>
      <c r="C387" s="105"/>
      <c r="D387" s="105">
        <f>D42/D127</f>
        <v>0.16074255559743686</v>
      </c>
      <c r="E387" s="105">
        <f t="shared" ref="E387:J387" si="191">E42/E127</f>
        <v>0.15992957621240952</v>
      </c>
      <c r="F387" s="105">
        <f t="shared" ca="1" si="191"/>
        <v>0.15265938574883381</v>
      </c>
      <c r="G387" s="105">
        <f t="shared" ca="1" si="191"/>
        <v>0.1703772137840347</v>
      </c>
      <c r="H387" s="105">
        <f t="shared" ca="1" si="191"/>
        <v>0.18835483947722681</v>
      </c>
      <c r="I387" s="105">
        <f t="shared" ca="1" si="191"/>
        <v>0.20409692399610221</v>
      </c>
      <c r="J387" s="105">
        <f t="shared" ca="1" si="191"/>
        <v>0.21226147171594539</v>
      </c>
    </row>
    <row r="388" spans="2:10" ht="17.399999999999999" x14ac:dyDescent="0.35">
      <c r="B388" s="43" t="s">
        <v>219</v>
      </c>
      <c r="C388" s="160"/>
      <c r="D388" s="160"/>
      <c r="E388" s="160"/>
      <c r="F388" s="160"/>
      <c r="G388" s="160"/>
      <c r="H388" s="160"/>
      <c r="I388" s="160"/>
      <c r="J388" s="160"/>
    </row>
    <row r="389" spans="2:10" ht="17.399999999999999" x14ac:dyDescent="0.35">
      <c r="B389" s="33" t="s">
        <v>220</v>
      </c>
      <c r="C389" s="56"/>
      <c r="D389" s="105">
        <f>D42/D26</f>
        <v>0.11389920141021874</v>
      </c>
      <c r="E389" s="105">
        <f t="shared" ref="E389:J389" si="192">E42/E26</f>
        <v>0.11843803503226656</v>
      </c>
      <c r="F389" s="105">
        <f t="shared" ca="1" si="192"/>
        <v>0.11968361942300311</v>
      </c>
      <c r="G389" s="105">
        <f t="shared" ca="1" si="192"/>
        <v>0.14648936082944722</v>
      </c>
      <c r="H389" s="105">
        <f t="shared" ca="1" si="192"/>
        <v>0.18133899354969632</v>
      </c>
      <c r="I389" s="105">
        <f t="shared" ca="1" si="192"/>
        <v>0.22625986572126514</v>
      </c>
      <c r="J389" s="105">
        <f t="shared" ca="1" si="192"/>
        <v>0.27493383050778497</v>
      </c>
    </row>
    <row r="390" spans="2:10" ht="17.399999999999999" x14ac:dyDescent="0.35">
      <c r="B390" s="33" t="s">
        <v>221</v>
      </c>
      <c r="C390" s="56"/>
      <c r="D390" s="105">
        <f>D26/D104</f>
        <v>0.51619262956171674</v>
      </c>
      <c r="E390" s="105">
        <f t="shared" ref="E390:J390" si="193">E26/E104</f>
        <v>0.51369654491208372</v>
      </c>
      <c r="F390" s="105">
        <f t="shared" ca="1" si="193"/>
        <v>0.51843885461193207</v>
      </c>
      <c r="G390" s="105">
        <f t="shared" ca="1" si="193"/>
        <v>0.49109552326384165</v>
      </c>
      <c r="H390" s="105">
        <f t="shared" ca="1" si="193"/>
        <v>0.46326281938801156</v>
      </c>
      <c r="I390" s="105">
        <f t="shared" ca="1" si="193"/>
        <v>0.4308868060301882</v>
      </c>
      <c r="J390" s="105">
        <f t="shared" ca="1" si="193"/>
        <v>0.3973033531003049</v>
      </c>
    </row>
    <row r="391" spans="2:10" ht="17.399999999999999" x14ac:dyDescent="0.35">
      <c r="B391" s="33" t="s">
        <v>222</v>
      </c>
      <c r="C391" s="56"/>
      <c r="D391" s="105">
        <f>D104/D127</f>
        <v>2.7339992461364493</v>
      </c>
      <c r="E391" s="105">
        <f t="shared" ref="E391:J391" si="194">E104/E127</f>
        <v>2.6286390069534598</v>
      </c>
      <c r="F391" s="105">
        <f t="shared" ca="1" si="194"/>
        <v>2.4603180548097003</v>
      </c>
      <c r="G391" s="105">
        <f t="shared" ca="1" si="194"/>
        <v>2.3683149287631085</v>
      </c>
      <c r="H391" s="105">
        <f t="shared" ca="1" si="194"/>
        <v>2.242116301324681</v>
      </c>
      <c r="I391" s="105">
        <f t="shared" ca="1" si="194"/>
        <v>2.0934651634610062</v>
      </c>
      <c r="J391" s="105">
        <f t="shared" ca="1" si="194"/>
        <v>1.9432145687236189</v>
      </c>
    </row>
    <row r="392" spans="2:10" ht="17.399999999999999" x14ac:dyDescent="0.35">
      <c r="B392"/>
      <c r="C392" s="56"/>
      <c r="D392" s="105">
        <f>D389*D390*D391</f>
        <v>0.16074255559743686</v>
      </c>
      <c r="E392" s="105">
        <f t="shared" ref="E392:J392" si="195">E389*E390*E391</f>
        <v>0.15992957621240952</v>
      </c>
      <c r="F392" s="105">
        <f t="shared" ca="1" si="195"/>
        <v>0.15265938574883378</v>
      </c>
      <c r="G392" s="105">
        <f t="shared" ca="1" si="195"/>
        <v>0.1703772137840347</v>
      </c>
      <c r="H392" s="105">
        <f t="shared" ca="1" si="195"/>
        <v>0.18835483947722684</v>
      </c>
      <c r="I392" s="105">
        <f t="shared" ca="1" si="195"/>
        <v>0.20409692399610219</v>
      </c>
      <c r="J392" s="105">
        <f t="shared" ca="1" si="195"/>
        <v>0.21226147171594537</v>
      </c>
    </row>
    <row r="393" spans="2:10" ht="17.399999999999999" x14ac:dyDescent="0.35">
      <c r="B393" s="43" t="s">
        <v>223</v>
      </c>
      <c r="C393" s="56"/>
      <c r="D393" s="56"/>
      <c r="E393" s="56"/>
      <c r="F393" s="56"/>
      <c r="G393" s="56"/>
      <c r="H393" s="56"/>
      <c r="I393" s="56"/>
      <c r="J393" s="56"/>
    </row>
    <row r="394" spans="2:10" ht="17.399999999999999" x14ac:dyDescent="0.35">
      <c r="B394" s="33" t="s">
        <v>224</v>
      </c>
      <c r="C394" s="105"/>
      <c r="D394" s="73">
        <f>D106+D114-D90</f>
        <v>36512</v>
      </c>
      <c r="E394" s="73">
        <f t="shared" ref="E394:J394" si="196">E106+E114-E90</f>
        <v>38763</v>
      </c>
      <c r="F394" s="73">
        <f t="shared" ca="1" si="196"/>
        <v>32515.276155674794</v>
      </c>
      <c r="G394" s="73">
        <f t="shared" ca="1" si="196"/>
        <v>23804.318079603894</v>
      </c>
      <c r="H394" s="73">
        <f t="shared" ca="1" si="196"/>
        <v>12038.191680042</v>
      </c>
      <c r="I394" s="73">
        <f t="shared" ca="1" si="196"/>
        <v>-4133.3753643015807</v>
      </c>
      <c r="J394" s="73">
        <f t="shared" ca="1" si="196"/>
        <v>-25380.304335176173</v>
      </c>
    </row>
    <row r="395" spans="2:10" ht="17.399999999999999" x14ac:dyDescent="0.35">
      <c r="B395" s="33" t="s">
        <v>225</v>
      </c>
      <c r="C395" s="56"/>
      <c r="D395" s="105">
        <f>(D106+D114)/D127</f>
        <v>0.87817565020731247</v>
      </c>
      <c r="E395" s="105">
        <f t="shared" ref="E395:J395" si="197">(E106+E114)/E127</f>
        <v>0.85218118119898278</v>
      </c>
      <c r="F395" s="105">
        <f t="shared" ca="1" si="197"/>
        <v>0.74050748627486829</v>
      </c>
      <c r="G395" s="105">
        <f t="shared" ca="1" si="197"/>
        <v>0.73364196383805858</v>
      </c>
      <c r="H395" s="105">
        <f t="shared" ca="1" si="197"/>
        <v>0.69094159651420739</v>
      </c>
      <c r="I395" s="105">
        <f t="shared" ca="1" si="197"/>
        <v>0.63059083497906943</v>
      </c>
      <c r="J395" s="105">
        <f t="shared" ca="1" si="197"/>
        <v>0.55981625151685477</v>
      </c>
    </row>
    <row r="396" spans="2:10" ht="17.399999999999999" x14ac:dyDescent="0.35">
      <c r="B396" s="33" t="s">
        <v>226</v>
      </c>
      <c r="C396" s="56"/>
      <c r="D396" s="105">
        <f>(D106+D114)/(D106+D114+D127)</f>
        <v>0.46756843541783738</v>
      </c>
      <c r="E396" s="105">
        <f t="shared" ref="E396:J396" si="198">(E106+E114)/(E106+E114+E127)</f>
        <v>0.46009601536245798</v>
      </c>
      <c r="F396" s="105">
        <f t="shared" ca="1" si="198"/>
        <v>0.42545492743598817</v>
      </c>
      <c r="G396" s="105">
        <f t="shared" ca="1" si="198"/>
        <v>0.42317962943967413</v>
      </c>
      <c r="H396" s="105">
        <f t="shared" ca="1" si="198"/>
        <v>0.40861351920051492</v>
      </c>
      <c r="I396" s="105">
        <f t="shared" ca="1" si="198"/>
        <v>0.38672536448247841</v>
      </c>
      <c r="J396" s="105">
        <f t="shared" ca="1" si="198"/>
        <v>0.35889884527902394</v>
      </c>
    </row>
    <row r="397" spans="2:10" ht="17.399999999999999" x14ac:dyDescent="0.35">
      <c r="B397" s="33"/>
      <c r="C397" s="56"/>
      <c r="D397" s="56"/>
      <c r="E397" s="56"/>
      <c r="F397" s="56"/>
      <c r="G397" s="56"/>
      <c r="H397" s="56"/>
      <c r="I397" s="56"/>
      <c r="J397" s="56"/>
    </row>
    <row r="398" spans="2:10" ht="17.399999999999999" x14ac:dyDescent="0.35">
      <c r="B398" s="43" t="s">
        <v>227</v>
      </c>
      <c r="C398" s="56"/>
      <c r="D398" s="56"/>
      <c r="E398" s="56"/>
      <c r="F398" s="56"/>
      <c r="G398" s="56"/>
      <c r="H398" s="56"/>
      <c r="I398" s="56"/>
      <c r="J398" s="56"/>
    </row>
    <row r="399" spans="2:10" ht="17.399999999999999" x14ac:dyDescent="0.35">
      <c r="B399" s="33" t="s">
        <v>228</v>
      </c>
      <c r="C399" s="105"/>
      <c r="D399" s="163">
        <f>D26/D104</f>
        <v>0.51619262956171674</v>
      </c>
      <c r="E399" s="163">
        <f t="shared" ref="E399:J399" si="199">E26/E104</f>
        <v>0.51369654491208372</v>
      </c>
      <c r="F399" s="163">
        <f t="shared" ca="1" si="199"/>
        <v>0.51843885461193207</v>
      </c>
      <c r="G399" s="163">
        <f t="shared" ca="1" si="199"/>
        <v>0.49109552326384165</v>
      </c>
      <c r="H399" s="163">
        <f t="shared" ca="1" si="199"/>
        <v>0.46326281938801156</v>
      </c>
      <c r="I399" s="163">
        <f t="shared" ca="1" si="199"/>
        <v>0.4308868060301882</v>
      </c>
      <c r="J399" s="163">
        <f t="shared" ca="1" si="199"/>
        <v>0.3973033531003049</v>
      </c>
    </row>
    <row r="400" spans="2:10" x14ac:dyDescent="0.3">
      <c r="B400"/>
      <c r="C400" s="56"/>
      <c r="D400" s="56"/>
      <c r="E400" s="56"/>
      <c r="F400" s="56"/>
      <c r="G400" s="56"/>
      <c r="H400" s="56"/>
      <c r="I400" s="56"/>
      <c r="J400" s="56"/>
    </row>
    <row r="401" spans="2:10" s="165" customFormat="1" ht="25.8" x14ac:dyDescent="0.5">
      <c r="B401" s="26" t="s">
        <v>229</v>
      </c>
      <c r="C401" s="79"/>
      <c r="D401" s="164"/>
      <c r="E401" s="164"/>
      <c r="F401" s="164"/>
      <c r="G401" s="164"/>
      <c r="H401" s="164"/>
      <c r="I401" s="164"/>
      <c r="J401" s="164"/>
    </row>
    <row r="402" spans="2:10" x14ac:dyDescent="0.3">
      <c r="B402" s="166"/>
      <c r="C402" s="56"/>
      <c r="D402" s="56"/>
      <c r="E402" s="56"/>
      <c r="F402" s="56"/>
      <c r="G402" s="56"/>
      <c r="H402" s="56"/>
      <c r="I402" s="56"/>
      <c r="J402" s="56"/>
    </row>
    <row r="403" spans="2:10" s="33" customFormat="1" ht="18" thickBot="1" x14ac:dyDescent="0.4">
      <c r="B403" s="167" t="str">
        <f>F23&amp;" sensitivity"</f>
        <v>2025 sensitivity</v>
      </c>
      <c r="C403" s="168"/>
      <c r="D403" s="169"/>
      <c r="E403" s="169"/>
      <c r="F403" s="169"/>
      <c r="G403" s="169"/>
      <c r="H403" s="169"/>
      <c r="I403" s="52"/>
      <c r="J403" s="52"/>
    </row>
    <row r="404" spans="2:10" s="33" customFormat="1" ht="17.399999999999999" x14ac:dyDescent="0.35">
      <c r="C404" s="52"/>
      <c r="D404" s="170"/>
      <c r="E404" s="171" t="s">
        <v>230</v>
      </c>
      <c r="F404" s="170"/>
      <c r="G404" s="170"/>
      <c r="H404" s="170"/>
      <c r="I404" s="52"/>
      <c r="J404" s="52"/>
    </row>
    <row r="405" spans="2:10" s="33" customFormat="1" ht="18.600000000000001" thickBot="1" x14ac:dyDescent="0.4">
      <c r="B405" s="192" t="s">
        <v>231</v>
      </c>
      <c r="C405" s="172">
        <f ca="1">F51</f>
        <v>10.991877849344592</v>
      </c>
      <c r="D405" s="173">
        <f>E405-0.017</f>
        <v>8.2086378770829527E-3</v>
      </c>
      <c r="E405" s="173">
        <f>F405-0.017</f>
        <v>2.5208637877082954E-2</v>
      </c>
      <c r="F405" s="173">
        <v>4.2208637877082955E-2</v>
      </c>
      <c r="G405" s="173">
        <f>F405+0.02</f>
        <v>6.2208637877082959E-2</v>
      </c>
      <c r="H405" s="173">
        <f>G405+0.02</f>
        <v>8.2208637877082963E-2</v>
      </c>
      <c r="I405" s="52"/>
      <c r="J405" s="52"/>
    </row>
    <row r="406" spans="2:10" s="33" customFormat="1" ht="17.399999999999999" x14ac:dyDescent="0.35">
      <c r="B406" s="192"/>
      <c r="C406" s="174">
        <f t="shared" ref="C406:C407" si="200">C407-0.01</f>
        <v>0.37</v>
      </c>
      <c r="D406" s="159">
        <f t="dataTable" ref="D406:H411" dt2D="1" dtr="1" r1="F54" r2="F55" ca="1"/>
        <v>8.3994981064631915</v>
      </c>
      <c r="E406" s="159">
        <v>8.3971010283810781</v>
      </c>
      <c r="F406" s="159">
        <v>8.3947039502989718</v>
      </c>
      <c r="G406" s="159">
        <v>8.3918838584376765</v>
      </c>
      <c r="H406" s="159">
        <v>8.3890637665763776</v>
      </c>
      <c r="I406" s="52"/>
      <c r="J406" s="52"/>
    </row>
    <row r="407" spans="2:10" s="33" customFormat="1" ht="17.399999999999999" x14ac:dyDescent="0.35">
      <c r="B407" s="192"/>
      <c r="C407" s="174">
        <f t="shared" si="200"/>
        <v>0.38</v>
      </c>
      <c r="D407" s="159">
        <v>9.2651780892815996</v>
      </c>
      <c r="E407" s="159">
        <v>9.2627810111995412</v>
      </c>
      <c r="F407" s="159">
        <v>9.2603839331174367</v>
      </c>
      <c r="G407" s="159">
        <v>9.2575638412561396</v>
      </c>
      <c r="H407" s="159">
        <v>9.254743749394839</v>
      </c>
      <c r="I407" s="52"/>
      <c r="J407" s="52"/>
    </row>
    <row r="408" spans="2:10" s="33" customFormat="1" ht="17.399999999999999" x14ac:dyDescent="0.35">
      <c r="B408" s="192"/>
      <c r="C408" s="174">
        <f>C409-0.01</f>
        <v>0.39</v>
      </c>
      <c r="D408" s="159">
        <v>10.130858072100065</v>
      </c>
      <c r="E408" s="159">
        <v>10.128460994018006</v>
      </c>
      <c r="F408" s="159">
        <v>10.126063915935898</v>
      </c>
      <c r="G408" s="159">
        <v>10.123243824074605</v>
      </c>
      <c r="H408" s="159">
        <v>10.120423732213304</v>
      </c>
      <c r="I408" s="52"/>
      <c r="J408" s="52"/>
    </row>
    <row r="409" spans="2:10" s="33" customFormat="1" ht="17.399999999999999" x14ac:dyDescent="0.35">
      <c r="B409" s="192"/>
      <c r="C409" s="174">
        <v>0.4</v>
      </c>
      <c r="D409" s="159">
        <v>10.996538054918521</v>
      </c>
      <c r="E409" s="159">
        <v>10.994140976836462</v>
      </c>
      <c r="F409" s="159">
        <v>10.991743898754354</v>
      </c>
      <c r="G409" s="159">
        <v>10.988923806893059</v>
      </c>
      <c r="H409" s="159">
        <v>10.98610371503176</v>
      </c>
      <c r="I409" s="52"/>
      <c r="J409" s="52"/>
    </row>
    <row r="410" spans="2:10" s="33" customFormat="1" ht="17.399999999999999" x14ac:dyDescent="0.35">
      <c r="B410" s="192"/>
      <c r="C410" s="174">
        <f>C409+0.01</f>
        <v>0.41000000000000003</v>
      </c>
      <c r="D410" s="159">
        <v>11.862218037736982</v>
      </c>
      <c r="E410" s="159">
        <v>11.859820959654924</v>
      </c>
      <c r="F410" s="159">
        <v>11.857423881572817</v>
      </c>
      <c r="G410" s="159">
        <v>11.854603789711524</v>
      </c>
      <c r="H410" s="159">
        <v>11.851783697850225</v>
      </c>
      <c r="I410" s="52"/>
      <c r="J410" s="52"/>
    </row>
    <row r="411" spans="2:10" s="33" customFormat="1" ht="17.399999999999999" x14ac:dyDescent="0.35">
      <c r="B411" s="192"/>
      <c r="C411" s="174">
        <f>C410+0.01</f>
        <v>0.42000000000000004</v>
      </c>
      <c r="D411" s="159">
        <v>12.727898020555443</v>
      </c>
      <c r="E411" s="159">
        <v>12.725500942473388</v>
      </c>
      <c r="F411" s="159">
        <v>12.723103864391282</v>
      </c>
      <c r="G411" s="159">
        <v>12.720283772529985</v>
      </c>
      <c r="H411" s="159">
        <v>12.717463680668686</v>
      </c>
      <c r="I411" s="52"/>
      <c r="J411" s="52"/>
    </row>
    <row r="412" spans="2:10" s="33" customFormat="1" ht="17.399999999999999" x14ac:dyDescent="0.35">
      <c r="B412" s="192"/>
      <c r="C412" s="52"/>
      <c r="D412" s="52"/>
      <c r="E412" s="52"/>
      <c r="F412" s="52"/>
      <c r="G412" s="52"/>
      <c r="H412" s="52"/>
      <c r="I412" s="52"/>
      <c r="J412" s="52"/>
    </row>
    <row r="413" spans="2:10" s="33" customFormat="1" ht="18" thickBot="1" x14ac:dyDescent="0.4">
      <c r="B413" s="175"/>
      <c r="C413" s="168"/>
      <c r="D413" s="169"/>
      <c r="E413" s="169"/>
      <c r="F413" s="169"/>
      <c r="G413" s="169"/>
      <c r="H413" s="169"/>
      <c r="I413" s="52"/>
      <c r="J413" s="52"/>
    </row>
    <row r="414" spans="2:10" s="33" customFormat="1" ht="17.399999999999999" x14ac:dyDescent="0.35">
      <c r="C414" s="52"/>
      <c r="D414" s="170"/>
      <c r="E414" s="171" t="s">
        <v>230</v>
      </c>
      <c r="F414" s="170"/>
      <c r="G414" s="170"/>
      <c r="H414" s="170"/>
      <c r="I414" s="52"/>
      <c r="J414" s="52"/>
    </row>
    <row r="415" spans="2:10" s="33" customFormat="1" ht="18.600000000000001" thickBot="1" x14ac:dyDescent="0.4">
      <c r="B415" s="192" t="s">
        <v>232</v>
      </c>
      <c r="C415" s="172">
        <f ca="1">F63</f>
        <v>13835.039744289586</v>
      </c>
      <c r="D415" s="173">
        <f>E415-0.017</f>
        <v>8.2086378770829527E-3</v>
      </c>
      <c r="E415" s="173">
        <f>F415-0.017</f>
        <v>2.5208637877082954E-2</v>
      </c>
      <c r="F415" s="173">
        <v>4.2208637877082955E-2</v>
      </c>
      <c r="G415" s="173">
        <f>F415+0.02</f>
        <v>6.2208637877082959E-2</v>
      </c>
      <c r="H415" s="173">
        <f>G415+0.02</f>
        <v>8.2208637877082963E-2</v>
      </c>
      <c r="I415" s="52"/>
      <c r="J415" s="52"/>
    </row>
    <row r="416" spans="2:10" s="33" customFormat="1" ht="17.399999999999999" x14ac:dyDescent="0.35">
      <c r="B416" s="192"/>
      <c r="C416" s="174">
        <f t="shared" ref="C416:C417" ca="1" si="201">C417+0.005</f>
        <v>0.10500000000000001</v>
      </c>
      <c r="D416" s="50">
        <f t="dataTable" ref="D416:H421" dt2D="1" dtr="1" r1="F54" r2="F56" ca="1"/>
        <v>12649.098188202466</v>
      </c>
      <c r="E416" s="50">
        <v>12649.098188202466</v>
      </c>
      <c r="F416" s="50">
        <v>12649.098188202466</v>
      </c>
      <c r="G416" s="50">
        <v>12649.098188202466</v>
      </c>
      <c r="H416" s="50">
        <v>12649.098188202466</v>
      </c>
      <c r="I416" s="52"/>
      <c r="J416" s="52"/>
    </row>
    <row r="417" spans="2:11" s="33" customFormat="1" ht="17.399999999999999" x14ac:dyDescent="0.35">
      <c r="B417" s="192"/>
      <c r="C417" s="174">
        <f t="shared" ca="1" si="201"/>
        <v>0.1</v>
      </c>
      <c r="D417" s="50">
        <v>11858.470484144391</v>
      </c>
      <c r="E417" s="50">
        <v>11858.470484144391</v>
      </c>
      <c r="F417" s="50">
        <v>11858.470484144391</v>
      </c>
      <c r="G417" s="50">
        <v>11858.470484144391</v>
      </c>
      <c r="H417" s="50">
        <v>11858.470484144391</v>
      </c>
      <c r="I417" s="52"/>
      <c r="J417" s="52"/>
    </row>
    <row r="418" spans="2:11" s="33" customFormat="1" ht="17.399999999999999" x14ac:dyDescent="0.35">
      <c r="B418" s="192"/>
      <c r="C418" s="174">
        <f ca="1">C419+0.005</f>
        <v>9.5000000000000001E-2</v>
      </c>
      <c r="D418" s="50">
        <v>11463.15663211535</v>
      </c>
      <c r="E418" s="50">
        <v>11463.15663211535</v>
      </c>
      <c r="F418" s="50">
        <v>11463.15663211535</v>
      </c>
      <c r="G418" s="50">
        <v>11463.15663211535</v>
      </c>
      <c r="H418" s="50">
        <v>11463.15663211535</v>
      </c>
      <c r="I418" s="52"/>
      <c r="J418" s="52"/>
    </row>
    <row r="419" spans="2:11" s="33" customFormat="1" ht="17.399999999999999" x14ac:dyDescent="0.35">
      <c r="B419" s="192"/>
      <c r="C419" s="174">
        <f ca="1">F56</f>
        <v>0.09</v>
      </c>
      <c r="D419" s="50">
        <v>11463.15663211535</v>
      </c>
      <c r="E419" s="50">
        <v>11463.15663211535</v>
      </c>
      <c r="F419" s="50">
        <v>11463.15663211535</v>
      </c>
      <c r="G419" s="50">
        <v>11463.15663211535</v>
      </c>
      <c r="H419" s="50">
        <v>11463.15663211535</v>
      </c>
      <c r="I419" s="52"/>
      <c r="J419" s="52"/>
    </row>
    <row r="420" spans="2:11" s="33" customFormat="1" ht="17.399999999999999" x14ac:dyDescent="0.35">
      <c r="B420" s="192"/>
      <c r="C420" s="174">
        <f ca="1">C419-0.005</f>
        <v>8.4999999999999992E-2</v>
      </c>
      <c r="D420" s="50">
        <v>11858.470484144391</v>
      </c>
      <c r="E420" s="50">
        <v>11858.470484144391</v>
      </c>
      <c r="F420" s="50">
        <v>11858.470484144391</v>
      </c>
      <c r="G420" s="50">
        <v>11858.470484144391</v>
      </c>
      <c r="H420" s="50">
        <v>11858.470484144391</v>
      </c>
      <c r="I420" s="52"/>
      <c r="J420" s="52"/>
    </row>
    <row r="421" spans="2:11" s="33" customFormat="1" ht="17.399999999999999" x14ac:dyDescent="0.35">
      <c r="B421" s="192"/>
      <c r="C421" s="174">
        <f ca="1">C420-0.005</f>
        <v>7.9999999999999988E-2</v>
      </c>
      <c r="D421" s="50">
        <v>12649.098188202466</v>
      </c>
      <c r="E421" s="50">
        <v>12649.098188202466</v>
      </c>
      <c r="F421" s="50">
        <v>12649.098188202466</v>
      </c>
      <c r="G421" s="50">
        <v>12649.098188202466</v>
      </c>
      <c r="H421" s="50">
        <v>12649.098188202466</v>
      </c>
      <c r="I421" s="52"/>
      <c r="J421" s="52"/>
    </row>
    <row r="422" spans="2:11" s="33" customFormat="1" ht="17.399999999999999" x14ac:dyDescent="0.35">
      <c r="B422" s="192"/>
      <c r="C422" s="52"/>
      <c r="D422" s="52"/>
      <c r="E422" s="52"/>
      <c r="F422" s="52"/>
      <c r="G422" s="52"/>
      <c r="H422" s="52"/>
      <c r="I422" s="52"/>
      <c r="J422" s="52"/>
    </row>
    <row r="423" spans="2:11" s="33" customFormat="1" ht="17.399999999999999" x14ac:dyDescent="0.35">
      <c r="B423" s="176"/>
      <c r="C423" s="52"/>
      <c r="D423" s="52"/>
      <c r="E423" s="52"/>
      <c r="F423" s="52"/>
      <c r="G423" s="52"/>
      <c r="H423" s="52"/>
      <c r="I423" s="52"/>
      <c r="J423" s="52"/>
    </row>
    <row r="424" spans="2:11" s="33" customFormat="1" ht="25.8" x14ac:dyDescent="0.5">
      <c r="B424" s="26" t="s">
        <v>233</v>
      </c>
      <c r="C424" s="79"/>
      <c r="D424" s="177"/>
      <c r="E424" s="177"/>
      <c r="F424" s="177"/>
      <c r="G424" s="177"/>
      <c r="H424" s="177"/>
      <c r="I424" s="177"/>
      <c r="J424" s="177"/>
    </row>
    <row r="425" spans="2:11" s="33" customFormat="1" ht="17.399999999999999" x14ac:dyDescent="0.35">
      <c r="B425" s="29" t="s">
        <v>21</v>
      </c>
      <c r="C425" s="178"/>
      <c r="D425" s="178"/>
      <c r="E425" s="178"/>
      <c r="F425" s="179"/>
      <c r="G425" s="179"/>
      <c r="H425" s="179"/>
      <c r="I425" s="179"/>
      <c r="J425" s="179"/>
    </row>
    <row r="426" spans="2:11" s="33" customFormat="1" ht="17.399999999999999" x14ac:dyDescent="0.35">
      <c r="B426" s="85" t="s">
        <v>22</v>
      </c>
      <c r="C426" s="86"/>
      <c r="D426" s="180"/>
      <c r="E426" s="180"/>
      <c r="F426" s="181"/>
      <c r="G426" s="181"/>
      <c r="H426" s="181"/>
      <c r="I426" s="181"/>
      <c r="J426" s="181"/>
      <c r="K426" s="182"/>
    </row>
    <row r="427" spans="2:11" s="33" customFormat="1" ht="18" thickBot="1" x14ac:dyDescent="0.4">
      <c r="C427" s="52"/>
      <c r="D427" s="52"/>
      <c r="E427" s="52"/>
      <c r="F427" s="52"/>
      <c r="G427" s="52"/>
      <c r="H427" s="52"/>
      <c r="I427" s="52"/>
      <c r="J427" s="52"/>
    </row>
    <row r="428" spans="2:11" s="188" customFormat="1" ht="20.399999999999999" thickBot="1" x14ac:dyDescent="0.45">
      <c r="B428" s="183" t="s">
        <v>234</v>
      </c>
      <c r="C428" s="184"/>
      <c r="D428" s="184"/>
      <c r="E428" s="185" t="s">
        <v>235</v>
      </c>
      <c r="F428" s="186"/>
      <c r="G428" s="187"/>
      <c r="H428" s="186"/>
      <c r="I428" s="186"/>
      <c r="J428" s="186"/>
    </row>
    <row r="429" spans="2:11" s="33" customFormat="1" ht="17.399999999999999" x14ac:dyDescent="0.35">
      <c r="C429" s="52"/>
      <c r="D429" s="52"/>
      <c r="E429" s="52"/>
      <c r="F429" s="52"/>
      <c r="G429" s="52"/>
      <c r="H429" s="52"/>
      <c r="I429" s="52"/>
      <c r="J429" s="52"/>
    </row>
    <row r="430" spans="2:11" s="33" customFormat="1" ht="17.399999999999999" x14ac:dyDescent="0.35">
      <c r="B430" s="58" t="s">
        <v>49</v>
      </c>
      <c r="C430" s="52"/>
      <c r="D430" s="52"/>
      <c r="E430" s="52"/>
      <c r="F430" s="105">
        <f ca="1">OFFSET(F$435,MATCH($E$428,$B$436:$B$438,0)+MATCH($B430,$B$435:$B$450,0)-1,0)</f>
        <v>4.1258664635952513E-2</v>
      </c>
      <c r="G430" s="105">
        <f t="shared" ref="G430:J433" ca="1" si="202">OFFSET(G$435,MATCH($E$428,$B$436:$B$438,0)+MATCH($B430,$B$435:$B$450,0)-1,0)</f>
        <v>3.3329610070583549E-2</v>
      </c>
      <c r="H430" s="105">
        <f t="shared" ca="1" si="202"/>
        <v>4.2208637877082955E-2</v>
      </c>
      <c r="I430" s="105">
        <f t="shared" ca="1" si="202"/>
        <v>4.1777117841352629E-2</v>
      </c>
      <c r="J430" s="105">
        <f t="shared" ca="1" si="202"/>
        <v>4.5525081770434239E-2</v>
      </c>
    </row>
    <row r="431" spans="2:11" s="33" customFormat="1" ht="17.399999999999999" x14ac:dyDescent="0.35">
      <c r="B431" s="58" t="s">
        <v>51</v>
      </c>
      <c r="C431" s="52"/>
      <c r="D431" s="52"/>
      <c r="E431" s="52"/>
      <c r="F431" s="105">
        <f t="shared" ref="F431:F433" ca="1" si="203">OFFSET(F$435,MATCH($E$428,$B$436:$B$438,0)+MATCH($B431,$B$435:$B$450,0)-1,0)</f>
        <v>0.4</v>
      </c>
      <c r="G431" s="105">
        <f t="shared" ca="1" si="202"/>
        <v>0.4</v>
      </c>
      <c r="H431" s="105">
        <f t="shared" ca="1" si="202"/>
        <v>0.4</v>
      </c>
      <c r="I431" s="105">
        <f t="shared" ca="1" si="202"/>
        <v>0.4</v>
      </c>
      <c r="J431" s="105">
        <f t="shared" ca="1" si="202"/>
        <v>0.4</v>
      </c>
    </row>
    <row r="432" spans="2:11" s="33" customFormat="1" ht="17.399999999999999" x14ac:dyDescent="0.35">
      <c r="B432" s="58" t="s">
        <v>52</v>
      </c>
      <c r="C432" s="52"/>
      <c r="D432" s="52"/>
      <c r="E432" s="52"/>
      <c r="F432" s="105">
        <f t="shared" ca="1" si="203"/>
        <v>0.09</v>
      </c>
      <c r="G432" s="105">
        <f t="shared" ca="1" si="202"/>
        <v>0.09</v>
      </c>
      <c r="H432" s="105">
        <f t="shared" ca="1" si="202"/>
        <v>0.09</v>
      </c>
      <c r="I432" s="105">
        <f t="shared" ca="1" si="202"/>
        <v>0.09</v>
      </c>
      <c r="J432" s="105">
        <f t="shared" ca="1" si="202"/>
        <v>0.09</v>
      </c>
    </row>
    <row r="433" spans="2:18" s="33" customFormat="1" ht="17.399999999999999" x14ac:dyDescent="0.35">
      <c r="B433" s="58" t="s">
        <v>53</v>
      </c>
      <c r="C433" s="52"/>
      <c r="D433" s="52"/>
      <c r="E433" s="52"/>
      <c r="F433" s="105">
        <f t="shared" ca="1" si="203"/>
        <v>0.19</v>
      </c>
      <c r="G433" s="105">
        <f t="shared" ca="1" si="202"/>
        <v>0.19</v>
      </c>
      <c r="H433" s="105">
        <f t="shared" ca="1" si="202"/>
        <v>0.19</v>
      </c>
      <c r="I433" s="105">
        <f t="shared" ca="1" si="202"/>
        <v>0.19</v>
      </c>
      <c r="J433" s="105">
        <f t="shared" ca="1" si="202"/>
        <v>0.19</v>
      </c>
    </row>
    <row r="434" spans="2:18" s="33" customFormat="1" ht="17.399999999999999" x14ac:dyDescent="0.35">
      <c r="C434" s="52"/>
      <c r="D434" s="52"/>
      <c r="E434" s="52"/>
      <c r="F434" s="52"/>
      <c r="G434" s="52"/>
      <c r="H434" s="52"/>
      <c r="I434" s="52"/>
      <c r="J434" s="52"/>
    </row>
    <row r="435" spans="2:18" s="33" customFormat="1" ht="17.399999999999999" x14ac:dyDescent="0.35">
      <c r="B435" s="61" t="s">
        <v>49</v>
      </c>
      <c r="C435" s="52"/>
      <c r="D435" s="52"/>
      <c r="E435" s="52"/>
      <c r="F435" s="52"/>
      <c r="G435" s="52"/>
      <c r="H435" s="52"/>
      <c r="I435" s="52"/>
      <c r="J435" s="52"/>
    </row>
    <row r="436" spans="2:18" s="33" customFormat="1" ht="17.399999999999999" x14ac:dyDescent="0.35">
      <c r="B436" s="75" t="s">
        <v>236</v>
      </c>
      <c r="C436" s="52"/>
      <c r="D436" s="52"/>
      <c r="E436" s="52"/>
      <c r="F436" s="114">
        <v>0.09</v>
      </c>
      <c r="G436" s="114">
        <v>0.09</v>
      </c>
      <c r="H436" s="114">
        <v>0.09</v>
      </c>
      <c r="I436" s="114">
        <v>0.09</v>
      </c>
      <c r="J436" s="114">
        <v>0.09</v>
      </c>
    </row>
    <row r="437" spans="2:18" s="33" customFormat="1" ht="17.399999999999999" x14ac:dyDescent="0.35">
      <c r="B437" s="75" t="s">
        <v>235</v>
      </c>
      <c r="C437" s="52"/>
      <c r="D437" s="52"/>
      <c r="E437" s="52"/>
      <c r="F437" s="189">
        <v>4.1258664635952513E-2</v>
      </c>
      <c r="G437" s="189">
        <v>3.3329610070583549E-2</v>
      </c>
      <c r="H437" s="189">
        <v>4.2208637877082955E-2</v>
      </c>
      <c r="I437" s="189">
        <v>4.1777117841352629E-2</v>
      </c>
      <c r="J437" s="189">
        <v>4.5525081770434239E-2</v>
      </c>
      <c r="N437" s="190"/>
      <c r="O437" s="190"/>
      <c r="P437" s="190"/>
      <c r="Q437" s="190"/>
      <c r="R437" s="190"/>
    </row>
    <row r="438" spans="2:18" s="33" customFormat="1" ht="17.399999999999999" x14ac:dyDescent="0.35">
      <c r="B438" s="75" t="s">
        <v>237</v>
      </c>
      <c r="C438" s="52"/>
      <c r="D438" s="52"/>
      <c r="E438" s="52"/>
      <c r="F438" s="114">
        <v>0</v>
      </c>
      <c r="G438" s="114">
        <v>0</v>
      </c>
      <c r="H438" s="114">
        <v>0</v>
      </c>
      <c r="I438" s="114">
        <v>0</v>
      </c>
      <c r="J438" s="114">
        <v>0</v>
      </c>
      <c r="N438" s="190"/>
      <c r="O438" s="190"/>
      <c r="P438" s="190"/>
      <c r="Q438" s="190"/>
      <c r="R438" s="190"/>
    </row>
    <row r="439" spans="2:18" s="33" customFormat="1" ht="17.399999999999999" x14ac:dyDescent="0.35">
      <c r="B439" s="61" t="s">
        <v>51</v>
      </c>
      <c r="C439" s="52"/>
      <c r="D439" s="52"/>
      <c r="E439" s="52"/>
      <c r="F439" s="191"/>
      <c r="G439" s="191"/>
      <c r="H439" s="191"/>
      <c r="I439" s="191"/>
      <c r="J439" s="191"/>
      <c r="N439" s="190"/>
      <c r="O439" s="190"/>
      <c r="P439" s="190"/>
      <c r="Q439" s="190"/>
      <c r="R439" s="190"/>
    </row>
    <row r="440" spans="2:18" s="33" customFormat="1" ht="17.399999999999999" x14ac:dyDescent="0.35">
      <c r="B440" s="75" t="s">
        <v>236</v>
      </c>
      <c r="C440" s="52"/>
      <c r="D440" s="52"/>
      <c r="E440" s="52"/>
      <c r="F440" s="114">
        <v>0.5</v>
      </c>
      <c r="G440" s="114">
        <v>0.5</v>
      </c>
      <c r="H440" s="114">
        <v>0.5</v>
      </c>
      <c r="I440" s="114">
        <v>0.5</v>
      </c>
      <c r="J440" s="114">
        <v>0.5</v>
      </c>
    </row>
    <row r="441" spans="2:18" s="33" customFormat="1" ht="17.399999999999999" x14ac:dyDescent="0.35">
      <c r="B441" s="75" t="s">
        <v>235</v>
      </c>
      <c r="C441" s="52"/>
      <c r="D441" s="52"/>
      <c r="E441" s="52"/>
      <c r="F441" s="114">
        <v>0.4</v>
      </c>
      <c r="G441" s="114">
        <v>0.4</v>
      </c>
      <c r="H441" s="114">
        <v>0.4</v>
      </c>
      <c r="I441" s="114">
        <v>0.4</v>
      </c>
      <c r="J441" s="114">
        <v>0.4</v>
      </c>
    </row>
    <row r="442" spans="2:18" s="33" customFormat="1" ht="17.399999999999999" x14ac:dyDescent="0.35">
      <c r="B442" s="75" t="s">
        <v>237</v>
      </c>
      <c r="C442" s="52"/>
      <c r="D442" s="52"/>
      <c r="E442" s="52"/>
      <c r="F442" s="114">
        <v>0.3</v>
      </c>
      <c r="G442" s="114">
        <v>0.3</v>
      </c>
      <c r="H442" s="114">
        <v>0.3</v>
      </c>
      <c r="I442" s="114">
        <v>0.3</v>
      </c>
      <c r="J442" s="114">
        <v>0.3</v>
      </c>
    </row>
    <row r="443" spans="2:18" s="33" customFormat="1" ht="17.399999999999999" x14ac:dyDescent="0.35">
      <c r="B443" s="61" t="s">
        <v>52</v>
      </c>
      <c r="C443" s="52"/>
      <c r="D443" s="52"/>
      <c r="E443" s="52"/>
      <c r="F443" s="191"/>
      <c r="G443" s="191"/>
      <c r="H443" s="191"/>
      <c r="I443" s="191"/>
      <c r="J443" s="191"/>
    </row>
    <row r="444" spans="2:18" s="33" customFormat="1" ht="17.399999999999999" x14ac:dyDescent="0.35">
      <c r="B444" s="75" t="s">
        <v>236</v>
      </c>
      <c r="C444" s="52"/>
      <c r="D444" s="52"/>
      <c r="E444" s="52"/>
      <c r="F444" s="114">
        <v>0.05</v>
      </c>
      <c r="G444" s="114">
        <v>0.05</v>
      </c>
      <c r="H444" s="114">
        <v>0.05</v>
      </c>
      <c r="I444" s="114">
        <v>0.05</v>
      </c>
      <c r="J444" s="114">
        <v>0.05</v>
      </c>
    </row>
    <row r="445" spans="2:18" s="33" customFormat="1" ht="17.399999999999999" x14ac:dyDescent="0.35">
      <c r="B445" s="75" t="s">
        <v>235</v>
      </c>
      <c r="C445" s="52"/>
      <c r="D445" s="52"/>
      <c r="E445" s="52"/>
      <c r="F445" s="114">
        <v>0.09</v>
      </c>
      <c r="G445" s="114">
        <v>0.09</v>
      </c>
      <c r="H445" s="114">
        <v>0.09</v>
      </c>
      <c r="I445" s="114">
        <v>0.09</v>
      </c>
      <c r="J445" s="114">
        <v>0.09</v>
      </c>
    </row>
    <row r="446" spans="2:18" s="33" customFormat="1" ht="17.399999999999999" x14ac:dyDescent="0.35">
      <c r="B446" s="75" t="s">
        <v>237</v>
      </c>
      <c r="C446" s="52"/>
      <c r="D446" s="52"/>
      <c r="E446" s="52"/>
      <c r="F446" s="114">
        <v>0.13</v>
      </c>
      <c r="G446" s="114">
        <v>0.13</v>
      </c>
      <c r="H446" s="114">
        <v>0.13</v>
      </c>
      <c r="I446" s="114">
        <v>0.13</v>
      </c>
      <c r="J446" s="114">
        <v>0.13</v>
      </c>
    </row>
    <row r="447" spans="2:18" s="33" customFormat="1" ht="17.399999999999999" x14ac:dyDescent="0.35">
      <c r="B447" s="61" t="s">
        <v>53</v>
      </c>
      <c r="C447" s="52"/>
      <c r="D447" s="52"/>
      <c r="E447" s="52"/>
      <c r="F447" s="191"/>
      <c r="G447" s="191"/>
      <c r="H447" s="191"/>
      <c r="I447" s="191"/>
      <c r="J447" s="191"/>
    </row>
    <row r="448" spans="2:18" s="33" customFormat="1" ht="17.399999999999999" x14ac:dyDescent="0.35">
      <c r="B448" s="75" t="s">
        <v>236</v>
      </c>
      <c r="C448" s="52"/>
      <c r="D448" s="52"/>
      <c r="E448" s="52"/>
      <c r="F448" s="114">
        <v>0.15</v>
      </c>
      <c r="G448" s="114">
        <v>0.15</v>
      </c>
      <c r="H448" s="114">
        <v>0.15</v>
      </c>
      <c r="I448" s="114">
        <v>0.15</v>
      </c>
      <c r="J448" s="114">
        <v>0.15</v>
      </c>
    </row>
    <row r="449" spans="2:10" s="33" customFormat="1" ht="17.399999999999999" x14ac:dyDescent="0.35">
      <c r="B449" s="75" t="s">
        <v>235</v>
      </c>
      <c r="C449" s="52"/>
      <c r="D449" s="52"/>
      <c r="E449" s="52"/>
      <c r="F449" s="114">
        <v>0.19</v>
      </c>
      <c r="G449" s="114">
        <v>0.19</v>
      </c>
      <c r="H449" s="114">
        <v>0.19</v>
      </c>
      <c r="I449" s="114">
        <v>0.19</v>
      </c>
      <c r="J449" s="114">
        <v>0.19</v>
      </c>
    </row>
    <row r="450" spans="2:10" s="33" customFormat="1" ht="17.399999999999999" x14ac:dyDescent="0.35">
      <c r="B450" s="75" t="s">
        <v>237</v>
      </c>
      <c r="C450" s="52"/>
      <c r="D450" s="52"/>
      <c r="E450" s="52"/>
      <c r="F450" s="114">
        <v>0.23</v>
      </c>
      <c r="G450" s="114">
        <v>0.23</v>
      </c>
      <c r="H450" s="114">
        <v>0.23</v>
      </c>
      <c r="I450" s="114">
        <v>0.23</v>
      </c>
      <c r="J450" s="114">
        <v>0.23</v>
      </c>
    </row>
    <row r="451" spans="2:10" x14ac:dyDescent="0.3">
      <c r="C451" s="160"/>
      <c r="D451" s="160"/>
      <c r="E451" s="160"/>
      <c r="F451" s="160"/>
      <c r="G451" s="160"/>
      <c r="H451" s="160"/>
      <c r="I451" s="160"/>
      <c r="J451" s="160"/>
    </row>
    <row r="452" spans="2:10" x14ac:dyDescent="0.3">
      <c r="C452" s="160"/>
      <c r="D452" s="160"/>
      <c r="E452" s="160"/>
      <c r="F452" s="160"/>
      <c r="G452" s="160"/>
      <c r="H452" s="160"/>
      <c r="I452" s="160"/>
      <c r="J452" s="160"/>
    </row>
  </sheetData>
  <mergeCells count="7">
    <mergeCell ref="B415:B422"/>
    <mergeCell ref="B131:B132"/>
    <mergeCell ref="B159:B160"/>
    <mergeCell ref="B196:B197"/>
    <mergeCell ref="B264:B265"/>
    <mergeCell ref="B292:B293"/>
    <mergeCell ref="B405:B412"/>
  </mergeCells>
  <conditionalFormatting sqref="B57">
    <cfRule type="expression" dxfId="8" priority="10">
      <formula>#REF!=$B57</formula>
    </cfRule>
  </conditionalFormatting>
  <conditionalFormatting sqref="B433">
    <cfRule type="expression" dxfId="7" priority="8">
      <formula>#REF!=$B433</formula>
    </cfRule>
  </conditionalFormatting>
  <conditionalFormatting sqref="B447">
    <cfRule type="expression" dxfId="6" priority="9">
      <formula>#REF!=$B447</formula>
    </cfRule>
  </conditionalFormatting>
  <conditionalFormatting sqref="E428">
    <cfRule type="cellIs" dxfId="5" priority="4" operator="equal">
      <formula>$B$437</formula>
    </cfRule>
    <cfRule type="cellIs" priority="5" operator="equal">
      <formula>$B$437</formula>
    </cfRule>
    <cfRule type="cellIs" dxfId="4" priority="6" operator="equal">
      <formula>$B$438</formula>
    </cfRule>
    <cfRule type="cellIs" dxfId="3" priority="7" operator="equal">
      <formula>$B$436</formula>
    </cfRule>
  </conditionalFormatting>
  <conditionalFormatting sqref="F430:J433">
    <cfRule type="expression" dxfId="2" priority="1">
      <formula>$E$428=$B$436</formula>
    </cfRule>
    <cfRule type="expression" dxfId="1" priority="2">
      <formula>$E$428=$B$437</formula>
    </cfRule>
    <cfRule type="expression" dxfId="0" priority="3">
      <formula>$E$428=$B$438</formula>
    </cfRule>
  </conditionalFormatting>
  <dataValidations count="3">
    <dataValidation type="list" allowBlank="1" showInputMessage="1" showErrorMessage="1" sqref="E428" xr:uid="{32CEC9C1-C03E-4173-A9CE-E9FB43169F98}">
      <formula1>$B$436:$B$438</formula1>
    </dataValidation>
    <dataValidation type="list" allowBlank="1" showInputMessage="1" showErrorMessage="1" sqref="I8" xr:uid="{BDE7A7F2-78D0-4515-92EB-2AC2541FB31F}">
      <formula1>"ON,OFF"</formula1>
    </dataValidation>
    <dataValidation type="list" allowBlank="1" showInputMessage="1" showErrorMessage="1" sqref="C11" xr:uid="{4E52A2AE-BE7A-481B-B187-E55C26A4F594}">
      <formula1>"0,1"</formula1>
    </dataValidation>
  </dataValidations>
  <hyperlinks>
    <hyperlink ref="B15" location="INCOME_STATEMENT" display="Income Statement" xr:uid="{B35AD5C7-158E-4427-94AE-CB89E88BD9FD}"/>
    <hyperlink ref="B16" location="BALANCE_SHEET" display="Balance Sheet" xr:uid="{4953D020-882B-45E8-B4FE-823B70191B49}"/>
    <hyperlink ref="B17" location="CASH_FLOW_STATEMENT" display="Cash Flow Statement" xr:uid="{7535FECC-B29B-41AD-B1E9-25F9A00FDC37}"/>
    <hyperlink ref="B18" location="RATIO_ANALYSIS" display="Ratio Analysis" xr:uid="{09545C6E-F83D-4D8D-A28F-1675DCE123B5}"/>
    <hyperlink ref="B19" location="SENSITIVITY_ANALYSIS" display="Sensitivity Analsyis" xr:uid="{80E8C964-9ECB-4786-8280-4D8080310E93}"/>
    <hyperlink ref="B20" location="SCENARIO_ANALYSIS" display="Scenario Analysis" xr:uid="{8B52494C-0C8D-4289-AD52-6DABA95D980D}"/>
    <hyperlink ref="C22" location="Cover" display="Back to the top" xr:uid="{33AA16BF-7881-4159-B5D6-65BA2C4E7EFF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Financial Model-Siemens</vt:lpstr>
      <vt:lpstr>'Financial Model-Siemens'!BALANCE_SHEET</vt:lpstr>
      <vt:lpstr>'Financial Model-Siemens'!CASH_FLOW_STATEMENT</vt:lpstr>
      <vt:lpstr>'Financial Model-Siemens'!Cover</vt:lpstr>
      <vt:lpstr>'Financial Model-Siemens'!EPS</vt:lpstr>
      <vt:lpstr>'Financial Model-Siemens'!INCOME_STATEMENT</vt:lpstr>
      <vt:lpstr>'Financial Model-Siemens'!RATIO_ANALYSIS</vt:lpstr>
      <vt:lpstr>'Financial Model-Siemens'!SCENARIO_ANALYSIS</vt:lpstr>
      <vt:lpstr>'Financial Model-Siemens'!SENSITIVITY_ANALYSIS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 Tiwari</dc:creator>
  <cp:lastModifiedBy>HP</cp:lastModifiedBy>
  <dcterms:created xsi:type="dcterms:W3CDTF">2025-07-13T19:07:02Z</dcterms:created>
  <dcterms:modified xsi:type="dcterms:W3CDTF">2025-07-13T19:36:53Z</dcterms:modified>
</cp:coreProperties>
</file>